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s>
  <calcPr/>
</workbook>
</file>

<file path=xl/comments1.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2.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3.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4.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5.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6.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<sst xmlns="http://schemas.openxmlformats.org/spreadsheetml/2006/main" count="11783" uniqueCount="1783">
  <si>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</si>
  <si>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</si>
  <si>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</si>
  <si>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</si>
  <si>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</si>
  <si>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</si>
  <si>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</si>
  <si>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</si>
  <si>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</si>
  <si>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</si>
  <si>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</si>
  <si>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</si>
  <si>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</si>
  <si>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</si>
  <si>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</si>
  <si>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</si>
  <si>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</si>
  <si>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</si>
  <si>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</si>
  <si>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</si>
  <si>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</si>
  <si>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</si>
  <si>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</si>
  <si>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</si>
  <si>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</si>
  <si>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</si>
  <si>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</si>
  <si>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</si>
  <si>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</si>
  <si>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</si>
  <si>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</si>
  <si>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</si>
  <si>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</si>
  <si>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</si>
  <si>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</si>
  <si>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</si>
  <si>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</si>
  <si>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</si>
  <si>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</si>
  <si>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</si>
  <si>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</si>
  <si>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</si>
  <si>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</si>
  <si>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</si>
  <si>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</si>
  <si>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</si>
  <si>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</si>
  <si>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</si>
  <si>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</si>
  <si>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</si>
  <si>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</si>
  <si>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</si>
  <si>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</si>
  <si>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</si>
  <si>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</si>
  <si>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</si>
  <si>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</si>
  <si>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</si>
  <si>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</si>
  <si>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</si>
  <si>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</si>
  <si>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</si>
  <si>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</si>
  <si>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</si>
  <si>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</si>
  <si>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</si>
  <si>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</si>
  <si>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</si>
  <si>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</si>
  <si>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</si>
  <si>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</si>
  <si>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</si>
  <si>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</si>
  <si>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</si>
  <si>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</si>
  <si>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</si>
  <si>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</si>
  <si>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</si>
  <si>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</si>
  <si>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</si>
  <si>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</si>
  <si>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</si>
  <si>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</si>
  <si>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</si>
  <si>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</si>
  <si>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</si>
  <si>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</si>
  <si>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</si>
  <si>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</si>
  <si>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</si>
  <si>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</si>
  <si>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</si>
  <si>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</si>
  <si>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</si>
  <si>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</si>
  <si>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</si>
  <si>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</si>
  <si>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</si>
  <si>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</si>
  <si>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</si>
  <si>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</si>
  <si>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</si>
  <si>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</si>
  <si>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</si>
  <si>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</si>
  <si>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</si>
  <si>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</si>
  <si>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</si>
  <si>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</si>
  <si>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</si>
  <si>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</si>
  <si>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</si>
  <si>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</si>
  <si>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</si>
  <si>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</si>
  <si>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</si>
  <si>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</si>
  <si>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</si>
  <si>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</si>
  <si>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</si>
  <si>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</si>
  <si>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</si>
  <si>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</si>
  <si>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</si>
  <si>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</si>
  <si>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</si>
  <si>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</si>
  <si>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</si>
  <si>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</si>
  <si>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</si>
  <si>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</si>
  <si>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</si>
  <si>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</si>
  <si>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</si>
  <si>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</si>
  <si>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a</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</si>
  <si>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</si>
  <si>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</si>
  <si>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</si>
  <si>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</si>
  <si>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</si>
  <si>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</si>
  <si>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</si>
  <si>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</si>
  <si>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</si>
  <si>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</si>
  <si>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</si>
  <si>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</si>
  <si>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</si>
  <si>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</si>
  <si>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</si>
  <si>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</si>
  <si>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</si>
  <si>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</si>
  <si>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</si>
  <si>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</si>
  <si>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</si>
  <si>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</si>
  <si>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</si>
  <si>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</si>
  <si>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</si>
  <si>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Innervate</t>
  </si>
  <si>
    <t>Spell</t>
  </si>
  <si>
    <t>Gain 2 Mana Crystals this turn only.</t>
  </si>
  <si>
    <t>Moonfire</t>
  </si>
  <si>
    <t>Deal 1 damage.</t>
  </si>
  <si>
    <t>How To Sort This Card Collection</t>
  </si>
  <si>
    <t>Claw</t>
  </si>
  <si>
    <t>Give your hero +2 attack this turn and 2 Armor.</t>
  </si>
  <si>
    <t>1.  Go To Data --&gt; Named Ranges</t>
  </si>
  <si>
    <t>Mark of the Wild</t>
  </si>
  <si>
    <t>Give a minion Taunt and +2/+2. (+2 Attack and +2 Health)</t>
  </si>
  <si>
    <t xml:space="preserve">2. Click "Sort_Collection" which will highlight all the cards and hidden cells.  </t>
  </si>
  <si>
    <t>Wild Growth</t>
  </si>
  <si>
    <t>Gain an empty Mana Crystal.</t>
  </si>
  <si>
    <t>3. Right Click on the highlighted cells and select "Sort Range..."</t>
  </si>
  <si>
    <t>Healing Touch</t>
  </si>
  <si>
    <t>Restore 8 Health.</t>
  </si>
  <si>
    <t>4. IMPORTANT:  Check the box, "Data Has Header Row"</t>
  </si>
  <si>
    <t>Savage Roar</t>
  </si>
  <si>
    <t>Give your Characters +2 Attack this turn.</t>
  </si>
  <si>
    <t>5.  Select how you want to sort.  They are all named properly.</t>
  </si>
  <si>
    <t>Swipe</t>
  </si>
  <si>
    <t>Deal 4 damage to an enemy and 1 damage to all other enemies.</t>
  </si>
  <si>
    <t>6.  To add a secondary sort, click "Add Another Sort Coloumn"</t>
  </si>
  <si>
    <t>Starfire</t>
  </si>
  <si>
    <t>Deal 5 damage. Draw a card.</t>
  </si>
  <si>
    <t>Ironbark Protector</t>
  </si>
  <si>
    <t>Minion</t>
  </si>
  <si>
    <t>Taunt.</t>
  </si>
  <si>
    <t>A. To sort Rarity in proper order, not alphabetical, sort by #Rarity</t>
  </si>
  <si>
    <t>Living Roots</t>
  </si>
  <si>
    <t>Choose One - Deal 2 damage; or Summon two 1/1 Saplings.</t>
  </si>
  <si>
    <t>B. To sort Collection in proper order, not alphabetical, sort by #Collection</t>
  </si>
  <si>
    <t>Naturalize</t>
  </si>
  <si>
    <t>Destroy a minion. Your opponent draws 2 cards.</t>
  </si>
  <si>
    <t>C. Don't forget you can use "CTL+F" to instantly find a single card.</t>
  </si>
  <si>
    <t>Anodized Robo Cub</t>
  </si>
  <si>
    <t>Mech</t>
  </si>
  <si>
    <t>Taunt. Choose one: +1 Attack; or +1 Health.</t>
  </si>
  <si>
    <t>D.  Client Default Sort is: '#Class', 'Mana', #Type, then 'Name'</t>
  </si>
  <si>
    <t>Druid of the Saber</t>
  </si>
  <si>
    <t>Choose One: Charge or +1/+1 and Stealth.</t>
  </si>
  <si>
    <t>To import from an older sheet, with classes on seperate pages, sort the older sheet (and this sheet) by a common factor like Class and then Collection.  Everything Should line up in order to copy/paste in your data values into F &amp; G.</t>
  </si>
  <si>
    <t>Power of the Wild</t>
  </si>
  <si>
    <t>Choose One - Give your minions +1/+1; or summon a 3/2 Panther.</t>
  </si>
  <si>
    <t>Wrath</t>
  </si>
  <si>
    <t>Choose One - Deal 3 damage to a minion; or 1 damage and draw a card.</t>
  </si>
  <si>
    <t>Druid of the Flame</t>
  </si>
  <si>
    <t>Choose One - Transform into a 5/2 minion; or a 2/5 minion.</t>
  </si>
  <si>
    <t>Mark of Nature</t>
  </si>
  <si>
    <t>Choose One - Give a minion +4 Attack; or +4 Health and Taunt.</t>
  </si>
  <si>
    <t>Poison Seeds</t>
  </si>
  <si>
    <t>Destroy all minions and summon 2/2 treants to replace them.</t>
  </si>
  <si>
    <t>Total Card Count</t>
  </si>
  <si>
    <t>Soul of the Forest</t>
  </si>
  <si>
    <t>Give your minions "Deathrattle: Summon a 2/2 Treant."</t>
  </si>
  <si>
    <t>BRM</t>
  </si>
  <si>
    <t>???</t>
  </si>
  <si>
    <t>Wildwalker</t>
  </si>
  <si>
    <t>Battlecry: Give a friendly Beast +3 Health.</t>
  </si>
  <si>
    <t>Unique</t>
  </si>
  <si>
    <t>Druid of the Claw</t>
  </si>
  <si>
    <t>Choose One - Charge; or +2 Health and Taunt.</t>
  </si>
  <si>
    <t>Druid of the Fang</t>
  </si>
  <si>
    <t>Battlecry: If you have a Beast, transform this minion into a 7/7.</t>
  </si>
  <si>
    <t>Savagery</t>
  </si>
  <si>
    <t>Deal damage equal to your hero's attack to a minion.</t>
  </si>
  <si>
    <t>Darnassus Aspirant</t>
  </si>
  <si>
    <t>Battlecry: Gain an empty mana crystal. Deathrattle: Destroy a mana crystal.</t>
  </si>
  <si>
    <t>Grove Tender</t>
  </si>
  <si>
    <t>Choose One - Give each player a Mana Crystal; or Each player draws a card.</t>
  </si>
  <si>
    <t>Bite</t>
  </si>
  <si>
    <t>Give your hero +4 Attack this turn and 4 Armor.</t>
  </si>
  <si>
    <t>Playable</t>
  </si>
  <si>
    <t>Keeper of the Grove</t>
  </si>
  <si>
    <t>Choose One - Deal 2 damage; or Silence a minion.</t>
  </si>
  <si>
    <t>Savage Combatant</t>
  </si>
  <si>
    <t>Beast</t>
  </si>
  <si>
    <t>Inspire: Give your hero +2 Attack this turn.</t>
  </si>
  <si>
    <t>Nourish</t>
  </si>
  <si>
    <t>Choose One - Gain 2 Mana Crystals; or draw 3 cards.</t>
  </si>
  <si>
    <t>Starfall</t>
  </si>
  <si>
    <t>Choose One - Deal 5 damage to a minion; or 2 damage to all enemy minions.</t>
  </si>
  <si>
    <t>Mech-Bear-Cat</t>
  </si>
  <si>
    <t>Whenever this minion takes damage, add a Spare Part card to your hand.</t>
  </si>
  <si>
    <t>Recycle</t>
  </si>
  <si>
    <t>Shuffle an enemy minion into your opponent's deck.</t>
  </si>
  <si>
    <t>Knight of the Wild</t>
  </si>
  <si>
    <t>Whenever you summon a Beast, reduct the cost of this card by (1).</t>
  </si>
  <si>
    <t>Volcanic Lumberer</t>
  </si>
  <si>
    <t>Taunt Costs (1) less for each minion that died this turn.</t>
  </si>
  <si>
    <t>Mulch</t>
  </si>
  <si>
    <t>Destroy a minion. Add a random minion to your opponent's hand.</t>
  </si>
  <si>
    <t>Astral Communion</t>
  </si>
  <si>
    <t>Gain 10 Mana Crystals. Discard your hand.</t>
  </si>
  <si>
    <t>Dark Wispers</t>
  </si>
  <si>
    <t>Choose One - Summon 5 Wisps; or Give a minion +5/+5 and Taunt.</t>
  </si>
  <si>
    <t>Force of Nature</t>
  </si>
  <si>
    <t>Summon three 2/2 treants with Charge that die at the end of the turn.</t>
  </si>
  <si>
    <t>Ancient of Lore</t>
  </si>
  <si>
    <t>Choose One - Draw 2 cards; or Restore 5 Health.</t>
  </si>
  <si>
    <t>Ancient of War</t>
  </si>
  <si>
    <t>Choose One - +5 Attack; or +5 Health and Taunt</t>
  </si>
  <si>
    <t>Tree of Life</t>
  </si>
  <si>
    <t>Restore all characters to full Health.</t>
  </si>
  <si>
    <t>Malorne</t>
  </si>
  <si>
    <t>Deathrattle: Shuffle this minion into your deck.</t>
  </si>
  <si>
    <t>Aviana</t>
  </si>
  <si>
    <t>Your minions cost (1).</t>
  </si>
  <si>
    <t>Cenarius</t>
  </si>
  <si>
    <t>Choose One - Give your other minions +2/+2; or Summon two 2/2 Treants with Taunt.</t>
  </si>
  <si>
    <t>Hunter's Mark</t>
  </si>
  <si>
    <t>Change a minion's Health to 1.</t>
  </si>
  <si>
    <t>Arcane Shot</t>
  </si>
  <si>
    <t>Deal 2 damage.</t>
  </si>
  <si>
    <t>Timber Wolf</t>
  </si>
  <si>
    <t>Your other Beasts have +1 Attack.</t>
  </si>
  <si>
    <t>Tracking</t>
  </si>
  <si>
    <t>Look at the top three cards of your deck. Draw one and discard the others.</t>
  </si>
  <si>
    <t>Animal Companion</t>
  </si>
  <si>
    <t>Summon a random Beast companion.</t>
  </si>
  <si>
    <t>Kill Command</t>
  </si>
  <si>
    <t>Deal 3 damage. If you have a Beast, deal 5 damage instead.</t>
  </si>
  <si>
    <t>Houndmaster</t>
  </si>
  <si>
    <t>Battlecry: Give a friendly Beast +2/+2 and Taunt.</t>
  </si>
  <si>
    <t>Multi-Shot</t>
  </si>
  <si>
    <t>Deal 3 damage to two random enemy minions.</t>
  </si>
  <si>
    <t>Starving Buzzard</t>
  </si>
  <si>
    <t>Whenever you summon a Beast, draw a card.</t>
  </si>
  <si>
    <t>Tundra Rhino</t>
  </si>
  <si>
    <t>Your Beasts have Charge.</t>
  </si>
  <si>
    <t>Brave Archer</t>
  </si>
  <si>
    <t>Inspire: If your hand is empty, deal 2 damage to the enemy hero.</t>
  </si>
  <si>
    <t>Webspinner</t>
  </si>
  <si>
    <t>Deathrattle: Add a random Beast card to your hand.</t>
  </si>
  <si>
    <t>Bear Trap</t>
  </si>
  <si>
    <t>Secret: After your hero is attacked, summon a 3/3 Bear with Taunt.</t>
  </si>
  <si>
    <t>Explosive Trap</t>
  </si>
  <si>
    <t>Secret</t>
  </si>
  <si>
    <t>Secret: When your hero is attacked, deal 2 damage to all enemies.</t>
  </si>
  <si>
    <t>Freezing Trap</t>
  </si>
  <si>
    <t>Secret: When an enemy minion attacks, return it to its owner's hand and it costs (2) more.</t>
  </si>
  <si>
    <t>Glaivezooka</t>
  </si>
  <si>
    <t>Weapon</t>
  </si>
  <si>
    <t>Battlecry: Give a random friendly minion +1 Attack.</t>
  </si>
  <si>
    <t>King's Elekk</t>
  </si>
  <si>
    <t>Battlecry: Reveal a minion in each deck, if yours costs more, draw it.</t>
  </si>
  <si>
    <t>Quick Shot</t>
  </si>
  <si>
    <t>Deal 3 damage. If your hand is empty, draw a card.</t>
  </si>
  <si>
    <t>Scavenging Hyena</t>
  </si>
  <si>
    <t>Whenever a friendly Beast dies, gain +2/+1.</t>
  </si>
  <si>
    <t>Snipe</t>
  </si>
  <si>
    <t>Secret: When your opponent plays a minion, deal 4 damage to it.</t>
  </si>
  <si>
    <t>Deadly Shot</t>
  </si>
  <si>
    <t>Destroy a random enemy minion.</t>
  </si>
  <si>
    <t>Unleash the Hounds</t>
  </si>
  <si>
    <t>For each enemy minion, summon a 1/1 Hound with Charge.</t>
  </si>
  <si>
    <t>Cobra Shot</t>
  </si>
  <si>
    <t>Deal 3 damage to a minion and the enemy hero.</t>
  </si>
  <si>
    <t>Call Pet</t>
  </si>
  <si>
    <t>Draw a card, if it's a Beast it costs (4) less.</t>
  </si>
  <si>
    <t>Flare</t>
  </si>
  <si>
    <t>All minions lose Stealth. Destroy all enemy secrets. Draw a card.</t>
  </si>
  <si>
    <t>Misdirection</t>
  </si>
  <si>
    <t>Secret: When a character attacks your hero, instead he attacks another random character.</t>
  </si>
  <si>
    <t>Eaglehorn Bow</t>
  </si>
  <si>
    <t>Whenever a friendly Secret is revealed, gain +1 durability.</t>
  </si>
  <si>
    <t>Metaltooth Leaper</t>
  </si>
  <si>
    <t>Battlecry: Give your other Mechs +2 Attack.</t>
  </si>
  <si>
    <t>Powershot</t>
  </si>
  <si>
    <t>Deal 2 damage to a minion and the minions next to it.</t>
  </si>
  <si>
    <t>Core Rager</t>
  </si>
  <si>
    <t>Battlecry: If your hand is empty, gain +3/+3.</t>
  </si>
  <si>
    <t>Explosive Shot</t>
  </si>
  <si>
    <t>Deal 5 damage to a minion and 2 damage to adjacent ones.</t>
  </si>
  <si>
    <t>King of Beasts</t>
  </si>
  <si>
    <t>Taunt. Battlecry: Gain +1 Attack for each other Beast you have.</t>
  </si>
  <si>
    <t>Ram Wrangler</t>
  </si>
  <si>
    <t>Battlecry: If you have a Beast, summon a random Beast.</t>
  </si>
  <si>
    <t>Ball of Spiders</t>
  </si>
  <si>
    <t>Summon three 1/1 Webspinners.</t>
  </si>
  <si>
    <t>Savannah Highmane</t>
  </si>
  <si>
    <t>Deathrattle: Summon two 2/2 Hyenas.</t>
  </si>
  <si>
    <t>Bestial Wrath</t>
  </si>
  <si>
    <t>Give a Beast +2 Attack and Immune this turn.</t>
  </si>
  <si>
    <t>Feign Death</t>
  </si>
  <si>
    <t>Trigger all Deathrattles on your minions.</t>
  </si>
  <si>
    <t>Lock and Load</t>
  </si>
  <si>
    <t>Each time you cast a spell this turn, add a random Hunter card to your hand.</t>
  </si>
  <si>
    <t>Snake Trap</t>
  </si>
  <si>
    <t>Secret: When one of your minions is attacked, summon three 1/1 Snakes.</t>
  </si>
  <si>
    <t>Steamwheedle Sniper</t>
  </si>
  <si>
    <t>Your Hero Power can target minions.</t>
  </si>
  <si>
    <t>Stablemaster</t>
  </si>
  <si>
    <t>Battlecry: Give a friendly Beast Immune this turn.</t>
  </si>
  <si>
    <t>Gladiator's Longbow</t>
  </si>
  <si>
    <t>Your hero is Immune while attacking.</t>
  </si>
  <si>
    <t>Dreadscale</t>
  </si>
  <si>
    <t>At the end of your turn, deal 1 damage to all other minions.</t>
  </si>
  <si>
    <t>Acidmaw</t>
  </si>
  <si>
    <t>Whenever another minion takes damage, destroy it.</t>
  </si>
  <si>
    <t>Gahz'rilla</t>
  </si>
  <si>
    <t>Whenever this minion takes damage, double its Attack.</t>
  </si>
  <si>
    <t>King Krush</t>
  </si>
  <si>
    <t>Charge.</t>
  </si>
  <si>
    <t>Arcane Missiles</t>
  </si>
  <si>
    <t>Deal 3 damage randomly split among enemy characters.</t>
  </si>
  <si>
    <t>Mirror Image</t>
  </si>
  <si>
    <t>Summon two 0/2 minions with Taunt.</t>
  </si>
  <si>
    <t>Arcane Explosion</t>
  </si>
  <si>
    <t>Deal 1 damage to all enemy minions.</t>
  </si>
  <si>
    <t>Frostbolt</t>
  </si>
  <si>
    <t>Deal 3 damage to a character and Freeze it.</t>
  </si>
  <si>
    <t>Arcane Intellect</t>
  </si>
  <si>
    <t>Draw 2 cards.</t>
  </si>
  <si>
    <t>Frost Nova</t>
  </si>
  <si>
    <t>Freeze all enemy minions.</t>
  </si>
  <si>
    <t>Fireball</t>
  </si>
  <si>
    <t>Deal 6 damage.</t>
  </si>
  <si>
    <t>Polymorph</t>
  </si>
  <si>
    <t>Transform a minion into a 1/1 sheep.</t>
  </si>
  <si>
    <t>Water Elemental</t>
  </si>
  <si>
    <t>Freeze any character damaged by this minion.</t>
  </si>
  <si>
    <t>Flamestrike</t>
  </si>
  <si>
    <t>Deal 4 damage to all enemy minions.</t>
  </si>
  <si>
    <t>Ice Lance</t>
  </si>
  <si>
    <t>Freeze a character. If it was already Frozen, deal 4 damage instead.</t>
  </si>
  <si>
    <t>Mana Wyrm</t>
  </si>
  <si>
    <t>Whenever you cast a spell, gain +1 Attack.</t>
  </si>
  <si>
    <t>Flamecannon</t>
  </si>
  <si>
    <t>Deal 4 damage to a random enemy minion.</t>
  </si>
  <si>
    <t>Snowchugger</t>
  </si>
  <si>
    <t>Sorcerer's Apprentice</t>
  </si>
  <si>
    <t>Your spells cost (1) less.</t>
  </si>
  <si>
    <t>Duplicate</t>
  </si>
  <si>
    <t>Secret: When a friendly minion dies, put 2 copies of it into your hand.</t>
  </si>
  <si>
    <t>Ice Barrier</t>
  </si>
  <si>
    <t>Secret: As soon as your hero is attacked, gain 8 armor.</t>
  </si>
  <si>
    <t>Mirror Entity</t>
  </si>
  <si>
    <t>Secret: When your opponent plays a minion, summon a copy of it.</t>
  </si>
  <si>
    <t>Spellslinger</t>
  </si>
  <si>
    <t>Battlecry: Add a random spell card to each player's hand.</t>
  </si>
  <si>
    <t>Cone of Cold</t>
  </si>
  <si>
    <t>Freeze a minion and the minions next to it, and deal 1 damage to them.</t>
  </si>
  <si>
    <t>Dalaran Aspirant</t>
  </si>
  <si>
    <t>Inspire: Gain Spell Damage +1.</t>
  </si>
  <si>
    <t>Dragon's Breath</t>
  </si>
  <si>
    <t>Deal 4 damage. Costs (1) less for each minion that died this turn.</t>
  </si>
  <si>
    <t>Flame Lance</t>
  </si>
  <si>
    <t>Deal 8 damage to a minion.</t>
  </si>
  <si>
    <t>Fallen Hero</t>
  </si>
  <si>
    <t>Your Hero Power deals 1 extra damage.</t>
  </si>
  <si>
    <t>Unstable Portal</t>
  </si>
  <si>
    <t>Add a random minion to your hand. It costs (3) less.</t>
  </si>
  <si>
    <t>Counterspell</t>
  </si>
  <si>
    <t>Secret: When your opponent casts a spell, Counter it.</t>
  </si>
  <si>
    <t>Effigy</t>
  </si>
  <si>
    <t>Secret: When a friendly minion dies, summon a random minion with the same Cost.</t>
  </si>
  <si>
    <t>Flamewaker</t>
  </si>
  <si>
    <t>After you cast a spell, deal 2 damage randomly split among all enemies.</t>
  </si>
  <si>
    <t>Kirin Tor Mage</t>
  </si>
  <si>
    <t>Battlecry: The next Secret you play this turn costs (0).</t>
  </si>
  <si>
    <t>Polymorph: Boar</t>
  </si>
  <si>
    <t>Transform a minion into a 4/2 Boar with Charge.</t>
  </si>
  <si>
    <t>Soot Spewer</t>
  </si>
  <si>
    <t>Spell Damage +1.</t>
  </si>
  <si>
    <t>Vaporize</t>
  </si>
  <si>
    <t>Secret: When a minion attacks your hero, destroy it.</t>
  </si>
  <si>
    <t>Ethereal Arcanist</t>
  </si>
  <si>
    <t>If you control a Secret at the end of your turn, gain +2/+2.</t>
  </si>
  <si>
    <t>Goblin Blastmage</t>
  </si>
  <si>
    <t>Battlecry: If you control a Mech, deal 4 damage randomly split among enemy characters.</t>
  </si>
  <si>
    <t>Blizzard</t>
  </si>
  <si>
    <t>Deal 2 damage to all enemy minions and Freeze them.</t>
  </si>
  <si>
    <t>Arcane Blast</t>
  </si>
  <si>
    <t>Deal 2 damage to a minion. This spell gets double bonus from Spell Damage.</t>
  </si>
  <si>
    <t>Ice Block</t>
  </si>
  <si>
    <t>Secret: when your hero takes fatal damage, prevent it and become Immune this turn.</t>
  </si>
  <si>
    <t>Spellbender</t>
  </si>
  <si>
    <t>Secret: When an enemy casts a spell on a minion, summon a 1/3 as the new target.</t>
  </si>
  <si>
    <t>Echo of Medivh</t>
  </si>
  <si>
    <t>Put a copy of each friendly minion into your hand.</t>
  </si>
  <si>
    <t>Wee Spellstopper</t>
  </si>
  <si>
    <t>Adjacent minions can't be targeted by spells or Hero Powers.</t>
  </si>
  <si>
    <t>Coldarra Drake</t>
  </si>
  <si>
    <t>Dragon</t>
  </si>
  <si>
    <t>You can use your Hero Power any number of times.</t>
  </si>
  <si>
    <t>Pyroblast</t>
  </si>
  <si>
    <t>Deal 10 damage.</t>
  </si>
  <si>
    <t>Archmage Antonidas</t>
  </si>
  <si>
    <t>Whenever you cast a spell, put a 'Fireball' spell into your hand.</t>
  </si>
  <si>
    <t>Flame Leviathan</t>
  </si>
  <si>
    <t>When you draw this, deal 2 damage to all characters.</t>
  </si>
  <si>
    <t>Rhonin</t>
  </si>
  <si>
    <t>Deathrattle: Add 3 copies of Arcane Missiles to your hand.</t>
  </si>
  <si>
    <t>Blessing of Might</t>
  </si>
  <si>
    <t>Give a minion +3 Attack.</t>
  </si>
  <si>
    <t>Hand of Protection</t>
  </si>
  <si>
    <t>Give a minion Divine Shield.</t>
  </si>
  <si>
    <t>Humility</t>
  </si>
  <si>
    <t>Change a minion's Attack to 1.</t>
  </si>
  <si>
    <t>Light's Justice</t>
  </si>
  <si>
    <t>Holy Light</t>
  </si>
  <si>
    <t>Restore 6 Health.</t>
  </si>
  <si>
    <t>Blessing of Kings</t>
  </si>
  <si>
    <t>Give a minion +4/+4 (+4 Attack / +4 Health).</t>
  </si>
  <si>
    <t>Consecration</t>
  </si>
  <si>
    <t>Deal 2 damage to all enemies.</t>
  </si>
  <si>
    <t>Hammer of Wrath</t>
  </si>
  <si>
    <t>Deal 3 damage. Draw a card.</t>
  </si>
  <si>
    <t>Truesilver Champion</t>
  </si>
  <si>
    <t>Whenever your hero attacks, restore 2 health to it.</t>
  </si>
  <si>
    <t>Guardian of Kings</t>
  </si>
  <si>
    <t>Battlecry: Restore 6 Health to your hero.</t>
  </si>
  <si>
    <t>Avenge</t>
  </si>
  <si>
    <t>Secret: When one of your minions dies, give a friendly minion +3/+2.</t>
  </si>
  <si>
    <t>Blessing of Wisdom</t>
  </si>
  <si>
    <t>Choose a minion. Whenever it attacks, draw a card.</t>
  </si>
  <si>
    <t>Eye for an Eye</t>
  </si>
  <si>
    <t>Secret: When your hero takes damage, deal that much damage to the enemy hero.</t>
  </si>
  <si>
    <t>Noble Sacrifice</t>
  </si>
  <si>
    <t>Secret: When an enemy attacks, summon a 2/1 Defender as the new target.</t>
  </si>
  <si>
    <t>Redemption</t>
  </si>
  <si>
    <t>Secret: When one of your minions dies, return it to life with 1 Health.</t>
  </si>
  <si>
    <t>Repentance</t>
  </si>
  <si>
    <t>Secret: When your opponent plays a minion, reduce its Health to 1.</t>
  </si>
  <si>
    <t>Argent Protector</t>
  </si>
  <si>
    <t>Battlecry: Give a friendly minion Divine Shield.</t>
  </si>
  <si>
    <t>Seal of Light</t>
  </si>
  <si>
    <t>Restore 4 Health to your hero and gain +2 Attack this turn.</t>
  </si>
  <si>
    <t>Shielded Minibot</t>
  </si>
  <si>
    <t>Divine Shield.</t>
  </si>
  <si>
    <t>Seal of Champions</t>
  </si>
  <si>
    <t>Give a minion +3 Attack and Divine Shield</t>
  </si>
  <si>
    <t>Warhorse Trainer</t>
  </si>
  <si>
    <t>Your Silver Hand Recruits have +1 Attack.</t>
  </si>
  <si>
    <t>Murloc Knight</t>
  </si>
  <si>
    <t>Murloc</t>
  </si>
  <si>
    <t>Inspire: summon a random Murloc.</t>
  </si>
  <si>
    <t>Solemn Vigil</t>
  </si>
  <si>
    <t>Draw 2 cards. Costs (1) less for each minion that died this turn.</t>
  </si>
  <si>
    <t>Competitive Spirit</t>
  </si>
  <si>
    <t>Secret: When your turn starts, give your minions +1/+1.</t>
  </si>
  <si>
    <t>Argent Lance</t>
  </si>
  <si>
    <t>Battlecry: Reveal a minion in each deck. If yours costs more, +1 Durability.</t>
  </si>
  <si>
    <t>Equality</t>
  </si>
  <si>
    <t>Change the Health of ALL minions to 1.</t>
  </si>
  <si>
    <t>Aldor Peacekeeper</t>
  </si>
  <si>
    <t>Battlecry: Change an enemy minion's attack to 1.</t>
  </si>
  <si>
    <t>Divine Favor</t>
  </si>
  <si>
    <t>Draw cards until you have as many in hand as your opponent.</t>
  </si>
  <si>
    <t>Muster for Battle</t>
  </si>
  <si>
    <t>Summon three 1/1 Silver Hand Recruits. Equip a 1/4 Weapon.</t>
  </si>
  <si>
    <t>Scarlet Purifier</t>
  </si>
  <si>
    <t>Battlecry: Deal 2 damage to all minions with Deathrattle.</t>
  </si>
  <si>
    <t>Blessed Champion</t>
  </si>
  <si>
    <t>Double a minion's Attack.</t>
  </si>
  <si>
    <t>Cobalt Guardian</t>
  </si>
  <si>
    <t>Whenever you summon a Mech, gain Divine Shield.</t>
  </si>
  <si>
    <t>Dragon Consort</t>
  </si>
  <si>
    <t>Battlecry: The next Dragon you play costs (2) less.</t>
  </si>
  <si>
    <t>Holy Wrath</t>
  </si>
  <si>
    <t>Draw a card and deal damage equal to its cost.</t>
  </si>
  <si>
    <t>Tuskarr Jouster</t>
  </si>
  <si>
    <t>Battlecry: Reveal a minion in each deck. If yours costs more, restore 7 Health to your hero.</t>
  </si>
  <si>
    <t>Coghammer</t>
  </si>
  <si>
    <t>Battlecry: Give a random friendly minion Divine Shield and Taunt.</t>
  </si>
  <si>
    <t>Sword of Justice</t>
  </si>
  <si>
    <t>Whenever you summon a minion, give it +1/+1 and this loses 1 durability.</t>
  </si>
  <si>
    <t>Quartermaster</t>
  </si>
  <si>
    <t>Battlecry: Give your Silver Hand Recruits +2/+2.</t>
  </si>
  <si>
    <t>Avenging Wrath</t>
  </si>
  <si>
    <t>Deal 8 damage randomly split among enemy characters.</t>
  </si>
  <si>
    <t>Enter the Coliseum</t>
  </si>
  <si>
    <t>Destroy all minions except each player's highest Attack minion.</t>
  </si>
  <si>
    <t>Mysterious Challenger</t>
  </si>
  <si>
    <t>Battlecry: Put one of each Secret from your deck into the battlefield.</t>
  </si>
  <si>
    <t>Lay on Hands</t>
  </si>
  <si>
    <t>Restore 8 Health. Draw 3 cards.</t>
  </si>
  <si>
    <t>Bolvar Fordragon</t>
  </si>
  <si>
    <t>Whenever a friendly minion dies while this is in your hand, gain +1 Attack.</t>
  </si>
  <si>
    <t>Eadric the Pure</t>
  </si>
  <si>
    <t>Battlecry: Change all enemy minions' Attack to 1.</t>
  </si>
  <si>
    <t>Tirion Fordring</t>
  </si>
  <si>
    <t>Divine Shield. Taunt. Deathrattle: Equip a 5/3 Ashbringer.</t>
  </si>
  <si>
    <t>Holy Smite</t>
  </si>
  <si>
    <t>Mind Vision</t>
  </si>
  <si>
    <t>Put a copy of a random card in your opponent's hand into your hand.</t>
  </si>
  <si>
    <t>Northshire Cleric</t>
  </si>
  <si>
    <t>Whenever a minion is healed, draw a card.</t>
  </si>
  <si>
    <t>Power Word: Shield</t>
  </si>
  <si>
    <t>Give a minion +2 Health. Draw a card.</t>
  </si>
  <si>
    <t>Divine Spirit</t>
  </si>
  <si>
    <t>Double a minion's Health.</t>
  </si>
  <si>
    <t>Mind Blast</t>
  </si>
  <si>
    <t>Deal 5 damage to the enemy hero.</t>
  </si>
  <si>
    <t>Shadow Word: Pain</t>
  </si>
  <si>
    <t>Destroy a minion with 3 or less Attack.</t>
  </si>
  <si>
    <t>Shadow Word: Death</t>
  </si>
  <si>
    <t>Destroy a minion with an attack of 5 or more</t>
  </si>
  <si>
    <t>Holy Nova</t>
  </si>
  <si>
    <t>Deal 2 damage to all enemies. Restore 2 Health to all friendly characters.</t>
  </si>
  <si>
    <t>Mind Control</t>
  </si>
  <si>
    <t>Take control of an enemy minion.</t>
  </si>
  <si>
    <t>Circle of Healing</t>
  </si>
  <si>
    <t>Restore 4 health to ALL minions.</t>
  </si>
  <si>
    <t>Silence</t>
  </si>
  <si>
    <t>Silence a minion.</t>
  </si>
  <si>
    <t>Flash Heal</t>
  </si>
  <si>
    <t>Restore 5 Health.</t>
  </si>
  <si>
    <t>Inner Fire</t>
  </si>
  <si>
    <t>Change a minion's Attack to be equal to its Health.</t>
  </si>
  <si>
    <t>Power Word: Glory</t>
  </si>
  <si>
    <t>Choose a minion. Whenever it attacks, restore 4 health to your hero.</t>
  </si>
  <si>
    <t>Twilight Whelp</t>
  </si>
  <si>
    <t>Battlecry: If you're holding a Dragon, gain +2 Health.</t>
  </si>
  <si>
    <t>Shrinkmeister</t>
  </si>
  <si>
    <t>Battlecry: Give a minion -2 attack this turn.</t>
  </si>
  <si>
    <t>Dark Cultist</t>
  </si>
  <si>
    <t>Deathrattle: Give a random friendly minion +3 health.</t>
  </si>
  <si>
    <t>Thoughtsteal</t>
  </si>
  <si>
    <t>Copy 2 cards from your opponent's deck and put them into your hand.</t>
  </si>
  <si>
    <t>Velen's Chosen</t>
  </si>
  <si>
    <t>Give a minion +2/+4 and Spell Damage +1.</t>
  </si>
  <si>
    <t>Holy Champion</t>
  </si>
  <si>
    <t>Whenever a character is healed, gain +2 Attack.</t>
  </si>
  <si>
    <t>Lightspawn</t>
  </si>
  <si>
    <t>*</t>
  </si>
  <si>
    <t>This minion's Attack is always equal to its Health.</t>
  </si>
  <si>
    <t>Temple Enforcer</t>
  </si>
  <si>
    <t>Battlecry: Give a friendly minion +3 Health.</t>
  </si>
  <si>
    <t>Light of the Naaru</t>
  </si>
  <si>
    <t>Restore 3 Health. If the target is still damaged, summon a Lightwarden.</t>
  </si>
  <si>
    <t>Convert</t>
  </si>
  <si>
    <t>Put a copy of an enemy minion into your hand.</t>
  </si>
  <si>
    <t>Lightwell</t>
  </si>
  <si>
    <t>At the start of your turn, restore 3 Health to a damaged friendly character.</t>
  </si>
  <si>
    <t>Resurrect</t>
  </si>
  <si>
    <t>Summon a random friendly minion that died this game.</t>
  </si>
  <si>
    <t>Shadowboxer</t>
  </si>
  <si>
    <t>Whenever a character is healed, deal 1 damage to a random enemy.</t>
  </si>
  <si>
    <t>Wyrmrest Agent</t>
  </si>
  <si>
    <t>Battlecry: If you're holding a Dragon, gain +1 Attack and Taunt.</t>
  </si>
  <si>
    <t>Auchenai Soulpriest</t>
  </si>
  <si>
    <t>Your cards and powers that restore Health now deal damage instead.</t>
  </si>
  <si>
    <t>Mass Dispel</t>
  </si>
  <si>
    <t>Silence all enemy minions. Draw a card.</t>
  </si>
  <si>
    <t>Shadow Madness</t>
  </si>
  <si>
    <t>Gain control of an enemy minion with 3 or less Attack until end of turn.</t>
  </si>
  <si>
    <t>Spawn of Shadows</t>
  </si>
  <si>
    <t>Inspire: Deal 4 damage to each hero.</t>
  </si>
  <si>
    <t>Upgraded Repair Bot</t>
  </si>
  <si>
    <t>Battlecry: Give a friendly Mech +4 health.</t>
  </si>
  <si>
    <t>Holy Fire</t>
  </si>
  <si>
    <t>Deal 5 damage. Restore 5 health to your hero.</t>
  </si>
  <si>
    <t>Shadowbomber</t>
  </si>
  <si>
    <t>Battlecry: Deal 3 damage to each hero.</t>
  </si>
  <si>
    <t>Confuse</t>
  </si>
  <si>
    <t>Swap the Attack and Health of all minions.</t>
  </si>
  <si>
    <t>Shadowfiend</t>
  </si>
  <si>
    <t>Whenever you draw a card, reduce its cost by (1).</t>
  </si>
  <si>
    <t>Shadowform</t>
  </si>
  <si>
    <t>Your Hero Power becomes 'Deal 2 damage'. If already in Shadowform: 3 damage.</t>
  </si>
  <si>
    <t>Mindgames</t>
  </si>
  <si>
    <t>Put a copy of a random minion from your opponent's deck into the battlefield.</t>
  </si>
  <si>
    <t>Cabal Shadow Priest</t>
  </si>
  <si>
    <t>Battlecry: Take control of an enemy minion that has 2 or less Attack.</t>
  </si>
  <si>
    <t>Lightbomb</t>
  </si>
  <si>
    <t>Deal damage to each minion equal to its Attack.</t>
  </si>
  <si>
    <t>Vol'jin</t>
  </si>
  <si>
    <t>Battlecry: Swap Health with another minion.</t>
  </si>
  <si>
    <t>Confessor Paletress</t>
  </si>
  <si>
    <t>Inspire: Summon a random Legendary Minion.</t>
  </si>
  <si>
    <t>Prophet Velen</t>
  </si>
  <si>
    <t>Double the damage and healing of your spells and hero power.</t>
  </si>
  <si>
    <t>Backstab</t>
  </si>
  <si>
    <t>Deal 2 damage to an undamaged minion.</t>
  </si>
  <si>
    <t>Deadly Poison</t>
  </si>
  <si>
    <t>Give your weapon +2 Attack.</t>
  </si>
  <si>
    <t>Card Expansion Weighting</t>
  </si>
  <si>
    <t>Sinister Strike</t>
  </si>
  <si>
    <t>Deal 3 damage to the enemy hero.</t>
  </si>
  <si>
    <t>All</t>
  </si>
  <si>
    <t>Sap</t>
  </si>
  <si>
    <t>Return an enemy minion to its owner's hand.</t>
  </si>
  <si>
    <t>Shiv</t>
  </si>
  <si>
    <t>Deal 1 damage. Draw a card.</t>
  </si>
  <si>
    <t>Fan of Knives</t>
  </si>
  <si>
    <t>Deal 1 damage to all enemy minions. Draw a card.</t>
  </si>
  <si>
    <t>Assassin's Blade</t>
  </si>
  <si>
    <t>Assassinate</t>
  </si>
  <si>
    <t>Destroy an enemy minion.</t>
  </si>
  <si>
    <t>Vanish</t>
  </si>
  <si>
    <t>Return all minions to their owner's hand.</t>
  </si>
  <si>
    <t>Sprint</t>
  </si>
  <si>
    <t>Draw 4 cards.</t>
  </si>
  <si>
    <t>Shadowstep</t>
  </si>
  <si>
    <t>Return a friendly minion to your hand. It costs (2) less.</t>
  </si>
  <si>
    <t>Buccaneer</t>
  </si>
  <si>
    <t>Pirate</t>
  </si>
  <si>
    <t>Whenever you equip a weapon, give it +1 Attack.</t>
  </si>
  <si>
    <t>Cold Blood</t>
  </si>
  <si>
    <t>Give a minion +2 Attack. Combo: +4 Attack instead.</t>
  </si>
  <si>
    <t>Conceal</t>
  </si>
  <si>
    <t>Give your minions Stealth until your next turn.</t>
  </si>
  <si>
    <t>Betrayal</t>
  </si>
  <si>
    <t>Force an enemy minion to eal its damage to the minions next to it.</t>
  </si>
  <si>
    <t>Defias Ringleader</t>
  </si>
  <si>
    <t>Combo: Summon a 2/1 Defias Bandit.</t>
  </si>
  <si>
    <t>Eviscerate</t>
  </si>
  <si>
    <t>Deal 2 damage. Combo: Deal 4 damage instead.</t>
  </si>
  <si>
    <t>Gang Up</t>
  </si>
  <si>
    <t>Choose a minion. Shuffle 3 copies of it into your deck.</t>
  </si>
  <si>
    <t>Goblin Auto-Barber</t>
  </si>
  <si>
    <t>Battlecry: Give your weapon +1 Attack.</t>
  </si>
  <si>
    <t>Undercity Valiant</t>
  </si>
  <si>
    <t>Combo: Deal 1 damage.</t>
  </si>
  <si>
    <t>Anub'ar Ambusher</t>
  </si>
  <si>
    <t>Deathrattle: Return a random friendly minion to your hand.</t>
  </si>
  <si>
    <t>Tinker's Sharpsword Oil</t>
  </si>
  <si>
    <t>Give your weapon +3 Attack. Combo: Give a random friendly minion +3 Attack.</t>
  </si>
  <si>
    <t>Shado-Pan Rider</t>
  </si>
  <si>
    <t>Combo: +3 Attack</t>
  </si>
  <si>
    <t>Blade Flurry</t>
  </si>
  <si>
    <t>Destroy your weapon and deal its damage to all enemies.</t>
  </si>
  <si>
    <t>Cutpurse</t>
  </si>
  <si>
    <t>When this minion attacks the enemy hero, put a Coin into your hand.</t>
  </si>
  <si>
    <t>One-Eyed Cheat</t>
  </si>
  <si>
    <t>Whenever you summon a Pirate, gain Stealth.</t>
  </si>
  <si>
    <t>Burgle</t>
  </si>
  <si>
    <t>Add 2 random class cards to your hand (from your opponent's class).</t>
  </si>
  <si>
    <t>Headcrack</t>
  </si>
  <si>
    <t>Deal 2 damage to the enemy hero. Combo: Return this to your hand next turn.</t>
  </si>
  <si>
    <t>Iron Sensei</t>
  </si>
  <si>
    <t>At the end of your turn, give another friendly Mech +2/+2.</t>
  </si>
  <si>
    <t>Perdition's Blade</t>
  </si>
  <si>
    <t>Battlecry: Deal 1 damage. Combo: Deal 2 instead.</t>
  </si>
  <si>
    <t>Shady Dealer</t>
  </si>
  <si>
    <t>Battlecry: if you have a Pirate, gain +1/+1.</t>
  </si>
  <si>
    <t>SI:7 Agent</t>
  </si>
  <si>
    <t>Combo: Deal 2 damage.</t>
  </si>
  <si>
    <t>Master of Disguise</t>
  </si>
  <si>
    <t>Battlecry: Give a friendly minion Stealth.</t>
  </si>
  <si>
    <t>Dark Iron Skulker</t>
  </si>
  <si>
    <t>Battlecry: Deal 2 damage to all undamaged enemy minions.</t>
  </si>
  <si>
    <t>Ogre Ninja</t>
  </si>
  <si>
    <t>Stealth. 50% chance to attack the wrong enemy.</t>
  </si>
  <si>
    <t>Preparation</t>
  </si>
  <si>
    <t>The next spell you cast this turn costs (3) less.</t>
  </si>
  <si>
    <t>Patient Assassin</t>
  </si>
  <si>
    <t>Stealth. Destroy any minion damaged by this minion.</t>
  </si>
  <si>
    <t>Beneath the Grounds</t>
  </si>
  <si>
    <t>Shuffle 3 Ambushes into your opponent's deck. When drawn, you summon a 4/4 Nerubian.</t>
  </si>
  <si>
    <t>Cogmaster's Wrench</t>
  </si>
  <si>
    <t>Has +2 Attack while you have a Mech.</t>
  </si>
  <si>
    <t>Poisoned Blade</t>
  </si>
  <si>
    <t>Your Hero Power gives this weapon a +1 Attack instead of replacing it.</t>
  </si>
  <si>
    <t>Sabotage</t>
  </si>
  <si>
    <t>Destroy a random enemy minion. Combo: And your opponent's weapon.</t>
  </si>
  <si>
    <t>Kidnapper</t>
  </si>
  <si>
    <t>Combo: Return a minion to its owner's hand.</t>
  </si>
  <si>
    <t>Edwin VanCleef</t>
  </si>
  <si>
    <t>Combo: Gain +2/+2 for each other card played earlier this turn.</t>
  </si>
  <si>
    <t>Trade Prince Gallywix</t>
  </si>
  <si>
    <t>Whenever your opponent casts a spell, gain a copy of it and give them a Coin.</t>
  </si>
  <si>
    <t>Anub'arak</t>
  </si>
  <si>
    <t>Deathrattle: Return this to your hand and summon a 4/4 Nerubian.</t>
  </si>
  <si>
    <t>Ancestral Healing</t>
  </si>
  <si>
    <t>Restore a minion to full health and give it Taunt.</t>
  </si>
  <si>
    <t>Totemic Might</t>
  </si>
  <si>
    <t>Give your Totems +2 Health.</t>
  </si>
  <si>
    <t>Frost Shock</t>
  </si>
  <si>
    <t>Deal 1 damage to an enemy character and Freeze it.</t>
  </si>
  <si>
    <t>Rockbiter Weapon</t>
  </si>
  <si>
    <t>Give a friendly character +3 Attack this turn.</t>
  </si>
  <si>
    <t>Flametongue Totem</t>
  </si>
  <si>
    <t>Totem</t>
  </si>
  <si>
    <t>Adjacent minions have +2 Attack.</t>
  </si>
  <si>
    <t>Windfury</t>
  </si>
  <si>
    <t>Give a minion Windfury.</t>
  </si>
  <si>
    <t>Hex</t>
  </si>
  <si>
    <t>Transform a minion into a 0/1 frog with Taunt.</t>
  </si>
  <si>
    <t>Windspeaker</t>
  </si>
  <si>
    <t>Battlecry: Give a friendly minion Windfury.</t>
  </si>
  <si>
    <t>Bloodlust</t>
  </si>
  <si>
    <t>Give your Minions +3 Attack this turn.</t>
  </si>
  <si>
    <t>Fire Elemental</t>
  </si>
  <si>
    <t>Battlecry: Deal 3 damage.</t>
  </si>
  <si>
    <t>Dust Devil</t>
  </si>
  <si>
    <t>Windfury, Overload: (2)</t>
  </si>
  <si>
    <t>Earth Shock</t>
  </si>
  <si>
    <t>Silence a minion, then deal 1 damage to it.</t>
  </si>
  <si>
    <t>Forked Lightning</t>
  </si>
  <si>
    <t>Deal 2 damage to 2 random enemy minions. Overload: (2)</t>
  </si>
  <si>
    <t>Lightning Bolt</t>
  </si>
  <si>
    <t>Deal 3 damage. Overload: (1)</t>
  </si>
  <si>
    <t>Total Card Count (Golden)</t>
  </si>
  <si>
    <t>Ancestral Knowledge</t>
  </si>
  <si>
    <t>Draw 2 cards. Overload: (2)</t>
  </si>
  <si>
    <t>Crackle</t>
  </si>
  <si>
    <t>Deal 3-6 damage. Overload (1)</t>
  </si>
  <si>
    <t>Reincarnate</t>
  </si>
  <si>
    <t>Destroy a minion, then return it to life with full Health.</t>
  </si>
  <si>
    <t>Stormforged Axe</t>
  </si>
  <si>
    <t>Overload: (1)</t>
  </si>
  <si>
    <t>Totem Golem</t>
  </si>
  <si>
    <t>Whirling Zap-o-matic</t>
  </si>
  <si>
    <t>Windfury.</t>
  </si>
  <si>
    <t>Tuskarr Totemic</t>
  </si>
  <si>
    <t>Battlecry: Summon ANY random Totem.</t>
  </si>
  <si>
    <t>Unbound Elemental</t>
  </si>
  <si>
    <t>Whenever you play a card with Overload, gain +1/+1.</t>
  </si>
  <si>
    <t>Fireguard Destroyer</t>
  </si>
  <si>
    <t>Battlecry: Gain 1-4 Attack. Overload: (1)</t>
  </si>
  <si>
    <t>Ancestral Spirit</t>
  </si>
  <si>
    <t>Give a minion "Deathrattle: Resummon this minion."</t>
  </si>
  <si>
    <t>Lava Shock</t>
  </si>
  <si>
    <t>Deal 2 damage. Unlock your Overloaded Mana Crystals.</t>
  </si>
  <si>
    <t>Vitality Totem</t>
  </si>
  <si>
    <t>At the end of your turn, restore 4 Health to your hero.</t>
  </si>
  <si>
    <t>Feral Spirit</t>
  </si>
  <si>
    <t>Summon two 2/3 Spirit Wolves with Taunt. Overload: (2)</t>
  </si>
  <si>
    <t>Healing Wave</t>
  </si>
  <si>
    <t>Restore 7 Health. Reveal a minion in each deck. If yours costs more, Restore 14 instead.</t>
  </si>
  <si>
    <t>Lava Burst</t>
  </si>
  <si>
    <t>Deal 5 damage. Overload: (2)</t>
  </si>
  <si>
    <t>Lightning Storm</t>
  </si>
  <si>
    <t>Deal 2-3 damage to all enemy minions. Overload: (2)</t>
  </si>
  <si>
    <t>Mana Tide Totem</t>
  </si>
  <si>
    <t>At the end of your turn, draw a card.</t>
  </si>
  <si>
    <t>Powermace</t>
  </si>
  <si>
    <t>Deathrattle: Give a random friendly Mech +2/+2.</t>
  </si>
  <si>
    <t>Draenei Totemcarver</t>
  </si>
  <si>
    <t>Battlecry: Gain +1/+1 for each friendly Totem.</t>
  </si>
  <si>
    <t>Dunemaul Shaman</t>
  </si>
  <si>
    <t>Windfury. 50% chance to attack the wrong enemy. Overload: (1)</t>
  </si>
  <si>
    <t>Thunder Bluff Valiant</t>
  </si>
  <si>
    <t>Inspire: Give your Totems +2 Attack.</t>
  </si>
  <si>
    <t>Elemental Destruction</t>
  </si>
  <si>
    <t>Deal 4-5 damage to all minions. Overload: (5)</t>
  </si>
  <si>
    <t>Far Sight</t>
  </si>
  <si>
    <t>Draw a card. That card costs (3) less.</t>
  </si>
  <si>
    <t>Ancestor's Call</t>
  </si>
  <si>
    <t>Put a random minion from each player's hand into the battlefield.</t>
  </si>
  <si>
    <t>Charged Hammer</t>
  </si>
  <si>
    <t>Deathrattle: your Hero Power becomes 'Deal 2 damage'</t>
  </si>
  <si>
    <t>Siltfin Spiritwalker</t>
  </si>
  <si>
    <t>Whenever another friendly Murloc dies, draw a card.</t>
  </si>
  <si>
    <t>Doomhammer</t>
  </si>
  <si>
    <t>Windfury. Overload: (2)</t>
  </si>
  <si>
    <t>Earth Elemental</t>
  </si>
  <si>
    <t>Taunt. Overload: (3)</t>
  </si>
  <si>
    <t>The Mistcaller</t>
  </si>
  <si>
    <t>Battlecry: Give all minions in your hand and deck +1/+1.</t>
  </si>
  <si>
    <t>Neptulon</t>
  </si>
  <si>
    <t>Battlecry: Add 4 random Murlocs to your hand. Overload: (3)</t>
  </si>
  <si>
    <t>Al'Akir the Windlord</t>
  </si>
  <si>
    <t>Windfury, Charge, Divine Shield, Taunt.</t>
  </si>
  <si>
    <t>Sacrificial Pact</t>
  </si>
  <si>
    <t>Destroy a Demon. Restore 5 Health to your hero.</t>
  </si>
  <si>
    <t>Corruption</t>
  </si>
  <si>
    <t>Choose an enemy minion. At the start of your turn, destroy it.</t>
  </si>
  <si>
    <t>Mortal Coil</t>
  </si>
  <si>
    <t>Deal 1 damage to a minion. If that kills it, draw a card.</t>
  </si>
  <si>
    <t>Soulfire</t>
  </si>
  <si>
    <t>Deal 4 damage. Discard a random card.</t>
  </si>
  <si>
    <t>Voidwalker</t>
  </si>
  <si>
    <t>Demon</t>
  </si>
  <si>
    <t>Succubus</t>
  </si>
  <si>
    <t>Battlecry: Discard a random card.</t>
  </si>
  <si>
    <t>Drain Life</t>
  </si>
  <si>
    <t>Deal 2 damage. Restore 2 Health to your hero.</t>
  </si>
  <si>
    <t>Shadow Bolt</t>
  </si>
  <si>
    <t>Deal 4 damage to a minion.</t>
  </si>
  <si>
    <t>Hellfire</t>
  </si>
  <si>
    <t>Deal 3 damage to ALL characters.</t>
  </si>
  <si>
    <t>Dread Infernal</t>
  </si>
  <si>
    <t>Battlecry: Deal 1 damage to ALL other characters.</t>
  </si>
  <si>
    <t>Blood Imp</t>
  </si>
  <si>
    <t>Stealth. At the end of your turn, give another random friendly minion +1 Health.</t>
  </si>
  <si>
    <t>Flame Imp</t>
  </si>
  <si>
    <t>Battlecry: Deal 3 damage to your hero.</t>
  </si>
  <si>
    <t>Power Overwhelming</t>
  </si>
  <si>
    <t>Give a friendly minion +4/+4 until end of turn. Then, it dies. Horribly.</t>
  </si>
  <si>
    <t>Darkbomb</t>
  </si>
  <si>
    <t>Deal 3 damage.</t>
  </si>
  <si>
    <t>Demonfire</t>
  </si>
  <si>
    <t>Deal 2 damage to a minion. If it's a friendly Demon, give it +2/+2 instead.</t>
  </si>
  <si>
    <t>Demonfuse</t>
  </si>
  <si>
    <t>Give a Demon +3/+3. Give your opponent a Mana Crystal.</t>
  </si>
  <si>
    <t>Wrathguard</t>
  </si>
  <si>
    <t>Whenever this minion takes damage, also deal that amount to your hero.</t>
  </si>
  <si>
    <t>Imp Gang Boss</t>
  </si>
  <si>
    <t>Whenever this minsion takes damage, summon a 1/1 Imp.</t>
  </si>
  <si>
    <t>Sense Demons</t>
  </si>
  <si>
    <t>Put 2 random Demons from your deck into your hand.</t>
  </si>
  <si>
    <t>Summoning Portal</t>
  </si>
  <si>
    <t>Your minions cost (2) less, but not less than (1).</t>
  </si>
  <si>
    <t>Voidcaller</t>
  </si>
  <si>
    <t>Deathrattle: Put a random Demon from your hand into the battlefield.</t>
  </si>
  <si>
    <t>Floating Watcher</t>
  </si>
  <si>
    <t>Whenever your hero takes damage on your turn, gain +2/+2.</t>
  </si>
  <si>
    <t>Fearsome Doomguard</t>
  </si>
  <si>
    <t>Mistress of Pain</t>
  </si>
  <si>
    <t>Whenever this minion deals damage, restore that much Health to your hero.</t>
  </si>
  <si>
    <t>Tiny Knight of Evil</t>
  </si>
  <si>
    <t>Whenever you discard a card, gain +1/+1.</t>
  </si>
  <si>
    <t>Demonwrath</t>
  </si>
  <si>
    <t>Deal 2 damage to all non-Demon minions.</t>
  </si>
  <si>
    <t>Felguard</t>
  </si>
  <si>
    <t>Taunt. Battlecry: Destroy one of your mana crystals.</t>
  </si>
  <si>
    <t>Void Terror</t>
  </si>
  <si>
    <t>Battlecry: Destroy the minions on either side of this minion and gain their Attack and Health.</t>
  </si>
  <si>
    <t>Fel Cannon</t>
  </si>
  <si>
    <t>At the end of your turn, deal 2 damage to a non-Mech minion.</t>
  </si>
  <si>
    <t>Fist of Jaraxxus</t>
  </si>
  <si>
    <t>When you play or discard this, deal 4 damage to a random enemy.</t>
  </si>
  <si>
    <t>Imp-losion</t>
  </si>
  <si>
    <t>Deal 2-4 damage to a minion. Summon a 1/1 Imp for each damage dealt.</t>
  </si>
  <si>
    <t>Shadowflame</t>
  </si>
  <si>
    <t>Destroy a friendly minion and deal its attack damage to all enemy minions.</t>
  </si>
  <si>
    <t>Doomguard</t>
  </si>
  <si>
    <t>Charge. Battlecry: Discard two random cards.</t>
  </si>
  <si>
    <t>Siphon Soul</t>
  </si>
  <si>
    <t>Destroy a minion. Restore 3 Health to your hero.</t>
  </si>
  <si>
    <t>Void Crusher</t>
  </si>
  <si>
    <t>Inspire: Destroy a random minion for each player.</t>
  </si>
  <si>
    <t>Dreadsteed</t>
  </si>
  <si>
    <t>Deathrattle: Summon a Dreadsteed.</t>
  </si>
  <si>
    <t>Pit Lord</t>
  </si>
  <si>
    <t>Battlecry: Deal 5 damage to your hero.</t>
  </si>
  <si>
    <t>Bane of Doom</t>
  </si>
  <si>
    <t>Deal 2 damage to a character. If that kills it, summon a random Demon.</t>
  </si>
  <si>
    <t>Demonheart</t>
  </si>
  <si>
    <t>Deal 5 damage to a minion. If it’s a friendly Demon, give it +5/+5 instead.</t>
  </si>
  <si>
    <t>Anima Golem</t>
  </si>
  <si>
    <t>At the end of each turn, destroy this minion if it's your only one.</t>
  </si>
  <si>
    <t>Dark Bargain</t>
  </si>
  <si>
    <t>Destroy 2 random enemy minions. Discard 2 random cards.</t>
  </si>
  <si>
    <t>Twisting Nether</t>
  </si>
  <si>
    <t>Destroy all minions.</t>
  </si>
  <si>
    <t>Wilfred Fizzlebang</t>
  </si>
  <si>
    <t>Cards you draw from your Hero Power cost (0).</t>
  </si>
  <si>
    <t>Lord Jaraxxus</t>
  </si>
  <si>
    <t>Battlecry: Destroy your hero and replace him with Lord Jaraxxus.</t>
  </si>
  <si>
    <t>Mal'Ganis</t>
  </si>
  <si>
    <t>Your other Demons have +2/+2. Your hero is Immune.</t>
  </si>
  <si>
    <t>Execute</t>
  </si>
  <si>
    <t>Destroy a damaged enemy minion.</t>
  </si>
  <si>
    <t>Whirlwind</t>
  </si>
  <si>
    <t>Deal 1 damage to ALL minions.</t>
  </si>
  <si>
    <t>Cleave</t>
  </si>
  <si>
    <t>Deal 2 damage to two random enemy minions.</t>
  </si>
  <si>
    <t>Fiery War Axe</t>
  </si>
  <si>
    <t>Heroic Strike</t>
  </si>
  <si>
    <t>Give your hero +4 Attack this turn.</t>
  </si>
  <si>
    <t>Charge</t>
  </si>
  <si>
    <t>Give a friendly minion +2 Attack and Charge.</t>
  </si>
  <si>
    <t>Shield Block</t>
  </si>
  <si>
    <t>Gain 5 Armor. Draw a card.</t>
  </si>
  <si>
    <t>Warsong Commander</t>
  </si>
  <si>
    <t>Whenever you play a minion with 3 or less Attack, give it Charge.</t>
  </si>
  <si>
    <t>Kor'kron Elite</t>
  </si>
  <si>
    <t>Arcanite Reaper</t>
  </si>
  <si>
    <t>Inner Rage</t>
  </si>
  <si>
    <t>Deal 1 damage to a minion and give it +2 Attack.</t>
  </si>
  <si>
    <t>Warbot</t>
  </si>
  <si>
    <t>Enrage: +1 Attack.</t>
  </si>
  <si>
    <t>Battle Rage</t>
  </si>
  <si>
    <t>Draw a card for each damaged friendly character.</t>
  </si>
  <si>
    <t>Bolster</t>
  </si>
  <si>
    <t>Give your Taunt minions +2/+2.</t>
  </si>
  <si>
    <t>Cruel Taskmaster</t>
  </si>
  <si>
    <t>Battlecry: Deal 1 damage to a minion and give it +2 Attack.</t>
  </si>
  <si>
    <t>Rampage</t>
  </si>
  <si>
    <t>Give a damaged minion +3/+3.</t>
  </si>
  <si>
    <t>Slam</t>
  </si>
  <si>
    <t>Deal 2 damage to a minion. If it survives, draw a card.</t>
  </si>
  <si>
    <t>Bash</t>
  </si>
  <si>
    <t>Deal 3 Damage. Gain 3 Armor.</t>
  </si>
  <si>
    <t>Ogre Warmaul</t>
  </si>
  <si>
    <t>50% chance to attack the wrong enemy.</t>
  </si>
  <si>
    <t>Orgrimmar Aspirant</t>
  </si>
  <si>
    <t>Inspire: Give your weapon +1 Attack.</t>
  </si>
  <si>
    <t>Arathi Weaponsmith</t>
  </si>
  <si>
    <t>Battlecry: Equip a 2/2 weapon.</t>
  </si>
  <si>
    <t>Axe Flinger</t>
  </si>
  <si>
    <t>Whenever this minion takes damage, deal 2 damage to the enemy hero.</t>
  </si>
  <si>
    <t>Death's Bite</t>
  </si>
  <si>
    <t>Deathrattle: Deal 1 damage to all minions.</t>
  </si>
  <si>
    <t>Upgrade!</t>
  </si>
  <si>
    <t>If you have a weapon, give it +1/+1. Otherwise equip a 1/3 weapon.</t>
  </si>
  <si>
    <t>Alexstrasza's Champion</t>
  </si>
  <si>
    <t>Battlecry: If you're holding a Dragon, gain +1 Attack and Charge.</t>
  </si>
  <si>
    <t>Armorsmith</t>
  </si>
  <si>
    <t>Whenever a friendly minion takes damage, gain 1 Armor.</t>
  </si>
  <si>
    <t>Commanding Shout</t>
  </si>
  <si>
    <t>Your minions can't be reduced below 1 Health this turn. Draw a card.</t>
  </si>
  <si>
    <t>Revenge</t>
  </si>
  <si>
    <t>Deal 1 damage to all minions. If you have 12 or less Health, deal 3 damage instead.</t>
  </si>
  <si>
    <t>Sparring Partner</t>
  </si>
  <si>
    <t>Taunt. Battlecry: Give a minion Taunt.</t>
  </si>
  <si>
    <t>Frothing Berserker</t>
  </si>
  <si>
    <t>Whenever a minion takes damage, gain +1 Attack.</t>
  </si>
  <si>
    <t>King's Defender</t>
  </si>
  <si>
    <t>Battlecry: For every minion with Taunt you control, gain +1 Durability.</t>
  </si>
  <si>
    <t>Mortal Strike</t>
  </si>
  <si>
    <t>Deal 4 damage. If you have 12 or less Health, deal 6 instead.</t>
  </si>
  <si>
    <t>Screwjank Clunker</t>
  </si>
  <si>
    <t>Battlecry: Give a friendly Mech +2/+2.</t>
  </si>
  <si>
    <t>Siege Engine</t>
  </si>
  <si>
    <t>Whenever you gain Armor, give this minion +1 Attack.</t>
  </si>
  <si>
    <t>Shieldmaiden</t>
  </si>
  <si>
    <t>Battlecry: Gain 5 Armor.</t>
  </si>
  <si>
    <t>Shield Slam</t>
  </si>
  <si>
    <t>Deal 1 damage to a minion for each armor you have.</t>
  </si>
  <si>
    <t>Bouncing Blade</t>
  </si>
  <si>
    <t>Deal 1 damage to a random minion. Repeat until a minion dies.</t>
  </si>
  <si>
    <t>Magnataur Alpha</t>
  </si>
  <si>
    <t>Also damages the minions next to whomever he attacks.</t>
  </si>
  <si>
    <t>Brawl</t>
  </si>
  <si>
    <t>Destroy all minions except one. (chosen randomly)</t>
  </si>
  <si>
    <t>Sea Reaver</t>
  </si>
  <si>
    <t>When you Draw this card, deal 1 damage to all YOUR minions.</t>
  </si>
  <si>
    <t>Crush</t>
  </si>
  <si>
    <t>Destroy a minion. If you have a damaged minion, this costs (4) less.</t>
  </si>
  <si>
    <t>Gorehowl</t>
  </si>
  <si>
    <t>Attacking a minion costs 1 Attack instead of 1 Durability.</t>
  </si>
  <si>
    <t>Iron Juggernaut</t>
  </si>
  <si>
    <t>Battlecry: Shuffle a Mine into your opponent's deck. When drawn, it explodes for 10 damage.</t>
  </si>
  <si>
    <t>Grommash Hellscream</t>
  </si>
  <si>
    <t>Charge. Enrage: +6 Attack.</t>
  </si>
  <si>
    <t>Varian Wrynn</t>
  </si>
  <si>
    <t>Battlecry: Draw 3 cards. Put any minions you drew directly into the battlefield.</t>
  </si>
  <si>
    <t>Elven Archer</t>
  </si>
  <si>
    <t>Battlecry: Deal 1 damage.</t>
  </si>
  <si>
    <t>Goldshire Footman</t>
  </si>
  <si>
    <t>Grimscale Oracle</t>
  </si>
  <si>
    <t>ALL other Murlocs have +1 Attack.</t>
  </si>
  <si>
    <t>Murloc Raider</t>
  </si>
  <si>
    <t>Stonetusk Boar</t>
  </si>
  <si>
    <t>Voodoo Doctor</t>
  </si>
  <si>
    <t>Battlecry: Restore 2 Health.</t>
  </si>
  <si>
    <t>Acidic Swamp Ooze</t>
  </si>
  <si>
    <t>Battlecry: Destroy your opponent's weapon.</t>
  </si>
  <si>
    <t>Bloodfen Raptor</t>
  </si>
  <si>
    <t>Bluegill Warrior</t>
  </si>
  <si>
    <t>Frostwolf Grunt</t>
  </si>
  <si>
    <t>Kobold Geomancer</t>
  </si>
  <si>
    <t>Murloc Tidehunter</t>
  </si>
  <si>
    <t>Battlecry: Summon a 1/1 Murloc Scout.</t>
  </si>
  <si>
    <t>Novice Engineer</t>
  </si>
  <si>
    <t>Battlecry: Draw a card.</t>
  </si>
  <si>
    <t>River Crocolisk</t>
  </si>
  <si>
    <t>Dalaran Mage</t>
  </si>
  <si>
    <t>Ironforge Rifleman</t>
  </si>
  <si>
    <t>Ironfur Grizzly</t>
  </si>
  <si>
    <t>Magma Rager</t>
  </si>
  <si>
    <t>Raid Leader</t>
  </si>
  <si>
    <t>Your other minions have +1 Attack.</t>
  </si>
  <si>
    <t>Razorfen Hunter</t>
  </si>
  <si>
    <t>Battlecry: Summon a 1/1 Boar.</t>
  </si>
  <si>
    <t>Shattered Sun Cleric</t>
  </si>
  <si>
    <t>Battlecry: Give a friendly minion +1/+1.</t>
  </si>
  <si>
    <t>Silverback Patriarch</t>
  </si>
  <si>
    <t>Wolfrider</t>
  </si>
  <si>
    <t>Chillwind Yeti</t>
  </si>
  <si>
    <t>Dragonling Mechanic</t>
  </si>
  <si>
    <t>Battlecry: Summon a 2/1 Mechanical Dragonling.</t>
  </si>
  <si>
    <t>Gnomish Inventor</t>
  </si>
  <si>
    <t>Oasis Snapjaw</t>
  </si>
  <si>
    <t>Ogre Magi</t>
  </si>
  <si>
    <t>Sen'jin Shieldmasta</t>
  </si>
  <si>
    <t>Stormwind Knight</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</si>
  <si>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</si>
  <si>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</si>
  <si>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</si>
  <si>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</si>
  <si>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</si>
  <si>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</si>
  <si>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</si>
  <si>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Nightblade</t>
  </si>
  <si>
    <t>Battlecry: Deal 3 damage to the enemy hero.</t>
  </si>
  <si>
    <t>Stormpike Commando</t>
  </si>
  <si>
    <t>Battlecry: Deal 2 damage.</t>
  </si>
  <si>
    <t>Archmage</t>
  </si>
  <si>
    <t>Boulderfist Ogre</t>
  </si>
  <si>
    <t>Lord of the Arena</t>
  </si>
  <si>
    <t>Reckless Rocketeer</t>
  </si>
  <si>
    <t>Core Hound</t>
  </si>
  <si>
    <t>Stormwind Champion</t>
  </si>
  <si>
    <t>Your other minions have +1/+1.</t>
  </si>
  <si>
    <t>War Golem</t>
  </si>
  <si>
    <t>Wisp</t>
  </si>
  <si>
    <t>Abusive Sergeant</t>
  </si>
  <si>
    <t>Battlecry: Give a minion +2 Attack until the end of turn.</t>
  </si>
  <si>
    <t>Argent Squire</t>
  </si>
  <si>
    <t>Clockwork Gnome</t>
  </si>
  <si>
    <t>Deathrattle: Put a Spare Part card in your hand.</t>
  </si>
  <si>
    <t>Cogmaster</t>
  </si>
  <si>
    <t>Has +2 attack while you have a Mech.</t>
  </si>
  <si>
    <t>Gadgetzan Jouster</t>
  </si>
  <si>
    <t>Battlecry: Reveal a minion in each deck. If yours costs more, gain +1/+1.</t>
  </si>
  <si>
    <t>Leper Gnome</t>
  </si>
  <si>
    <t>Deathrattle: Deal 2 damage to the enemy hero.</t>
  </si>
  <si>
    <t>Lowly Squire</t>
  </si>
  <si>
    <t>Inspire: Gain +1 Attack.</t>
  </si>
  <si>
    <t>Shieldbearer</t>
  </si>
  <si>
    <t>Southsea Deckhand</t>
  </si>
  <si>
    <t>Has Charge while you have a weapon equipped.</t>
  </si>
  <si>
    <t>Tournament Attendee</t>
  </si>
  <si>
    <t>Taunt</t>
  </si>
  <si>
    <t>Undertaker</t>
  </si>
  <si>
    <t>Whenever you summon a minion with Deathrattle, gain +1/+1.</t>
  </si>
  <si>
    <t>Worgen Infiltrator</t>
  </si>
  <si>
    <t>Stealth.</t>
  </si>
  <si>
    <t>Young Dragonhawk</t>
  </si>
  <si>
    <t>Zombie Chow</t>
  </si>
  <si>
    <t>Deathrattle: Restore 5 Health to the enemy hero.</t>
  </si>
  <si>
    <t>Amani Berserker</t>
  </si>
  <si>
    <t>Enrage: +3 Attack.</t>
  </si>
  <si>
    <t>Annoy-o-Tron</t>
  </si>
  <si>
    <t>Taunt. Divine Shield.</t>
  </si>
  <si>
    <t>Bloodsail Raider</t>
  </si>
  <si>
    <t>Battlecry: Gain Attack equal to the Attack of your weapon.</t>
  </si>
  <si>
    <t>Boneguard Lieutenant</t>
  </si>
  <si>
    <t>Inspire: Gain +1 Health.</t>
  </si>
  <si>
    <t>Dire Wolf Alpha</t>
  </si>
  <si>
    <t>Adjacent minions have +1 Attack.</t>
  </si>
  <si>
    <t>Explosive Sheep</t>
  </si>
  <si>
    <t>Deathrattle: Deal 2 damage to all minions.</t>
  </si>
  <si>
    <t>Faerie Dragon</t>
  </si>
  <si>
    <t>Can't be targeted by Spells or Hero Powers.</t>
  </si>
  <si>
    <t>Flame Juggler</t>
  </si>
  <si>
    <t>Battlecry: Deal 1 damage to a random enemy.</t>
  </si>
  <si>
    <t>Gilblin Stalker</t>
  </si>
  <si>
    <t>Haunted Creeper</t>
  </si>
  <si>
    <t>Deathrattle: Summon two 1/1 Spectral Spiders.</t>
  </si>
  <si>
    <t>Ironbeak Owl</t>
  </si>
  <si>
    <t>Battlecry: Silence a minion.</t>
  </si>
  <si>
    <t>Lance Carrier</t>
  </si>
  <si>
    <t>Battlecry: Give a friendly minion +2 Attack.</t>
  </si>
  <si>
    <t>Loot Hoarder</t>
  </si>
  <si>
    <t>Deathrattle: Draw a card.</t>
  </si>
  <si>
    <t>Mad Bomber</t>
  </si>
  <si>
    <t>Battlecry: Deal 3 damage randomly split between ALL other characters.</t>
  </si>
  <si>
    <t>Mad Scientist</t>
  </si>
  <si>
    <t>Mechwarper</t>
  </si>
  <si>
    <t>Your Mechs cost (1) less.</t>
  </si>
  <si>
    <t>Micro Machine</t>
  </si>
  <si>
    <t>At the start of each turn, gain +1 Attack.</t>
  </si>
  <si>
    <t>Nerub'ar Weblord</t>
  </si>
  <si>
    <t>Minions with Battlecry cost (2) more.</t>
  </si>
  <si>
    <t>Puddlestomper</t>
  </si>
  <si>
    <t>Ship's Cannon</t>
  </si>
  <si>
    <t>Whenever you summon a Pirate, deal 2 damage to a random enemy.</t>
  </si>
  <si>
    <t>Stonesplinter Trogg</t>
  </si>
  <si>
    <t>Whenever your opponent casts a spell, gain +1 Attack.</t>
  </si>
  <si>
    <t>Unstable Ghoul</t>
  </si>
  <si>
    <t>Taunt. Deathrattle: Deal 1 damage to all minions.</t>
  </si>
  <si>
    <t>Youthful Brewmaster</t>
  </si>
  <si>
    <t>Battlecry: Return a friendly minion from the battlefield to your hand.</t>
  </si>
  <si>
    <t>Acolyte of Pain</t>
  </si>
  <si>
    <t>Whenever this minion takes damage, draw a card.</t>
  </si>
  <si>
    <t>Argent Horserider</t>
  </si>
  <si>
    <t>Battlecry: Gain Divine Shield and Charge</t>
  </si>
  <si>
    <t>Blackwing Technician</t>
  </si>
  <si>
    <t>Battlecry: If you're holding a Dragon, gain +1/+1.</t>
  </si>
  <si>
    <t>Dancing Swords</t>
  </si>
  <si>
    <t>Deathrattle: Your opponent draws a card.</t>
  </si>
  <si>
    <t>Dragonhawk Rider</t>
  </si>
  <si>
    <t>Inspire: Gain Windfury this turn.</t>
  </si>
  <si>
    <t>Earthen Ring Farseer</t>
  </si>
  <si>
    <t>Battlecry: Restore 3 Health.</t>
  </si>
  <si>
    <t>Flesheating Ghoul</t>
  </si>
  <si>
    <t>Whenever a minion dies, gain +1 Attack.</t>
  </si>
  <si>
    <t>Flying Machine</t>
  </si>
  <si>
    <t>Gnomeregan Infantry</t>
  </si>
  <si>
    <t>Charge. Taunt.</t>
  </si>
  <si>
    <t>Harvest Golem</t>
  </si>
  <si>
    <t>Deathrattle: Summon a 2/1 Damaged Golem.</t>
  </si>
  <si>
    <t>Ice Rager</t>
  </si>
  <si>
    <t>Jungle Panther</t>
  </si>
  <si>
    <t>Ogre Brute</t>
  </si>
  <si>
    <t>Raging Worgen</t>
  </si>
  <si>
    <t>Enrage: Windfury and +1 Attack.</t>
  </si>
  <si>
    <t>Scarlet Crusader</t>
  </si>
  <si>
    <t>Silent Knight</t>
  </si>
  <si>
    <t>Battlecry: Gain Stealth and Divine Shield</t>
  </si>
  <si>
    <t>Silver Hand Regent</t>
  </si>
  <si>
    <t>Inspire: Summon a 1/1 Silver Hand Recruit.</t>
  </si>
  <si>
    <t>Spider Tank</t>
  </si>
  <si>
    <t>Stoneskin Gargoyle</t>
  </si>
  <si>
    <t>At the start of your turn, restore this minion to full Health.</t>
  </si>
  <si>
    <t>Tauren Warrior</t>
  </si>
  <si>
    <t>Taunt. Enrage: +3 Attack.</t>
  </si>
  <si>
    <t>Thrallmar Farseer</t>
  </si>
  <si>
    <t>Tinkertown Technician</t>
  </si>
  <si>
    <t>Battlecry: If you control a Mech, gain +1/+1 and put a Spare Part in your hand.</t>
  </si>
  <si>
    <t>Ancient Brewmaster</t>
  </si>
  <si>
    <t>Burly Rockjaw Trogg</t>
  </si>
  <si>
    <t>Whenever your opponents casts a spell, gain +2 attack.</t>
  </si>
  <si>
    <t>Cult Master</t>
  </si>
  <si>
    <t>Whenever one of your other minions dies, draw a card.</t>
  </si>
  <si>
    <t>Dark Iron Dwarf</t>
  </si>
  <si>
    <t>Dragonkin Sorcerer</t>
  </si>
  <si>
    <t>Whenever you target this minion with a spell, gain +1/+1.</t>
  </si>
  <si>
    <t>Dread Corsair</t>
  </si>
  <si>
    <t>Taunt. Costs (1) less per Attack of your weapon.</t>
  </si>
  <si>
    <t>Evil Heckler</t>
  </si>
  <si>
    <t>Frigid Snobold</t>
  </si>
  <si>
    <t>Spell Damage +1</t>
  </si>
  <si>
    <t>Hungry Dragon</t>
  </si>
  <si>
    <t>Battlecry: Summon a random 1-Cost minion for your opponent.</t>
  </si>
  <si>
    <t>Lost Tallstrider</t>
  </si>
  <si>
    <t>Maiden of the Lake</t>
  </si>
  <si>
    <t>Your Hero Power costs (1).</t>
  </si>
  <si>
    <t>Mechanical Yeti</t>
  </si>
  <si>
    <t>Deathrattle: Give each player a Spare Part.</t>
  </si>
  <si>
    <t>Mogu'shan Warden</t>
  </si>
  <si>
    <t>Piloted Shredder</t>
  </si>
  <si>
    <t>Deathrattle: Summon a random 2-cost minion.</t>
  </si>
  <si>
    <t>Refreshment Vendor</t>
  </si>
  <si>
    <t>Battlecry: Restore 4 Health to each hero.</t>
  </si>
  <si>
    <t>Silvermoon Guardian</t>
  </si>
  <si>
    <t>Spellbreaker</t>
  </si>
  <si>
    <t>Tournament Medic</t>
  </si>
  <si>
    <t>Inspire: Restore 2 Health to your Hero.</t>
  </si>
  <si>
    <t>Antique Healbot</t>
  </si>
  <si>
    <t>Battlecry: Restore 8 Health to your hero.</t>
  </si>
  <si>
    <t>Blackwing Corruptor</t>
  </si>
  <si>
    <t>Battlecry: If you're holding a Dragon, deal 3 damage.</t>
  </si>
  <si>
    <t>Clockwork Knight</t>
  </si>
  <si>
    <t>Battlecry: Give a friendsly Mech +1/+1.</t>
  </si>
  <si>
    <t>Fen Creeper</t>
  </si>
  <si>
    <t>Kvaldir Raider</t>
  </si>
  <si>
    <t>Inspire: Gain +2/+2.</t>
  </si>
  <si>
    <t>Mukla's Champion</t>
  </si>
  <si>
    <t>Inspire: Give your other minions +1/+1.</t>
  </si>
  <si>
    <t>Pit Fighter</t>
  </si>
  <si>
    <t>Salty Dog</t>
  </si>
  <si>
    <t>Silver Hand Knight</t>
  </si>
  <si>
    <t>Battlecry: Summon a 2/2 Squire.</t>
  </si>
  <si>
    <t>Spectral Knight</t>
  </si>
  <si>
    <t>Can't be targetted by spells or Hero Powers.</t>
  </si>
  <si>
    <t>Spiteful Smith</t>
  </si>
  <si>
    <t>Enrage: Your Weapon has +2 Attack.</t>
  </si>
  <si>
    <t>Stranglethorn Tiger</t>
  </si>
  <si>
    <t>Venture Co. Mercenary</t>
  </si>
  <si>
    <t>Your minions cost (3) more.</t>
  </si>
  <si>
    <t>Drakonid Crusher</t>
  </si>
  <si>
    <t>Battlecry: If your opponent has 15 or less Health, gain +3/+3</t>
  </si>
  <si>
    <t>Frost Elemental</t>
  </si>
  <si>
    <t>Battlecry: Freeze a character.</t>
  </si>
  <si>
    <t>Priestess of Elune</t>
  </si>
  <si>
    <t>Battlecry: Restore 4 Health to your hero.</t>
  </si>
  <si>
    <t>Volcanic Drake</t>
  </si>
  <si>
    <t>Costs (1) less for each minion that died this turn.</t>
  </si>
  <si>
    <t>Windfury Harpy</t>
  </si>
  <si>
    <t>Captured Jormungar</t>
  </si>
  <si>
    <t>Force-Tank MAX</t>
  </si>
  <si>
    <t>North Sea Kraken</t>
  </si>
  <si>
    <t>Battlecry: Deal 4 damage.</t>
  </si>
  <si>
    <t>Target Dummy</t>
  </si>
  <si>
    <t>Angry Chicken</t>
  </si>
  <si>
    <t>Enrage: +5 Attack.</t>
  </si>
  <si>
    <t>Bloodsail Corsair</t>
  </si>
  <si>
    <t>Battlecry: Remove 1 Durability from your opponent's weapon.</t>
  </si>
  <si>
    <t>Dragon Egg</t>
  </si>
  <si>
    <t>Whenever this minion takes damage, summon a 2/1 Whelp.</t>
  </si>
  <si>
    <t>Injured Kvaldir</t>
  </si>
  <si>
    <t>Battlecry: Deal 3 damage to this minion.</t>
  </si>
  <si>
    <t>Lightwarden</t>
  </si>
  <si>
    <t>Murloc Tidecaller</t>
  </si>
  <si>
    <t>Whenever a Murloc is summoned, gain +1 Attack.</t>
  </si>
  <si>
    <t>Secretkeeper</t>
  </si>
  <si>
    <t>Whenever a Secret is played, gain +1/+1.</t>
  </si>
  <si>
    <t>Young Priestess</t>
  </si>
  <si>
    <t>At the end of your turn, give another random friendly minion +1 Health.</t>
  </si>
  <si>
    <t>Ancient Watcher</t>
  </si>
  <si>
    <t>Can't Attack.</t>
  </si>
  <si>
    <t>Argent Watchman</t>
  </si>
  <si>
    <t>Can't attack. Inspire: Can attack as normal this turn.</t>
  </si>
  <si>
    <t>Crazed Alchemist</t>
  </si>
  <si>
    <t>Battlecry: Swap the Attack and Health of a minion.</t>
  </si>
  <si>
    <t>Knife Juggler</t>
  </si>
  <si>
    <t>After you summon a minion, deal 1 damage to a random enemy.</t>
  </si>
  <si>
    <t>Mana Addict</t>
  </si>
  <si>
    <t>Whenever you cast a spell, gain +2 Attack this turn.</t>
  </si>
  <si>
    <t>Mana Wraith</t>
  </si>
  <si>
    <t>ALL minions cost (1) more.</t>
  </si>
  <si>
    <t>Master Swordsmith</t>
  </si>
  <si>
    <t>At the end of your turn, give another random friendly minion +1 Attack.</t>
  </si>
  <si>
    <t>Nerubian Egg</t>
  </si>
  <si>
    <t>Deathrattle: Summon a 4/4 Nerubian.</t>
  </si>
  <si>
    <t>Pint-Sized Summoner</t>
  </si>
  <si>
    <t>The first minion you play each turn costs (1) less.</t>
  </si>
  <si>
    <t>Sunfury Protector</t>
  </si>
  <si>
    <t>Battlecry: Give adjacent minions Taunt.</t>
  </si>
  <si>
    <t>Wild Pyromancer</t>
  </si>
  <si>
    <t>After you cast a spell, deal 1 damage to ALL minions.</t>
  </si>
  <si>
    <t>Alarm-o-Bot</t>
  </si>
  <si>
    <t>At the start of your turn, swap this minion with a random one in your hand.</t>
  </si>
  <si>
    <t>Arcane Golem</t>
  </si>
  <si>
    <t>Charge. Battlecry: Give your opponent a Mana Crystal.</t>
  </si>
  <si>
    <t>Coldlight Oracle</t>
  </si>
  <si>
    <t>Battlecry: Each player draws 2 cards.</t>
  </si>
  <si>
    <t>Coldlight Seer</t>
  </si>
  <si>
    <t>Battlecry: Give ALL other Murlocs +2 Health.</t>
  </si>
  <si>
    <t>Coliseum Manager</t>
  </si>
  <si>
    <t>Inspire: Return this minion to your hand.</t>
  </si>
  <si>
    <t>Deathlord</t>
  </si>
  <si>
    <t>Taunt. Deathrattle: Your opponents puts a minion from their deck into the battlefield.</t>
  </si>
  <si>
    <t>Demolisher</t>
  </si>
  <si>
    <t>At the start of your turn, deal 2 damage to a random enemy.</t>
  </si>
  <si>
    <t>Emperor Cobra</t>
  </si>
  <si>
    <t>Destroy any minion damaged by this minion.</t>
  </si>
  <si>
    <t>Fencing Coach</t>
  </si>
  <si>
    <t>Battlecry: The next time you use your Hero Power, it costs (2) less.</t>
  </si>
  <si>
    <t>Gnomish Experimenter</t>
  </si>
  <si>
    <t>Battlecry: Draw a card. If it's a minion, transform it into a Chicken.</t>
  </si>
  <si>
    <t>Goblin Sapper</t>
  </si>
  <si>
    <t>Has +4 Attack while your opponent has 6 or more cards in hand.</t>
  </si>
  <si>
    <t>Illuminator</t>
  </si>
  <si>
    <t>If you control a Secret at the end of your turn, restore 4 health to your hero.</t>
  </si>
  <si>
    <t>Imp Master</t>
  </si>
  <si>
    <t>At the end of your turn, deal 1 damage to this minion and summon a 1/1 Imp.</t>
  </si>
  <si>
    <t>Injured Blademaster</t>
  </si>
  <si>
    <t>Battlecry: Deal 4 damage to HIMSELF.</t>
  </si>
  <si>
    <t>Light's Champion</t>
  </si>
  <si>
    <t>Battlecry: Silence a Demon.</t>
  </si>
  <si>
    <t>Lil' Exorcist</t>
  </si>
  <si>
    <t>Taunt. Battlecry: Gain +1/+1 for each enemy Deathrattle minion.</t>
  </si>
  <si>
    <t>Mind Control Tech</t>
  </si>
  <si>
    <t>Battlecry: If your opponent has 4 or more minions, take control of one at random.</t>
  </si>
  <si>
    <t>Questing Adventurer</t>
  </si>
  <si>
    <t>Whenever you play a card, gain +1/+1.</t>
  </si>
  <si>
    <t>Saboteur</t>
  </si>
  <si>
    <t>Battlecry: Your opponent's Hero Power costs (5) more next turn.</t>
  </si>
  <si>
    <t>Ancient Mage</t>
  </si>
  <si>
    <t>Battlecry: Give adjacent minions Spell Damage +1.</t>
  </si>
  <si>
    <t>Arcane Nullifier X-21</t>
  </si>
  <si>
    <t>Taunt. Can't be targeted by spells or Hero Powers.</t>
  </si>
  <si>
    <t>Armored Warhorse</t>
  </si>
  <si>
    <t>Battlecry: Reveal a minion in each deck. If yours costs more, gain Charge.</t>
  </si>
  <si>
    <t>Defender of Argus</t>
  </si>
  <si>
    <t>Battlecry: Give adjacent minions +1/+1 and Taunt.</t>
  </si>
  <si>
    <t>Jeeves</t>
  </si>
  <si>
    <t>At the end of each player's turn, that player draws until they have 3 cards.</t>
  </si>
  <si>
    <t>Kezan Mystic</t>
  </si>
  <si>
    <t>Battlecry: Take control of a random enemy Secret.</t>
  </si>
  <si>
    <t>Twilight Drake</t>
  </si>
  <si>
    <t>1+</t>
  </si>
  <si>
    <t>Battlecry: Gain +1 Health for each card in your hand.</t>
  </si>
  <si>
    <t>Violet Teacher</t>
  </si>
  <si>
    <t>Whenever you cast a spell, summon a 1/1 Violet Apprentice.</t>
  </si>
  <si>
    <t>Wailing Soul</t>
  </si>
  <si>
    <t>Battlecry: Silence your other minions.</t>
  </si>
  <si>
    <t>Abomination</t>
  </si>
  <si>
    <t>Taunt. Deathrattle: Deal 2 damage to ALL characters.</t>
  </si>
  <si>
    <t>Azure Drake</t>
  </si>
  <si>
    <t>Spell Damage +1. Battlecry: Draw a card.</t>
  </si>
  <si>
    <t>Bomb Lobber</t>
  </si>
  <si>
    <t>Battlecry: Deal 4 damage to a random enemy minion.</t>
  </si>
  <si>
    <t>Grim Patron</t>
  </si>
  <si>
    <t>Whenever this minion survives damage, summon another Grim Patron.</t>
  </si>
  <si>
    <t>Madder Bomber</t>
  </si>
  <si>
    <t>Battlecry: Deal 6 damage randomly split between all other characters.</t>
  </si>
  <si>
    <t>Sludge Belcher</t>
  </si>
  <si>
    <t>Taunt. Deathrattle: Summon a 1/2 Slime with Taunt.</t>
  </si>
  <si>
    <t>Stampeding Kodo</t>
  </si>
  <si>
    <t>Battlecry: Destroy a random enemy minion with 2 or less Attack.</t>
  </si>
  <si>
    <t>Argent Commander</t>
  </si>
  <si>
    <t>Charge. Divine Shield.</t>
  </si>
  <si>
    <t>Gadgetzan Auctioneer</t>
  </si>
  <si>
    <t>Whenever you cast a spell, draw a card.</t>
  </si>
  <si>
    <t>Master Jouster</t>
  </si>
  <si>
    <t>Battlecry: Reveal a minion in each deck. If yours costs more, gain Taunt and Divine Shield.</t>
  </si>
  <si>
    <t>Mogor's Champion</t>
  </si>
  <si>
    <t>Sunwalker</t>
  </si>
  <si>
    <t>Ravenholdt Assassin</t>
  </si>
  <si>
    <t>Hungry Crab</t>
  </si>
  <si>
    <t>Battlecry: Destroy a Murloc and gain +2/+2.</t>
  </si>
  <si>
    <t>Captain's Parrot</t>
  </si>
  <si>
    <t>Battlecry: Put a random Pirate from your deck into your hand.</t>
  </si>
  <si>
    <t>Doomsayer</t>
  </si>
  <si>
    <t>At the start of your turn, destroy ALL minions.</t>
  </si>
  <si>
    <t>Echoing Ooze</t>
  </si>
  <si>
    <t>Battlecry: Summon an exact copy of this minion at the end of the turn.</t>
  </si>
  <si>
    <t>Garrison Commander</t>
  </si>
  <si>
    <t>You can use your Hero Power twice a turn.</t>
  </si>
  <si>
    <t>Recombobulator</t>
  </si>
  <si>
    <t>Battlecry: Transform a friendly minion into a random minion with the same Cost.</t>
  </si>
  <si>
    <t>Big Game Hunter</t>
  </si>
  <si>
    <t>Battlecry: Destroy a minion with an Attack of 7 or more.</t>
  </si>
  <si>
    <t>Blood Knight</t>
  </si>
  <si>
    <t>Battlecry: All minions lose Divine Shield. Gain +3/+3 for each Shield lost.</t>
  </si>
  <si>
    <t>Hobgoblin</t>
  </si>
  <si>
    <t>Whenever you play a 1-Attack minion, give it +2/+2.</t>
  </si>
  <si>
    <t>Master of Ceremonies</t>
  </si>
  <si>
    <t>Battlecry: If you have a minion with Spell Damage, gain +2/+2.</t>
  </si>
  <si>
    <t>Murloc Warleader</t>
  </si>
  <si>
    <t>ALL other Murlocs have +2/+1.</t>
  </si>
  <si>
    <t>Shade of Naxxramas</t>
  </si>
  <si>
    <t>Stealth. At the start of your turn, gain +1/+1.</t>
  </si>
  <si>
    <t>Southsea Captain</t>
  </si>
  <si>
    <t>Your other Pirates have +1/+1.</t>
  </si>
  <si>
    <t>Crowd Favorite</t>
  </si>
  <si>
    <t>Whenever you play a card with Battlecry, gain +1/+1.</t>
  </si>
  <si>
    <t>Enhance-o Mechano</t>
  </si>
  <si>
    <t>Battlecry: Give your other minions Windfury, Taunt, or Divine Shield (at random).</t>
  </si>
  <si>
    <t>Mini-Mage</t>
  </si>
  <si>
    <t>Stealth. Spell Damage +1.</t>
  </si>
  <si>
    <t>Twilight Guardian</t>
  </si>
  <si>
    <t>Faceless Manipulator</t>
  </si>
  <si>
    <t>Battlecry: Choose a minion and become a copy of it.</t>
  </si>
  <si>
    <t>Fel Reaver</t>
  </si>
  <si>
    <t>Whenever your opponent plays a card, discard the top 3 cards of your deck.</t>
  </si>
  <si>
    <t>Junkbot</t>
  </si>
  <si>
    <t>Whenver a friendly Mach dies, gain +2/+2.</t>
  </si>
  <si>
    <t>Recruiter</t>
  </si>
  <si>
    <t>Inspire: Add a 2/2 Squire to your hand.</t>
  </si>
  <si>
    <t>Grand Crusader</t>
  </si>
  <si>
    <t>Battlecry: Add a random Paladin card to your hand.</t>
  </si>
  <si>
    <t>Kodorider</t>
  </si>
  <si>
    <t>Inspire: Summon a 3/5 War Kodo.</t>
  </si>
  <si>
    <t>Piloted Sky Golem</t>
  </si>
  <si>
    <t>Deathrattle: Summon a random 4-cost minion.</t>
  </si>
  <si>
    <t>Sideshow Spelleater</t>
  </si>
  <si>
    <t>Battlecry: Copy your opponent's Hero Power.</t>
  </si>
  <si>
    <t>Frost Giant</t>
  </si>
  <si>
    <t>Costs (1) less for each time you used your Hero Power this game.</t>
  </si>
  <si>
    <t>Sea Giant</t>
  </si>
  <si>
    <t>Costs (1) less for each other minion on the battlefield.</t>
  </si>
  <si>
    <t>Clockwork Giant</t>
  </si>
  <si>
    <t>Costs (1) less Mana for each card in your opponent's hand.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</si>
  <si>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</si>
  <si>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</si>
  <si>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</si>
  <si>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</si>
  <si>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</si>
  <si>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</si>
  <si>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</si>
  <si>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</si>
  <si>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</si>
  <si>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</si>
  <si>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</si>
  <si>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</si>
  <si>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Eydis Darkbane</t>
  </si>
  <si>
    <t>Whenever you target this minion with a spell, deal 3 damage to a random enemy.</t>
  </si>
  <si>
    <t>Fjola Lightbane</t>
  </si>
  <si>
    <t>Whenever you target this minion with a spell, gain Divine Shield.</t>
  </si>
  <si>
    <t>King Mukla</t>
  </si>
  <si>
    <t>Battlecry: Give your opponent 2 Bananas.</t>
  </si>
  <si>
    <t>Tinkmaster Overspark</t>
  </si>
  <si>
    <t>Battlecry: Transform another random minion into a 5/5 Devilsaur or a 1/1 Squirrel.</t>
  </si>
  <si>
    <t>Baron Rivendare</t>
  </si>
  <si>
    <t>Your minions trigger their Deathrattle twice.</t>
  </si>
  <si>
    <t>Gormok the Impaler</t>
  </si>
  <si>
    <t>Battlecry: If you have at least 4 other minions, deal 4 damage.</t>
  </si>
  <si>
    <t>Old Murk-Eye</t>
  </si>
  <si>
    <t>Charge. Has +1 Attack for each other Murloc on the battlefield.</t>
  </si>
  <si>
    <t>Blingtron 3000</t>
  </si>
  <si>
    <t>Battlecry: Equip a random weapon for each player.</t>
  </si>
  <si>
    <t>Captain Greenskin</t>
  </si>
  <si>
    <t>Battlecry: Give your weapon +1/+1.</t>
  </si>
  <si>
    <t>Elite Tauren Chieftain</t>
  </si>
  <si>
    <t>Battlecry: Give both players the power to ROCK! (with a Power Chord card)</t>
  </si>
  <si>
    <t>Feugen</t>
  </si>
  <si>
    <t>Deathrattle: If Stalagg also died this game, summon Thaddius.</t>
  </si>
  <si>
    <t>Harrison Jones</t>
  </si>
  <si>
    <t>Battlecry: Destroy your opponent's weapon and draw cards equal to its Durability.</t>
  </si>
  <si>
    <t>Hemet Nesingwary</t>
  </si>
  <si>
    <t>Battlecry: Destroy a Beast.</t>
  </si>
  <si>
    <t>Leeroy Jenkins</t>
  </si>
  <si>
    <t>Charge. Battlecry: Summon two 1/1 Whelps for your opponent.</t>
  </si>
  <si>
    <t>Loatheb</t>
  </si>
  <si>
    <t>Battlecry: Enemy spells cost (5) more next turn.</t>
  </si>
  <si>
    <t>Mimiron's Head</t>
  </si>
  <si>
    <t>At the start of your turn, if you have at least 3 Mechs, destroy them all and form V-07-TR-0N.</t>
  </si>
  <si>
    <t>Nexus-Champion Saraad</t>
  </si>
  <si>
    <t>Inspire: Add a random spell to your hand.</t>
  </si>
  <si>
    <t>Stalagg</t>
  </si>
  <si>
    <t>Deathrattle: If Feugan also died this game, summon Thaddius.</t>
  </si>
  <si>
    <t>Bolf Ramshield</t>
  </si>
  <si>
    <t>Whenever your hero takes damage, this minion takes it instead.</t>
  </si>
  <si>
    <t>Cairne Bloodhoof</t>
  </si>
  <si>
    <t>Deathrattle: Summon a 4/5 Baine Bloodhoof.</t>
  </si>
  <si>
    <t>Emperor Thaurissan</t>
  </si>
  <si>
    <t>At the end of your turn, reduce the Cost of cards in your hand by (1).</t>
  </si>
  <si>
    <t>Gazlowe</t>
  </si>
  <si>
    <t>Whenever you cast a 1-mana spell, add a random Mech to your hand.</t>
  </si>
  <si>
    <t>Gelbin Mekkatorque</t>
  </si>
  <si>
    <t>Battlecry: Summon an AWESOME invention.</t>
  </si>
  <si>
    <t>Hogger</t>
  </si>
  <si>
    <t>At the end of your turn, summon a 2/2 Gnoll with Taunt.</t>
  </si>
  <si>
    <t>Illidan Stormrage</t>
  </si>
  <si>
    <t>Whenever you play a card, summon a 2/1 Flame of Azzinoth.</t>
  </si>
  <si>
    <t>Justicar Trueheart</t>
  </si>
  <si>
    <t>Battlecry: Replace your starting Hero Power with a better one.</t>
  </si>
  <si>
    <t>Maexxna</t>
  </si>
  <si>
    <t>Mogor the Ogre</t>
  </si>
  <si>
    <t>All minions have a 50% chance to attack the wrong enemy.</t>
  </si>
  <si>
    <t>Sylvanas Windrunner</t>
  </si>
  <si>
    <t>Deathrattle: Take control of a random enemy minion.</t>
  </si>
  <si>
    <t>The Beast</t>
  </si>
  <si>
    <t>Deathrattle: Summon a 3/3 Finkle Einhorn for your opponent.</t>
  </si>
  <si>
    <t>The Black Knight</t>
  </si>
  <si>
    <t>Battlecry: Destroy a minion with Taunt.</t>
  </si>
  <si>
    <t>The Skeleton Knight</t>
  </si>
  <si>
    <t>Deathrattle: Reveal a minion in each deck. If yours costs more, return this to your hand.</t>
  </si>
  <si>
    <t>Toshley</t>
  </si>
  <si>
    <t>Battlecry and Deathrattle: Add a Spare Part card to your hand.</t>
  </si>
  <si>
    <t>Baron Geddon</t>
  </si>
  <si>
    <t>At the end of your turn, deal 2 damage to ALL other characters.</t>
  </si>
  <si>
    <t>Chillmaw</t>
  </si>
  <si>
    <t>Taunt Deathrattle: If you're holding a Dragon, deal 3 damage to all minions.</t>
  </si>
  <si>
    <t>Dr. Boom</t>
  </si>
  <si>
    <t>Battlecry: Summon two 1/1 Boom Bots. WARNING: Bots may explode.</t>
  </si>
  <si>
    <t>Rend Blackhand</t>
  </si>
  <si>
    <t>Battlecry: If you're holding a Dragon, destroy a Legendary minion.</t>
  </si>
  <si>
    <t>Skycap'n Kragg</t>
  </si>
  <si>
    <t>Charrrrrge Costs (1) less for each friendly Pirate.</t>
  </si>
  <si>
    <t>Troggzor the Earthinator</t>
  </si>
  <si>
    <t>Whenever your opponent casts a spell, summon a Burly Rockjaw Trogg.</t>
  </si>
  <si>
    <t>Chromaggus</t>
  </si>
  <si>
    <t>Whenever you drag a card, put another copy into your hand.</t>
  </si>
  <si>
    <t>Foe Reaper 4000</t>
  </si>
  <si>
    <t>Gruul</t>
  </si>
  <si>
    <t>At the end of each turn, gain +1/+1.</t>
  </si>
  <si>
    <t>Kel'Thuzad</t>
  </si>
  <si>
    <t>At the end of each turn, summon all friendly minions that died this turn.</t>
  </si>
  <si>
    <t>Ragnaros the Firelord</t>
  </si>
  <si>
    <t>Can't Attack. At the end of your turn, deal 8 damage to a random enemy.</t>
  </si>
  <si>
    <t>Sneed's Old Shredder</t>
  </si>
  <si>
    <t>Deathrattle: Summon a random legendary minion.</t>
  </si>
  <si>
    <t>Alexstrasza</t>
  </si>
  <si>
    <t>Battlecry: Set a hero's remaining Health to 15.</t>
  </si>
  <si>
    <t>Icehowl</t>
  </si>
  <si>
    <t>Charge Can't attack heroes.</t>
  </si>
  <si>
    <t>Majordomo Executus</t>
  </si>
  <si>
    <t>Deathrattle: Replace your hero with Ragnaros, the Firelord.</t>
  </si>
  <si>
    <t>Malygos</t>
  </si>
  <si>
    <t>Spell Damage +5.</t>
  </si>
  <si>
    <t>Mekgineer Thermaplugg</t>
  </si>
  <si>
    <t>Whenever an enemy minions dies, summon a Leper Gnome.</t>
  </si>
  <si>
    <t>Nefarian</t>
  </si>
  <si>
    <t>Battlecry: Add 2 random spells to your hand (from your opponent's class).</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</si>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</sst>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5">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sz val="10.0"/>
      <color rgb="FF38761D"/>
    </font>
    <font>
      <b/>
      <sz val="12.0"/>
      <color rgb="FFFFFF00"/>
    </font>
    <font>
      <b/>
      <u/>
      <sz val="10.0"/>
    </font>
    <font>
      <sz val="10.0"/>
      <color rgb="FF7F6000"/>
    </font>
    <font>
      <b/>
      <u/>
      <sz val="10.0"/>
    </font>
    <font>
      <b/>
      <u/>
      <sz val="10.0"/>
    </font>
    <font>
      <b/>
      <color rgb="FF000000"/>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9FC5E8"/>
        <bgColor rgb="FF9FC5E8"/>
      </patternFill>
    </fill>
    <fill>
      <patternFill patternType="solid">
        <fgColor rgb="FFF9CB9C"/>
        <bgColor rgb="FFF9CB9C"/>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64">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1" numFmtId="0" xfId="0" applyAlignment="1" applyFont="1">
      <alignmen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31" fillId="10" fontId="7" numFmtId="0" xfId="0" applyAlignment="1" applyBorder="1" applyFont="1">
      <alignmen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31" fillId="10" fontId="14" numFmtId="0" xfId="0" applyAlignment="1" applyBorder="1" applyFont="1">
      <alignment/>
    </xf>
    <xf borderId="0" fillId="0" fontId="16" numFmtId="0" xfId="0" applyAlignment="1" applyFont="1">
      <alignment horizontal="righ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16" fillId="10" fontId="6" numFmtId="0" xfId="0" applyAlignment="1" applyBorder="1" applyFont="1">
      <alignment vertical="center" wrapText="1"/>
    </xf>
    <xf borderId="0" fillId="0" fontId="6" numFmtId="0" xfId="0" applyAlignment="1" applyFont="1">
      <alignment vertical="center" wrapText="1"/>
    </xf>
    <xf borderId="0" fillId="0" fontId="1" numFmtId="0" xfId="0" applyAlignment="1" applyFont="1">
      <alignment horizontal="center"/>
    </xf>
    <xf borderId="0" fillId="0" fontId="16" numFmtId="0" xfId="0" applyAlignment="1" applyFont="1">
      <alignment horizontal="right"/>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1" numFmtId="0" xfId="0" applyAlignment="1" applyFont="1">
      <alignment horizontal="right"/>
    </xf>
    <xf borderId="0" fillId="0" fontId="1"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37" numFmtId="0" xfId="0" applyAlignment="1" applyFont="1">
      <alignment horizontal="right"/>
    </xf>
    <xf borderId="0" fillId="0" fontId="37" numFmtId="0" xfId="0" applyAlignment="1" applyFont="1">
      <alignment horizontal="left"/>
    </xf>
    <xf borderId="0" fillId="0" fontId="37" numFmtId="0" xfId="0" applyAlignment="1" applyFont="1">
      <alignment horizontal="center"/>
    </xf>
    <xf borderId="0" fillId="0" fontId="37" numFmtId="0" xfId="0" applyAlignment="1" applyFont="1">
      <alignment horizontal="center"/>
    </xf>
    <xf borderId="0" fillId="0" fontId="37" numFmtId="0" xfId="0" applyAlignment="1" applyFont="1">
      <alignment horizontal="right"/>
    </xf>
    <xf borderId="0" fillId="0" fontId="37" numFmtId="9" xfId="0" applyAlignment="1" applyFont="1" applyNumberFormat="1">
      <alignment horizontal="right"/>
    </xf>
    <xf borderId="0" fillId="0" fontId="37" numFmtId="0" xfId="0" applyAlignment="1" applyFont="1">
      <alignment horizontal="center"/>
    </xf>
    <xf borderId="0" fillId="0" fontId="37" numFmtId="0" xfId="0" applyAlignment="1" applyFont="1">
      <alignment horizontal="left"/>
    </xf>
    <xf borderId="31" fillId="19" fontId="38" numFmtId="0" xfId="0" applyAlignment="1" applyBorder="1" applyFill="1" applyFont="1">
      <alignment horizontal="center"/>
    </xf>
    <xf borderId="0" fillId="0" fontId="1" numFmtId="0" xfId="0" applyAlignment="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9"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0" fillId="0" fontId="1" numFmtId="9" xfId="0" applyAlignment="1" applyFont="1" applyNumberFormat="1">
      <alignment horizontal="right"/>
    </xf>
    <xf borderId="0" fillId="0" fontId="1" numFmtId="0" xfId="0" applyAlignment="1" applyFont="1">
      <alignment horizontal="center"/>
    </xf>
    <xf borderId="0" fillId="0" fontId="1" numFmtId="0" xfId="0" applyAlignment="1" applyFont="1">
      <alignment horizontal="lef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center"/>
    </xf>
    <xf borderId="0" fillId="9" fontId="1" numFmtId="0" xfId="0" applyAlignment="1" applyFont="1">
      <alignment horizontal="lef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40" numFmtId="0" xfId="0" applyAlignment="1" applyFont="1">
      <alignment horizontal="right"/>
    </xf>
    <xf borderId="0" fillId="22" fontId="34" numFmtId="0" xfId="0" applyAlignment="1" applyFill="1" applyFont="1">
      <alignment horizontal="right"/>
    </xf>
    <xf borderId="0" fillId="22" fontId="34" numFmtId="0" xfId="0" applyAlignment="1" applyFont="1">
      <alignment horizontal="left"/>
    </xf>
    <xf borderId="0" fillId="22" fontId="34" numFmtId="0" xfId="0" applyAlignment="1" applyFont="1">
      <alignment horizontal="center"/>
    </xf>
    <xf borderId="0" fillId="9" fontId="34" numFmtId="0" xfId="0" applyAlignment="1" applyFont="1">
      <alignment horizontal="center"/>
    </xf>
    <xf borderId="0" fillId="9"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left"/>
    </xf>
    <xf borderId="35" fillId="23" fontId="1" numFmtId="0" xfId="0" applyAlignment="1" applyBorder="1" applyFill="1" applyFont="1">
      <alignment/>
    </xf>
    <xf borderId="23" fillId="23" fontId="1" numFmtId="0" xfId="0" applyAlignment="1" applyBorder="1" applyFont="1">
      <alignment horizontal="center"/>
    </xf>
    <xf borderId="24" fillId="23" fontId="1" numFmtId="0" xfId="0" applyAlignment="1" applyBorder="1" applyFont="1">
      <alignment horizontal="center"/>
    </xf>
    <xf borderId="22" fillId="23" fontId="1" numFmtId="0" xfId="0" applyAlignment="1" applyBorder="1" applyFont="1">
      <alignment horizontal="center"/>
    </xf>
    <xf borderId="59" fillId="0" fontId="41" numFmtId="0" xfId="0" applyAlignment="1" applyBorder="1" applyFont="1">
      <alignment/>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left"/>
    </xf>
    <xf borderId="0" fillId="9" fontId="34" numFmtId="0" xfId="0" applyAlignment="1" applyFont="1">
      <alignment horizontal="center"/>
    </xf>
    <xf borderId="59" fillId="10" fontId="42"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lef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center"/>
    </xf>
    <xf borderId="0" fillId="21" fontId="1" numFmtId="0" xfId="0" applyAlignment="1" applyFont="1">
      <alignment horizontal="lef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0" fillId="21" fontId="34" numFmtId="0" xfId="0" applyAlignment="1" applyFont="1">
      <alignment horizontal="left"/>
    </xf>
    <xf borderId="36" fillId="0" fontId="1" numFmtId="0" xfId="0" applyAlignment="1" applyBorder="1" applyFont="1">
      <alignment horizontal="center"/>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left"/>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23" fillId="23" fontId="1" numFmtId="0" xfId="0" applyAlignment="1" applyBorder="1" applyFont="1">
      <alignment horizontal="center"/>
    </xf>
    <xf borderId="24" fillId="23" fontId="1" numFmtId="0" xfId="0" applyAlignment="1" applyBorder="1" applyFont="1">
      <alignment horizontal="center"/>
    </xf>
    <xf borderId="23" fillId="23" fontId="1" numFmtId="0" xfId="0" applyAlignment="1" applyBorder="1" applyFont="1">
      <alignment horizontal="center"/>
    </xf>
    <xf borderId="24" fillId="23" fontId="1" numFmtId="0" xfId="0" applyAlignment="1" applyBorder="1" applyFont="1">
      <alignment horizontal="center"/>
    </xf>
    <xf borderId="0" fillId="0" fontId="1" numFmtId="0" xfId="0" applyAlignment="1" applyFont="1">
      <alignment/>
    </xf>
    <xf borderId="0" fillId="0" fontId="37" numFmtId="0" xfId="0" applyAlignment="1" applyFont="1">
      <alignment horizontal="right"/>
    </xf>
    <xf borderId="0" fillId="0" fontId="37" numFmtId="0" xfId="0" applyAlignment="1" applyFont="1">
      <alignment horizontal="left"/>
    </xf>
    <xf borderId="0" fillId="0" fontId="37" numFmtId="0" xfId="0" applyAlignment="1" applyFont="1">
      <alignment horizontal="center"/>
    </xf>
    <xf borderId="0" fillId="0" fontId="37" numFmtId="0" xfId="0" applyAlignment="1" applyFont="1">
      <alignment horizontal="center"/>
    </xf>
    <xf borderId="0" fillId="0" fontId="37" numFmtId="0" xfId="0" applyAlignment="1" applyFont="1">
      <alignment horizontal="right"/>
    </xf>
    <xf borderId="0" fillId="0" fontId="37" numFmtId="0" xfId="0" applyAlignment="1" applyFont="1">
      <alignment horizontal="center"/>
    </xf>
    <xf borderId="0" fillId="0" fontId="37" numFmtId="0" xfId="0" applyAlignment="1" applyFont="1">
      <alignment horizontal="left"/>
    </xf>
    <xf borderId="0" fillId="22" fontId="34" numFmtId="0" xfId="0" applyAlignment="1" applyFont="1">
      <alignment horizontal="center"/>
    </xf>
    <xf borderId="0" fillId="22" fontId="34"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center"/>
    </xf>
    <xf borderId="0" fillId="22" fontId="1" numFmtId="0" xfId="0" applyAlignment="1" applyFont="1">
      <alignment horizontal="left"/>
    </xf>
    <xf borderId="0" fillId="21" fontId="34" numFmtId="0" xfId="0" applyAlignment="1" applyFont="1">
      <alignment horizontal="right"/>
    </xf>
    <xf borderId="0" fillId="21" fontId="34" numFmtId="0" xfId="0" applyAlignment="1" applyFont="1">
      <alignment horizontal="center"/>
    </xf>
    <xf borderId="0" fillId="23" fontId="34" numFmtId="9" xfId="0" applyAlignment="1" applyFont="1" applyNumberFormat="1">
      <alignment horizontal="right"/>
    </xf>
    <xf borderId="0" fillId="23" fontId="34" numFmtId="0" xfId="0" applyAlignment="1" applyFont="1">
      <alignment horizontal="center"/>
    </xf>
    <xf borderId="0" fillId="9" fontId="1" numFmtId="0" xfId="0" applyAlignment="1" applyFont="1">
      <alignment horizontal="left"/>
    </xf>
    <xf borderId="0" fillId="21" fontId="1" numFmtId="0" xfId="0" applyAlignment="1" applyFont="1">
      <alignment horizontal="right"/>
    </xf>
    <xf borderId="0" fillId="21" fontId="1" numFmtId="9" xfId="0" applyAlignment="1" applyFont="1" applyNumberFormat="1">
      <alignment horizontal="right"/>
    </xf>
    <xf borderId="0" fillId="23" fontId="1" numFmtId="0" xfId="0" applyAlignment="1" applyFont="1">
      <alignment horizontal="right"/>
    </xf>
    <xf borderId="0" fillId="22" fontId="36" numFmtId="0" xfId="0" applyAlignment="1" applyFont="1">
      <alignment horizontal="left"/>
    </xf>
    <xf borderId="0" fillId="9" fontId="34" numFmtId="0" xfId="0" applyAlignment="1" applyFont="1">
      <alignment horizontal="center"/>
    </xf>
    <xf borderId="0" fillId="9"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0" fontId="38" numFmtId="0" xfId="0" applyAlignment="1" applyFont="1">
      <alignment horizontal="center"/>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3" fontId="1" numFmtId="0" xfId="0" applyAlignment="1" applyBorder="1" applyFont="1">
      <alignment horizontal="left"/>
    </xf>
    <xf borderId="0" fillId="23" fontId="1" numFmtId="0" xfId="0" applyAlignment="1" applyFont="1">
      <alignment horizontal="center"/>
    </xf>
    <xf borderId="0" fillId="23" fontId="1" numFmtId="0" xfId="0" applyAlignment="1" applyFont="1">
      <alignment horizontal="center"/>
    </xf>
    <xf borderId="0" fillId="2" fontId="16" numFmtId="0" xfId="0" applyAlignment="1" applyFont="1">
      <alignment horizontal="center"/>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3" fontId="1" numFmtId="0" xfId="0" applyAlignment="1" applyBorder="1" applyFont="1">
      <alignment horizontal="center"/>
    </xf>
    <xf borderId="0" fillId="0" fontId="35" numFmtId="0" xfId="0" applyAlignment="1" applyFont="1">
      <alignment horizontal="right"/>
    </xf>
    <xf borderId="0" fillId="23" fontId="1" numFmtId="9" xfId="0" applyAlignment="1" applyFont="1" applyNumberFormat="1">
      <alignment horizontal="righ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23" fontId="34" numFmtId="0" xfId="0" applyAlignment="1" applyFont="1">
      <alignment horizontal="righ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23" fontId="34" numFmtId="0" xfId="0" applyAlignment="1" applyFont="1">
      <alignment horizontal="right"/>
    </xf>
    <xf borderId="0" fillId="18" fontId="1" numFmtId="9" xfId="0" applyAlignment="1" applyFont="1" applyNumberFormat="1">
      <alignment horizontal="right"/>
    </xf>
    <xf borderId="0" fillId="0" fontId="34"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4" numFmtId="0" xfId="0" applyAlignment="1" applyFont="1">
      <alignment horizontal="right"/>
    </xf>
    <xf borderId="0" fillId="9" fontId="1" numFmtId="0" xfId="0" applyAlignment="1" applyFont="1">
      <alignment horizontal="right"/>
    </xf>
    <xf borderId="0" fillId="9" fontId="37" numFmtId="0" xfId="0" applyAlignment="1" applyFont="1">
      <alignment horizontal="right"/>
    </xf>
    <xf borderId="0" fillId="9" fontId="37" numFmtId="0" xfId="0" applyAlignment="1" applyFont="1">
      <alignment horizontal="left"/>
    </xf>
    <xf borderId="0" fillId="9" fontId="37" numFmtId="0" xfId="0" applyAlignment="1" applyFont="1">
      <alignment horizontal="center"/>
    </xf>
    <xf borderId="0" fillId="9" fontId="37" numFmtId="0" xfId="0" applyAlignment="1" applyFont="1">
      <alignment horizontal="center"/>
    </xf>
    <xf borderId="0" fillId="9" fontId="37" numFmtId="0" xfId="0" applyAlignment="1" applyFont="1">
      <alignment horizontal="right"/>
    </xf>
    <xf borderId="0" fillId="9" fontId="37" numFmtId="9" xfId="0" applyAlignment="1" applyFont="1" applyNumberFormat="1">
      <alignment horizontal="right"/>
    </xf>
    <xf borderId="0" fillId="9" fontId="37" numFmtId="0" xfId="0" applyAlignment="1" applyFont="1">
      <alignment horizontal="left"/>
    </xf>
    <xf borderId="0" fillId="9" fontId="37" numFmtId="0" xfId="0" applyAlignment="1" applyFont="1">
      <alignment horizontal="center"/>
    </xf>
    <xf borderId="0" fillId="21" fontId="40" numFmtId="0" xfId="0" applyAlignment="1" applyFont="1">
      <alignment horizontal="right"/>
    </xf>
    <xf borderId="0" fillId="21" fontId="40" numFmtId="0" xfId="0" applyAlignment="1" applyFont="1">
      <alignment horizontal="left"/>
    </xf>
    <xf borderId="0" fillId="21" fontId="40" numFmtId="0" xfId="0" applyAlignment="1" applyFont="1">
      <alignment horizontal="center"/>
    </xf>
    <xf borderId="0" fillId="21" fontId="40" numFmtId="0" xfId="0" applyAlignment="1" applyFont="1">
      <alignment horizontal="center"/>
    </xf>
    <xf borderId="0" fillId="21" fontId="40" numFmtId="0" xfId="0" applyAlignment="1" applyFont="1">
      <alignment horizontal="right"/>
    </xf>
    <xf borderId="0" fillId="21" fontId="40" numFmtId="0" xfId="0" applyAlignment="1" applyFont="1">
      <alignment horizontal="right"/>
    </xf>
    <xf borderId="0" fillId="21" fontId="40" numFmtId="9" xfId="0" applyAlignment="1" applyFont="1" applyNumberFormat="1">
      <alignment horizontal="right"/>
    </xf>
    <xf borderId="0" fillId="21" fontId="40" numFmtId="0" xfId="0" applyAlignment="1" applyFont="1">
      <alignment horizontal="center"/>
    </xf>
    <xf borderId="0" fillId="21" fontId="40" numFmtId="0" xfId="0" applyAlignment="1" applyFont="1">
      <alignment horizontal="left"/>
    </xf>
    <xf borderId="0" fillId="21" fontId="37" numFmtId="0" xfId="0" applyAlignment="1" applyFont="1">
      <alignment horizontal="right"/>
    </xf>
    <xf borderId="0" fillId="21" fontId="37" numFmtId="0" xfId="0" applyAlignment="1" applyFont="1">
      <alignment horizontal="left"/>
    </xf>
    <xf borderId="0" fillId="21" fontId="37" numFmtId="0" xfId="0" applyAlignment="1" applyFont="1">
      <alignment horizontal="center"/>
    </xf>
    <xf borderId="0" fillId="21" fontId="37" numFmtId="0" xfId="0" applyAlignment="1" applyFont="1">
      <alignment horizontal="center"/>
    </xf>
    <xf borderId="0" fillId="21" fontId="37" numFmtId="0" xfId="0" applyAlignment="1" applyFont="1">
      <alignment horizontal="right"/>
    </xf>
    <xf borderId="0" fillId="21" fontId="37" numFmtId="9" xfId="0" applyAlignment="1" applyFont="1" applyNumberFormat="1">
      <alignment horizontal="right"/>
    </xf>
    <xf borderId="0" fillId="21" fontId="37" numFmtId="0" xfId="0" applyAlignment="1" applyFont="1">
      <alignment horizontal="center"/>
    </xf>
    <xf borderId="0" fillId="21" fontId="37" numFmtId="0" xfId="0" applyAlignment="1" applyFont="1">
      <alignment horizontal="left"/>
    </xf>
    <xf borderId="0" fillId="21" fontId="1" numFmtId="0" xfId="0" applyAlignment="1" applyFont="1">
      <alignment horizontal="left"/>
    </xf>
    <xf borderId="0" fillId="23" fontId="37" numFmtId="0" xfId="0" applyAlignment="1" applyFont="1">
      <alignment horizontal="right"/>
    </xf>
    <xf borderId="0" fillId="23" fontId="37" numFmtId="0" xfId="0" applyAlignment="1" applyFont="1">
      <alignment horizontal="left"/>
    </xf>
    <xf borderId="0" fillId="23" fontId="37" numFmtId="0" xfId="0" applyAlignment="1" applyFont="1">
      <alignment horizontal="center"/>
    </xf>
    <xf borderId="0" fillId="23" fontId="37" numFmtId="0" xfId="0" applyAlignment="1" applyFont="1">
      <alignment horizontal="center"/>
    </xf>
    <xf borderId="0" fillId="23" fontId="37" numFmtId="0" xfId="0" applyAlignment="1" applyFont="1">
      <alignment horizontal="right"/>
    </xf>
    <xf borderId="0" fillId="23" fontId="37" numFmtId="9" xfId="0" applyAlignment="1" applyFont="1" applyNumberFormat="1">
      <alignment horizontal="right"/>
    </xf>
    <xf borderId="0" fillId="23" fontId="37" numFmtId="0" xfId="0" applyAlignment="1" applyFont="1">
      <alignment horizontal="center"/>
    </xf>
    <xf borderId="0" fillId="23" fontId="37" numFmtId="0" xfId="0" applyAlignment="1" applyFont="1">
      <alignment horizontal="left"/>
    </xf>
    <xf borderId="0" fillId="23" fontId="40" numFmtId="0" xfId="0" applyAlignment="1" applyFont="1">
      <alignment horizontal="right"/>
    </xf>
    <xf borderId="0" fillId="23" fontId="40" numFmtId="0" xfId="0" applyAlignment="1" applyFont="1">
      <alignment horizontal="left"/>
    </xf>
    <xf borderId="0" fillId="23" fontId="40" numFmtId="0" xfId="0" applyAlignment="1" applyFont="1">
      <alignment horizontal="center"/>
    </xf>
    <xf borderId="0" fillId="23" fontId="40" numFmtId="0" xfId="0" applyAlignment="1" applyFont="1">
      <alignment horizontal="center"/>
    </xf>
    <xf borderId="0" fillId="23" fontId="40" numFmtId="0" xfId="0" applyAlignment="1" applyFont="1">
      <alignment horizontal="right"/>
    </xf>
    <xf borderId="0" fillId="23" fontId="40" numFmtId="0" xfId="0" applyAlignment="1" applyFont="1">
      <alignment horizontal="right"/>
    </xf>
    <xf borderId="0" fillId="23" fontId="40" numFmtId="9" xfId="0" applyAlignment="1" applyFont="1" applyNumberFormat="1">
      <alignment horizontal="right"/>
    </xf>
    <xf borderId="0" fillId="23" fontId="40" numFmtId="0" xfId="0" applyAlignment="1" applyFont="1">
      <alignment horizontal="center"/>
    </xf>
    <xf borderId="0" fillId="23" fontId="40" numFmtId="0" xfId="0" applyAlignment="1" applyFont="1">
      <alignment horizontal="left"/>
    </xf>
    <xf borderId="0" fillId="23" fontId="40"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4" numFmtId="0" xfId="0" applyAlignment="1" applyFont="1">
      <alignment horizontal="center"/>
    </xf>
    <xf borderId="0" fillId="23" fontId="1" numFmtId="0" xfId="0" applyAlignment="1" applyFont="1">
      <alignment horizontal="right"/>
    </xf>
    <xf borderId="0" fillId="0" fontId="6" numFmtId="0" xfId="0" applyAlignment="1" applyFont="1">
      <alignment horizontal="right"/>
    </xf>
    <xf borderId="0" fillId="0" fontId="6" numFmtId="0" xfId="0" applyAlignment="1" applyFont="1">
      <alignment horizontal="left"/>
    </xf>
    <xf borderId="0" fillId="0" fontId="6" numFmtId="0" xfId="0" applyAlignment="1" applyFont="1">
      <alignment horizontal="center"/>
    </xf>
    <xf borderId="0" fillId="0" fontId="6" numFmtId="9" xfId="0" applyAlignment="1" applyFont="1" applyNumberFormat="1">
      <alignment horizontal="righ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44" numFmtId="0" xfId="0" applyAlignment="1" applyFont="1">
      <alignment horizontal="center"/>
    </xf>
    <xf borderId="0" fillId="0" fontId="45" numFmtId="0" xfId="0" applyFont="1"/>
    <xf borderId="31" fillId="0" fontId="46"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5" numFmtId="0" xfId="0" applyFont="1"/>
    <xf borderId="31" fillId="0" fontId="45" numFmtId="0" xfId="0" applyAlignment="1" applyBorder="1" applyFont="1">
      <alignment horizontal="center"/>
    </xf>
    <xf borderId="32" fillId="0" fontId="45" numFmtId="0" xfId="0" applyBorder="1" applyFont="1"/>
    <xf borderId="32" fillId="0" fontId="45" numFmtId="0" xfId="0" applyAlignment="1" applyBorder="1" applyFont="1">
      <alignment horizontal="center"/>
    </xf>
    <xf borderId="33" fillId="0" fontId="45"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7"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48" numFmtId="4" xfId="0" applyAlignment="1" applyFont="1" applyNumberFormat="1">
      <alignment horizontal="center"/>
    </xf>
    <xf borderId="31" fillId="0" fontId="48" numFmtId="4" xfId="0" applyAlignment="1" applyBorder="1" applyFont="1" applyNumberFormat="1">
      <alignment horizontal="center"/>
    </xf>
    <xf borderId="0" fillId="0" fontId="49" numFmtId="4" xfId="0" applyAlignment="1" applyFont="1" applyNumberFormat="1">
      <alignment horizontal="center" vertical="center" wrapText="1"/>
    </xf>
    <xf borderId="31" fillId="0" fontId="49" numFmtId="4" xfId="0" applyAlignment="1" applyBorder="1" applyFont="1" applyNumberFormat="1">
      <alignment horizontal="center" vertical="center" wrapText="1"/>
    </xf>
    <xf borderId="32" fillId="0" fontId="49" numFmtId="4" xfId="0" applyAlignment="1" applyBorder="1" applyFont="1" applyNumberFormat="1">
      <alignment horizontal="center" vertical="center" wrapText="1"/>
    </xf>
    <xf borderId="0" fillId="0" fontId="50" numFmtId="4" xfId="0" applyAlignment="1" applyFont="1" applyNumberFormat="1">
      <alignment horizontal="center"/>
    </xf>
    <xf borderId="59" fillId="0" fontId="50"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0" numFmtId="0" xfId="0" applyAlignment="1" applyBorder="1" applyFont="1">
      <alignment horizontal="center" vertical="center" wrapText="1"/>
    </xf>
    <xf borderId="0" fillId="0" fontId="50"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48" numFmtId="4" xfId="0" applyAlignment="1" applyBorder="1" applyFont="1" applyNumberFormat="1">
      <alignment horizontal="center" vertical="center"/>
    </xf>
    <xf borderId="24" fillId="0" fontId="48" numFmtId="170" xfId="0" applyAlignment="1" applyBorder="1" applyFont="1" applyNumberFormat="1">
      <alignment horizontal="center" vertical="center"/>
    </xf>
    <xf borderId="23" fillId="0" fontId="48" numFmtId="0" xfId="0" applyAlignment="1" applyBorder="1" applyFont="1">
      <alignment horizontal="center" vertical="center"/>
    </xf>
    <xf borderId="36" fillId="0" fontId="50"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1"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4"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2" numFmtId="0" xfId="0" applyAlignment="1" applyBorder="1" applyFill="1" applyFont="1">
      <alignment horizontal="center"/>
    </xf>
    <xf borderId="23" fillId="13" fontId="53"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4" numFmtId="0" xfId="0" applyAlignment="1" applyFont="1">
      <alignment/>
    </xf>
    <xf borderId="0" fillId="0" fontId="55" numFmtId="0" xfId="0" applyAlignment="1" applyFont="1">
      <alignment horizontal="left"/>
    </xf>
    <xf borderId="0" fillId="0" fontId="56" numFmtId="0" xfId="0" applyAlignment="1" applyFont="1">
      <alignment horizontal="left"/>
    </xf>
    <xf borderId="0" fillId="0" fontId="57" numFmtId="0" xfId="0" applyFont="1"/>
    <xf borderId="0" fillId="0" fontId="58" numFmtId="0" xfId="0" applyFont="1"/>
    <xf borderId="0" fillId="0" fontId="59"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0" numFmtId="0" xfId="0" applyAlignment="1" applyFont="1">
      <alignment horizontal="center" vertical="center"/>
    </xf>
    <xf borderId="0" fillId="5" fontId="16" numFmtId="0" xfId="0" applyAlignment="1" applyFont="1">
      <alignment horizontal="center"/>
    </xf>
    <xf borderId="23" fillId="6" fontId="61"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2" numFmtId="10" xfId="0" applyAlignment="1" applyBorder="1" applyFont="1" applyNumberFormat="1">
      <alignment horizontal="center" vertical="center"/>
    </xf>
    <xf borderId="24" fillId="3" fontId="63" numFmtId="164" xfId="0" applyAlignment="1" applyBorder="1" applyFont="1" applyNumberFormat="1">
      <alignment horizontal="center" vertical="center"/>
    </xf>
    <xf borderId="23" fillId="13" fontId="64" numFmtId="10" xfId="0" applyAlignment="1" applyBorder="1" applyFont="1" applyNumberFormat="1">
      <alignment horizontal="center" vertical="center"/>
    </xf>
    <xf borderId="24" fillId="13" fontId="65"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6"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7"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68" numFmtId="0" xfId="0" applyAlignment="1" applyBorder="1" applyFill="1" applyFont="1">
      <alignment horizontal="center"/>
    </xf>
    <xf borderId="24" fillId="18" fontId="69" numFmtId="0" xfId="0" applyAlignment="1" applyBorder="1" applyFont="1">
      <alignment horizontal="center"/>
    </xf>
    <xf borderId="24" fillId="18" fontId="70"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1" numFmtId="0" xfId="0" applyAlignment="1" applyBorder="1" applyFont="1">
      <alignment horizontal="center"/>
    </xf>
    <xf borderId="24" fillId="0" fontId="72" numFmtId="0" xfId="0" applyAlignment="1" applyBorder="1" applyFont="1">
      <alignment horizontal="center"/>
    </xf>
    <xf borderId="24" fillId="0" fontId="73" numFmtId="0" xfId="0" applyAlignment="1" applyBorder="1" applyFont="1">
      <alignment horizontal="center"/>
    </xf>
    <xf borderId="24" fillId="6" fontId="74"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5"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40"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6"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7"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78" numFmtId="0" xfId="0" applyAlignment="1" applyBorder="1" applyFont="1">
      <alignment/>
    </xf>
    <xf borderId="24" fillId="0" fontId="78" numFmtId="0" xfId="0" applyAlignment="1" applyBorder="1" applyFont="1">
      <alignment/>
    </xf>
    <xf borderId="24" fillId="0" fontId="16" numFmtId="0" xfId="0" applyAlignment="1" applyBorder="1" applyFont="1">
      <alignment/>
    </xf>
    <xf borderId="0" fillId="0" fontId="79" numFmtId="0" xfId="0" applyAlignment="1" applyFont="1">
      <alignment horizontal="left"/>
    </xf>
    <xf borderId="36" fillId="0" fontId="79"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79" numFmtId="0" xfId="0" applyAlignment="1" applyFont="1">
      <alignment horizontal="left"/>
    </xf>
    <xf borderId="36" fillId="6" fontId="79" numFmtId="0" xfId="0" applyAlignment="1" applyBorder="1" applyFont="1">
      <alignment horizontal="center"/>
    </xf>
    <xf borderId="23" fillId="6" fontId="79" numFmtId="0" xfId="0" applyAlignment="1" applyBorder="1" applyFont="1">
      <alignment horizontal="left"/>
    </xf>
    <xf borderId="24" fillId="6" fontId="79" numFmtId="0" xfId="0" applyAlignment="1" applyBorder="1" applyFont="1">
      <alignment horizontal="center"/>
    </xf>
    <xf borderId="23" fillId="0" fontId="78" numFmtId="0" xfId="0" applyAlignment="1" applyBorder="1" applyFont="1">
      <alignment horizontal="center"/>
    </xf>
    <xf borderId="23" fillId="0" fontId="79" numFmtId="0" xfId="0" applyAlignment="1" applyBorder="1" applyFont="1">
      <alignment horizontal="left"/>
    </xf>
    <xf borderId="24" fillId="0" fontId="79" numFmtId="0" xfId="0" applyAlignment="1" applyBorder="1" applyFont="1">
      <alignment horizontal="center"/>
    </xf>
    <xf borderId="23" fillId="0" fontId="71"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1"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0" numFmtId="0" xfId="0" applyAlignment="1" applyBorder="1" applyFont="1">
      <alignment/>
    </xf>
    <xf borderId="24" fillId="0" fontId="80" numFmtId="10" xfId="0" applyAlignment="1" applyBorder="1" applyFont="1" applyNumberFormat="1">
      <alignment horizontal="right"/>
    </xf>
    <xf borderId="24" fillId="0" fontId="80" numFmtId="0" xfId="0" applyAlignment="1" applyBorder="1" applyFont="1">
      <alignment/>
    </xf>
    <xf borderId="23" fillId="6" fontId="81" numFmtId="0" xfId="0" applyAlignment="1" applyBorder="1" applyFont="1">
      <alignment horizontal="center"/>
    </xf>
    <xf borderId="23" fillId="6" fontId="82" numFmtId="0" xfId="0" applyAlignment="1" applyBorder="1" applyFont="1">
      <alignment horizontal="center"/>
    </xf>
    <xf borderId="24" fillId="6" fontId="1" numFmtId="0" xfId="0" applyAlignment="1" applyBorder="1" applyFont="1">
      <alignment/>
    </xf>
    <xf borderId="24" fillId="6" fontId="83" numFmtId="0" xfId="0" applyAlignment="1" applyBorder="1" applyFont="1">
      <alignment horizontal="right"/>
    </xf>
    <xf borderId="24" fillId="6" fontId="83" numFmtId="0" xfId="0" applyAlignment="1" applyBorder="1" applyFont="1">
      <alignment horizontal="right"/>
    </xf>
    <xf borderId="24" fillId="6" fontId="83" numFmtId="168" xfId="0" applyAlignment="1" applyBorder="1" applyFont="1" applyNumberFormat="1">
      <alignment horizontal="right"/>
    </xf>
    <xf borderId="24" fillId="6" fontId="81" numFmtId="10" xfId="0" applyAlignment="1" applyBorder="1" applyFont="1" applyNumberFormat="1">
      <alignment horizontal="right"/>
    </xf>
    <xf borderId="24" fillId="6" fontId="82" numFmtId="10" xfId="0" applyAlignment="1" applyBorder="1" applyFont="1" applyNumberFormat="1">
      <alignment horizontal="right"/>
    </xf>
    <xf borderId="23" fillId="0" fontId="24" numFmtId="0" xfId="0" applyAlignment="1" applyBorder="1" applyFont="1">
      <alignment horizontal="center"/>
    </xf>
    <xf borderId="23" fillId="0" fontId="84" numFmtId="0" xfId="0" applyAlignment="1" applyBorder="1" applyFont="1">
      <alignment/>
    </xf>
    <xf borderId="0" fillId="0" fontId="82" numFmtId="0" xfId="0" applyAlignment="1" applyFont="1">
      <alignment horizontal="center"/>
    </xf>
    <xf borderId="0" fillId="0" fontId="77" numFmtId="0" xfId="0" applyAlignment="1" applyFont="1">
      <alignment horizontal="center"/>
    </xf>
    <xf borderId="36" fillId="0" fontId="16" numFmtId="0" xfId="0" applyAlignment="1" applyBorder="1" applyFont="1">
      <alignment horizontal="center"/>
    </xf>
    <xf borderId="23" fillId="0" fontId="82" numFmtId="0" xfId="0" applyAlignment="1" applyBorder="1" applyFont="1">
      <alignment horizontal="center"/>
    </xf>
    <xf borderId="23" fillId="0" fontId="77"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2" Target="sharedStrings.xml" Type="http://schemas.openxmlformats.org/officeDocument/2006/relationships/sharedString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1.xml" Type="http://schemas.openxmlformats.org/officeDocument/2006/relationships/drawing"/>
<Relationship Id="rId7"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2.xml" Type="http://schemas.openxmlformats.org/officeDocument/2006/relationships/drawing"/>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comments5.xml" Type="http://schemas.openxmlformats.org/officeDocument/2006/relationships/comments"/>
<Relationship Id="rId2" Target="../drawings/worksheetdrawing5.xml" Type="http://schemas.openxmlformats.org/officeDocument/2006/relationships/drawing"/>
<Relationship Id="rId3" Target="../drawings/vmlDrawing5.vml" Type="http://schemas.openxmlformats.org/officeDocument/2006/relationships/vmlDrawing"/>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worksheetdrawing8.xml" Type="http://schemas.openxmlformats.org/officeDocument/2006/relationships/drawing"/>
</Relationships>

</file>

<file path=xl/worksheets/_rels/sheet9.xml.rels><?xml version="1.0" encoding="UTF-8" standalone="no"?>
<Relationships xmlns="http://schemas.openxmlformats.org/package/2006/relationships">
<Relationship Id="rId1" Target="../comments6.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9.xml" Type="http://schemas.openxmlformats.org/officeDocument/2006/relationships/drawing"/>
<Relationship Id="rId14" Target="../drawings/vmlDrawing6.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drawings/worksheetdrawing10.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172.8</v>
      </c>
      <c r="X6" s="55" t="s">
        <v>13</v>
      </c>
      <c r="Y6" s="37"/>
      <c r="Z6" s="56" t="str">
        <f>sum(Z8:Z11)*5</f>
        <v>198.3</v>
      </c>
      <c r="AA6" s="57" t="s">
        <v>14</v>
      </c>
      <c r="AB6" s="37"/>
      <c r="AC6" s="58" t="str">
        <f>sum(AC8:AC11)*5</f>
        <v>164.8</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428</v>
      </c>
      <c r="J7" s="46" t="str">
        <f>'Card List'!AJ30</f>
        <v>432</v>
      </c>
      <c r="K7" s="47" t="str">
        <f t="shared" si="3"/>
        <v>4</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159</v>
      </c>
      <c r="D8" s="41" t="str">
        <f>'Card List'!AJ25</f>
        <v>169</v>
      </c>
      <c r="E8" s="42" t="str">
        <f t="shared" si="1"/>
        <v>10</v>
      </c>
      <c r="F8" s="43" t="str">
        <f t="shared" si="2"/>
        <v>94%</v>
      </c>
      <c r="G8" s="44"/>
      <c r="H8" s="45" t="s">
        <v>21</v>
      </c>
      <c r="I8" s="46" t="str">
        <f>'Card List'!AI31</f>
        <v>299</v>
      </c>
      <c r="J8" s="46" t="str">
        <f>'Card List'!AJ31</f>
        <v>338</v>
      </c>
      <c r="K8" s="47" t="str">
        <f t="shared" si="3"/>
        <v>39</v>
      </c>
      <c r="L8" s="48" t="str">
        <f t="shared" si="4"/>
        <v>88%</v>
      </c>
      <c r="M8" s="49"/>
      <c r="N8" s="62" t="s">
        <v>15</v>
      </c>
      <c r="O8" s="61" t="str">
        <f>'Misc Data'!D132+'Misc Data'!E132</f>
        <v>71.41%</v>
      </c>
      <c r="P8" s="38"/>
      <c r="Q8" s="70">
        <v>40.0</v>
      </c>
      <c r="R8" s="71">
        <v>5.0</v>
      </c>
      <c r="S8" s="38"/>
      <c r="T8" s="72" t="str">
        <f>'Card List'!AL30</f>
        <v>188</v>
      </c>
      <c r="U8" s="72" t="str">
        <f>'Card List'!AL30-'Card List'!AK30</f>
        <v>3</v>
      </c>
      <c r="V8" s="73" t="str">
        <f t="shared" ref="V8:V11" si="5">$O8*((T8-U8)/T8*$R8+U8/T8*$Q8)</f>
        <v>3.97</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62</v>
      </c>
      <c r="D9" s="41" t="str">
        <f>'Card List'!AJ26</f>
        <v>93</v>
      </c>
      <c r="E9" s="42" t="str">
        <f t="shared" si="1"/>
        <v>31</v>
      </c>
      <c r="F9" s="43" t="str">
        <f t="shared" si="2"/>
        <v>67%</v>
      </c>
      <c r="G9" s="44"/>
      <c r="H9" s="45" t="s">
        <v>22</v>
      </c>
      <c r="I9" s="46" t="str">
        <f>'Card List'!AI32</f>
        <v>93</v>
      </c>
      <c r="J9" s="46" t="str">
        <f>'Card List'!AJ32</f>
        <v>186</v>
      </c>
      <c r="K9" s="47" t="str">
        <f t="shared" si="3"/>
        <v>93</v>
      </c>
      <c r="L9" s="48" t="str">
        <f t="shared" si="4"/>
        <v>50%</v>
      </c>
      <c r="M9" s="49"/>
      <c r="N9" s="62" t="s">
        <v>21</v>
      </c>
      <c r="O9" s="61" t="str">
        <f>'Misc Data'!D133+'Misc Data'!E133</f>
        <v>22.91%</v>
      </c>
      <c r="P9" s="38"/>
      <c r="Q9" s="70">
        <v>100.0</v>
      </c>
      <c r="R9" s="71">
        <v>20.0</v>
      </c>
      <c r="S9" s="38"/>
      <c r="T9" s="72" t="str">
        <f>'Card List'!AL31</f>
        <v>162</v>
      </c>
      <c r="U9" s="72" t="str">
        <f>'Card List'!AL31-'Card List'!AK31</f>
        <v>23</v>
      </c>
      <c r="V9" s="73" t="str">
        <f t="shared" si="5"/>
        <v>7.18</v>
      </c>
      <c r="W9" s="38"/>
      <c r="X9" s="74" t="str">
        <f>'Card List'!AR31</f>
        <v>74</v>
      </c>
      <c r="Y9" s="74" t="str">
        <f>'Card List'!AR31-'Card List'!AQ31</f>
        <v>15</v>
      </c>
      <c r="Z9" s="75" t="str">
        <f t="shared" si="6"/>
        <v>8.30</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39</v>
      </c>
      <c r="D10" s="79" t="str">
        <f>'Card List'!AJ27</f>
        <v>87</v>
      </c>
      <c r="E10" s="80" t="str">
        <f t="shared" si="1"/>
        <v>48</v>
      </c>
      <c r="F10" s="81" t="str">
        <f t="shared" si="2"/>
        <v>45%</v>
      </c>
      <c r="G10" s="44"/>
      <c r="H10" s="82" t="s">
        <v>23</v>
      </c>
      <c r="I10" s="83" t="str">
        <f>'Card List'!AI33</f>
        <v>39</v>
      </c>
      <c r="J10" s="83" t="str">
        <f>'Card List'!AJ33</f>
        <v>87</v>
      </c>
      <c r="K10" s="84" t="str">
        <f t="shared" si="3"/>
        <v>48</v>
      </c>
      <c r="L10" s="85" t="str">
        <f t="shared" si="4"/>
        <v>45%</v>
      </c>
      <c r="M10" s="49"/>
      <c r="N10" s="62" t="s">
        <v>22</v>
      </c>
      <c r="O10" s="61" t="str">
        <f>'Misc Data'!D134+'Misc Data'!E134</f>
        <v>4.49%</v>
      </c>
      <c r="P10" s="38"/>
      <c r="Q10" s="70">
        <v>400.0</v>
      </c>
      <c r="R10" s="71">
        <v>100.0</v>
      </c>
      <c r="S10" s="38"/>
      <c r="T10" s="72" t="str">
        <f>'Card List'!AL32</f>
        <v>74</v>
      </c>
      <c r="U10" s="72" t="str">
        <f>'Card List'!AL32-'Card List'!AK32</f>
        <v>35</v>
      </c>
      <c r="V10" s="73" t="str">
        <f t="shared" si="5"/>
        <v>10.87</v>
      </c>
      <c r="W10" s="38"/>
      <c r="X10" s="74" t="str">
        <f>'Card List'!AR32</f>
        <v>52</v>
      </c>
      <c r="Y10" s="74" t="str">
        <f>'Card List'!AR32-'Card List'!AQ32</f>
        <v>29</v>
      </c>
      <c r="Z10" s="75" t="str">
        <f t="shared" si="6"/>
        <v>12.02</v>
      </c>
      <c r="AA10" s="76" t="str">
        <f>'Card List'!AV32</f>
        <v>54</v>
      </c>
      <c r="AB10" s="76" t="str">
        <f>'Card List'!AV32-'Card List'!AU32</f>
        <v>27</v>
      </c>
      <c r="AC10" s="77" t="str">
        <f t="shared" si="7"/>
        <v>11.24</v>
      </c>
      <c r="AE10" s="59"/>
      <c r="AF10" s="59"/>
      <c r="AG10" s="59"/>
      <c r="AH10" s="59"/>
      <c r="AI10" s="59"/>
      <c r="AJ10" s="59"/>
      <c r="AK10" s="59"/>
      <c r="AL10" s="59"/>
      <c r="AM10" s="59"/>
      <c r="AN10" s="59"/>
      <c r="AO10" s="59"/>
      <c r="AP10" s="59"/>
      <c r="AQ10" s="59"/>
    </row>
    <row r="11">
      <c r="A11" s="16"/>
      <c r="B11" s="17" t="s">
        <v>24</v>
      </c>
      <c r="C11" s="86" t="str">
        <f t="shared" ref="C11:D11" si="8">sum(C6:C10)</f>
        <v>608</v>
      </c>
      <c r="D11" s="86" t="str">
        <f t="shared" si="8"/>
        <v>698</v>
      </c>
      <c r="E11" s="87" t="str">
        <f t="shared" si="1"/>
        <v>90</v>
      </c>
      <c r="F11" s="88" t="str">
        <f t="shared" si="2"/>
        <v>87.1%</v>
      </c>
      <c r="G11" s="32"/>
      <c r="H11" s="89" t="s">
        <v>24</v>
      </c>
      <c r="I11" s="90" t="str">
        <f t="shared" ref="I11:J11" si="9">sum(I6:I10)</f>
        <v>1125</v>
      </c>
      <c r="J11" s="90" t="str">
        <f t="shared" si="9"/>
        <v>1309</v>
      </c>
      <c r="K11" s="91" t="str">
        <f t="shared" si="3"/>
        <v>184</v>
      </c>
      <c r="L11" s="92" t="str">
        <f t="shared" si="4"/>
        <v>85.9%</v>
      </c>
      <c r="M11" s="93"/>
      <c r="N11" s="94" t="s">
        <v>23</v>
      </c>
      <c r="O11" s="61" t="str">
        <f>'Misc Data'!D135+'Misc Data'!E135</f>
        <v>1.19%</v>
      </c>
      <c r="P11" s="38"/>
      <c r="Q11" s="94">
        <v>1600.0</v>
      </c>
      <c r="R11" s="95">
        <v>400.0</v>
      </c>
      <c r="S11" s="96"/>
      <c r="T11" s="72" t="str">
        <f>'Card List'!AL33</f>
        <v>33</v>
      </c>
      <c r="U11" s="72" t="str">
        <f>'Card List'!AL33-'Card List'!AK33</f>
        <v>18</v>
      </c>
      <c r="V11" s="73" t="str">
        <f t="shared" si="5"/>
        <v>12.54</v>
      </c>
      <c r="W11" s="38"/>
      <c r="X11" s="74" t="str">
        <f>'Card List'!AR33</f>
        <v>20</v>
      </c>
      <c r="Y11" s="74" t="str">
        <f>'Card List'!AR33-'Card List'!AQ33</f>
        <v>15</v>
      </c>
      <c r="Z11" s="97" t="str">
        <f t="shared" si="6"/>
        <v>15.46</v>
      </c>
      <c r="AA11" s="76" t="str">
        <f>'Card List'!AV33</f>
        <v>20</v>
      </c>
      <c r="AB11" s="76" t="str">
        <f>'Card List'!AV33-'Card List'!AU33</f>
        <v>12</v>
      </c>
      <c r="AC11" s="98" t="str">
        <f t="shared" si="7"/>
        <v>13.32</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338</v>
      </c>
      <c r="D15" s="41" t="str">
        <f>sum('Card List'!AL23:AL27)</f>
        <v>378</v>
      </c>
      <c r="E15" s="41" t="str">
        <f t="shared" ref="E15:E21" si="10">D15-C15</f>
        <v>40</v>
      </c>
      <c r="F15" s="43" t="str">
        <f t="shared" ref="F15:F21" si="11">C15/D15</f>
        <v>89%</v>
      </c>
      <c r="G15" s="117"/>
      <c r="H15" s="118" t="s">
        <v>33</v>
      </c>
      <c r="I15" s="46" t="str">
        <f>sum('Card List'!AK29:AK33)</f>
        <v>644</v>
      </c>
      <c r="J15" s="46" t="str">
        <f>sum('Card List'!AL29:AL33)</f>
        <v>723</v>
      </c>
      <c r="K15" s="46" t="str">
        <f t="shared" ref="K15:K20" si="12">J15-I15</f>
        <v>79</v>
      </c>
      <c r="L15" s="48" t="str">
        <f t="shared" ref="L15:L21" si="13">I15/J15</f>
        <v>89%</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0</v>
      </c>
      <c r="D16" s="41" t="str">
        <f>sum('Card List'!AN23:AN27)</f>
        <v>4</v>
      </c>
      <c r="E16" s="41" t="str">
        <f t="shared" si="10"/>
        <v>4</v>
      </c>
      <c r="F16" s="43" t="str">
        <f t="shared" si="11"/>
        <v>0%</v>
      </c>
      <c r="G16" s="117"/>
      <c r="H16" s="118" t="s">
        <v>37</v>
      </c>
      <c r="I16" s="46" t="str">
        <f>sum('Card List'!AM29:AM33)</f>
        <v>0</v>
      </c>
      <c r="J16" s="46" t="str">
        <f>sum('Card List'!AN29:AN33)</f>
        <v>5</v>
      </c>
      <c r="K16" s="46" t="str">
        <f t="shared" si="12"/>
        <v>5</v>
      </c>
      <c r="L16" s="48" t="str">
        <f t="shared" si="13"/>
        <v>0%</v>
      </c>
      <c r="M16" s="119"/>
      <c r="N16" s="128" t="s">
        <v>38</v>
      </c>
      <c r="O16" s="129">
        <v>100.0</v>
      </c>
      <c r="Q16" s="130" t="s">
        <v>39</v>
      </c>
      <c r="R16" s="131" t="str">
        <f>X35*O16</f>
        <v>25,829</v>
      </c>
      <c r="T16" s="132" t="s">
        <v>40</v>
      </c>
      <c r="U16" s="133" t="str">
        <f>Z35*O16</f>
        <v>20,257</v>
      </c>
      <c r="V16" s="134" t="s">
        <v>40</v>
      </c>
      <c r="W16" s="135"/>
      <c r="X16" s="136" t="str">
        <f>AB35*O16</f>
        <v>15,402</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$201</v>
      </c>
      <c r="T17" s="132" t="s">
        <v>43</v>
      </c>
      <c r="U17" s="143" t="str">
        <f>Z34*O17</f>
        <v>$158</v>
      </c>
      <c r="V17" s="134" t="s">
        <v>43</v>
      </c>
      <c r="W17" s="144"/>
      <c r="X17" s="145" t="str">
        <f>AB34*O17</f>
        <v>$120</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166</v>
      </c>
      <c r="J18" s="46" t="str">
        <f>sum('Card List'!AR29:AR33)</f>
        <v>226</v>
      </c>
      <c r="K18" s="46" t="str">
        <f t="shared" si="12"/>
        <v>60</v>
      </c>
      <c r="L18" s="48" t="str">
        <f t="shared" si="13"/>
        <v>73%</v>
      </c>
      <c r="M18" s="119"/>
      <c r="N18" s="128" t="s">
        <v>44</v>
      </c>
      <c r="O18" s="129">
        <v>400.0</v>
      </c>
      <c r="Q18" s="130" t="s">
        <v>45</v>
      </c>
      <c r="R18" s="146" t="str">
        <f>R16/O18</f>
        <v>64.57</v>
      </c>
      <c r="T18" s="132" t="s">
        <v>46</v>
      </c>
      <c r="U18" s="147" t="str">
        <f>U16/O18</f>
        <v>50.64</v>
      </c>
      <c r="V18" s="134" t="s">
        <v>46</v>
      </c>
      <c r="W18" s="135"/>
      <c r="X18" s="148" t="str">
        <f>X16/O18</f>
        <v>38.51</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25.32</v>
      </c>
      <c r="T19" s="132" t="s">
        <v>46</v>
      </c>
      <c r="U19" s="147" t="str">
        <f>U16/O19</f>
        <v>19.86</v>
      </c>
      <c r="V19" s="134" t="s">
        <v>46</v>
      </c>
      <c r="W19" s="135"/>
      <c r="X19" s="148" t="str">
        <f>X16/O19</f>
        <v>15.10</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112</v>
      </c>
      <c r="D20" s="79" t="str">
        <f>sum('Card List'!AV23:AV27)</f>
        <v>132</v>
      </c>
      <c r="E20" s="79" t="str">
        <f t="shared" si="10"/>
        <v>20</v>
      </c>
      <c r="F20" s="81" t="str">
        <f t="shared" si="11"/>
        <v>85%</v>
      </c>
      <c r="G20" s="117"/>
      <c r="H20" s="151" t="s">
        <v>36</v>
      </c>
      <c r="I20" s="83" t="str">
        <f>sum('Card List'!AU29:AU33)</f>
        <v>204</v>
      </c>
      <c r="J20" s="83" t="str">
        <f>sum('Card List'!AV29:AV33)</f>
        <v>244</v>
      </c>
      <c r="K20" s="83" t="str">
        <f t="shared" si="12"/>
        <v>40</v>
      </c>
      <c r="L20" s="85" t="str">
        <f t="shared" si="13"/>
        <v>84%</v>
      </c>
      <c r="M20" s="152"/>
      <c r="N20" s="153" t="s">
        <v>49</v>
      </c>
      <c r="O20" s="106"/>
      <c r="P20" s="106"/>
      <c r="Q20" s="106"/>
      <c r="R20" s="154" t="str">
        <f>(575.56*(((Q8*(T8-U8))+(Q9*(T9-U9))+(Q10*(T10-U10))+(Q11*(T11-T11)))/106120))+(24.99*(I17/J17))+(357.27*(((Q8*(X8-Y8))+(Q9*(X9-Y9))+(Q10*(X10-Y10))+(Q11*(X11-Y11)))/63400)+(24.99*(I19/J19)+(932.83*(U25+U26)/169520)+(360.42*(((Q8*(AA8-AB8))+(Q9*(AA9-AB9))+(Q10*(AA10-AB10))+(Q11*(AA11-AB11)))/64720)+((U30/106.83)*O17))))</f>
        <v>$718.44</v>
      </c>
      <c r="S20" s="106"/>
      <c r="T20" s="107"/>
      <c r="U20" s="155" t="s">
        <v>50</v>
      </c>
      <c r="V20" s="106"/>
      <c r="W20" s="106"/>
      <c r="X20" s="154" t="str">
        <f>(575.56+24.99+357.27+24.99+360.42)-R20</f>
        <v>$624.79</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608</v>
      </c>
      <c r="D21" s="86" t="str">
        <f t="shared" si="14"/>
        <v>698</v>
      </c>
      <c r="E21" s="86" t="str">
        <f t="shared" si="10"/>
        <v>90</v>
      </c>
      <c r="F21" s="88" t="str">
        <f t="shared" si="11"/>
        <v>87.1%</v>
      </c>
      <c r="G21" s="117"/>
      <c r="H21" s="158" t="s">
        <v>24</v>
      </c>
      <c r="I21" s="90" t="str">
        <f t="shared" ref="I21:J21" si="15">sum(I15:I20)</f>
        <v>1125</v>
      </c>
      <c r="J21" s="90" t="str">
        <f t="shared" si="15"/>
        <v>1309</v>
      </c>
      <c r="K21" s="90" t="str">
        <f>sum(K15:K19)</f>
        <v>144</v>
      </c>
      <c r="L21" s="92" t="str">
        <f t="shared" si="13"/>
        <v>85.9%</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80</v>
      </c>
      <c r="J25" s="46" t="str">
        <f>sum('Card List'!AJ55)</f>
        <v>87</v>
      </c>
      <c r="K25" s="47" t="str">
        <f t="shared" ref="K25:K35" si="18">J25-I25</f>
        <v>7</v>
      </c>
      <c r="L25" s="48" t="str">
        <f t="shared" ref="L25:L35" si="19">I25/J25</f>
        <v>92%</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77</v>
      </c>
      <c r="J26" s="46" t="str">
        <f>sum('Card List'!AJ74)</f>
        <v>88</v>
      </c>
      <c r="K26" s="47" t="str">
        <f t="shared" si="18"/>
        <v>11</v>
      </c>
      <c r="L26" s="48" t="str">
        <f t="shared" si="19"/>
        <v>88%</v>
      </c>
      <c r="M26" s="173"/>
      <c r="N26" s="174" t="s">
        <v>63</v>
      </c>
      <c r="O26" s="175">
        <v>28.0</v>
      </c>
      <c r="P26" s="176"/>
      <c r="Q26" s="174" t="s">
        <v>63</v>
      </c>
      <c r="R26" s="177">
        <v>0.0</v>
      </c>
      <c r="S26" s="176"/>
      <c r="T26" s="184" t="s">
        <v>64</v>
      </c>
      <c r="U26" s="185">
        <v>7725.0</v>
      </c>
      <c r="V26" s="127"/>
      <c r="W26" s="36"/>
      <c r="X26" s="38"/>
      <c r="Y26" s="168"/>
      <c r="AA26" s="181" t="s">
        <v>15</v>
      </c>
      <c r="AB26" s="186" t="str">
        <f>sum(U8+Y8+AB8)*40</f>
        <v>160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750</v>
      </c>
      <c r="V27" s="127"/>
      <c r="W27" s="162" t="s">
        <v>67</v>
      </c>
      <c r="X27" s="28"/>
      <c r="Y27" s="180">
        <v>5.0</v>
      </c>
      <c r="AA27" s="181" t="s">
        <v>21</v>
      </c>
      <c r="AB27" s="186" t="str">
        <f>sum(U9+Y9+AB9)* 100</f>
        <v>3,900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41</v>
      </c>
      <c r="D28" s="41" t="str">
        <f>sum('Card List'!AJ111)</f>
        <v>45</v>
      </c>
      <c r="E28" s="42" t="str">
        <f t="shared" si="16"/>
        <v>4</v>
      </c>
      <c r="F28" s="43" t="str">
        <f t="shared" si="17"/>
        <v>91%</v>
      </c>
      <c r="G28" s="171"/>
      <c r="H28" s="172" t="s">
        <v>68</v>
      </c>
      <c r="I28" s="46" t="str">
        <f>sum('Card List'!AI112)</f>
        <v>77</v>
      </c>
      <c r="J28" s="46" t="str">
        <f>sum('Card List'!AJ112)</f>
        <v>87</v>
      </c>
      <c r="K28" s="47" t="str">
        <f t="shared" si="18"/>
        <v>10</v>
      </c>
      <c r="L28" s="48" t="str">
        <f t="shared" si="19"/>
        <v>89%</v>
      </c>
      <c r="M28" s="173"/>
      <c r="N28" s="174" t="s">
        <v>68</v>
      </c>
      <c r="O28" s="175">
        <v>15.0</v>
      </c>
      <c r="P28" s="176"/>
      <c r="Q28" s="174" t="s">
        <v>68</v>
      </c>
      <c r="R28" s="177">
        <v>3.0</v>
      </c>
      <c r="S28" s="176"/>
      <c r="T28" s="189"/>
      <c r="U28" s="189"/>
      <c r="V28" s="127"/>
      <c r="W28" s="36"/>
      <c r="X28" s="38"/>
      <c r="Y28" s="168"/>
      <c r="AA28" s="181" t="s">
        <v>22</v>
      </c>
      <c r="AB28" s="186" t="str">
        <f>sum(U10+Y10+AB10)*400</f>
        <v>36,400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80</v>
      </c>
      <c r="J29" s="46" t="str">
        <f>sum('Card List'!AJ131)</f>
        <v>87</v>
      </c>
      <c r="K29" s="47" t="str">
        <f t="shared" si="18"/>
        <v>7</v>
      </c>
      <c r="L29" s="48" t="str">
        <f t="shared" si="19"/>
        <v>92%</v>
      </c>
      <c r="M29" s="173"/>
      <c r="N29" s="174" t="s">
        <v>69</v>
      </c>
      <c r="O29" s="175">
        <v>31.0</v>
      </c>
      <c r="P29" s="176"/>
      <c r="Q29" s="174" t="s">
        <v>69</v>
      </c>
      <c r="R29" s="177">
        <v>19.0</v>
      </c>
      <c r="S29" s="176"/>
      <c r="T29" s="190"/>
      <c r="U29" s="190"/>
      <c r="V29" s="127"/>
      <c r="AA29" s="181" t="s">
        <v>23</v>
      </c>
      <c r="AB29" s="186" t="str">
        <f>sum(U11+Y11+AB11)*1600</f>
        <v>72,000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40</v>
      </c>
      <c r="D30" s="41" t="str">
        <f>sum('Card List'!AJ149)</f>
        <v>45</v>
      </c>
      <c r="E30" s="42" t="str">
        <f t="shared" si="16"/>
        <v>5</v>
      </c>
      <c r="F30" s="43" t="str">
        <f t="shared" si="17"/>
        <v>89%</v>
      </c>
      <c r="G30" s="171"/>
      <c r="H30" s="172" t="s">
        <v>70</v>
      </c>
      <c r="I30" s="46" t="str">
        <f>sum('Card List'!AI150)</f>
        <v>76</v>
      </c>
      <c r="J30" s="46" t="str">
        <f>sum('Card List'!AJ150)</f>
        <v>87</v>
      </c>
      <c r="K30" s="47" t="str">
        <f t="shared" si="18"/>
        <v>11</v>
      </c>
      <c r="L30" s="48" t="str">
        <f t="shared" si="19"/>
        <v>87%</v>
      </c>
      <c r="M30" s="173"/>
      <c r="N30" s="174" t="s">
        <v>70</v>
      </c>
      <c r="O30" s="175">
        <v>26.0</v>
      </c>
      <c r="P30" s="176"/>
      <c r="Q30" s="174" t="s">
        <v>70</v>
      </c>
      <c r="R30" s="177">
        <v>48.0</v>
      </c>
      <c r="S30" s="176"/>
      <c r="T30" s="191" t="s">
        <v>24</v>
      </c>
      <c r="U30" s="192" t="str">
        <f>sum(U25:U26)</f>
        <v>7,765</v>
      </c>
      <c r="V30" s="127"/>
      <c r="AA30" s="181" t="s">
        <v>71</v>
      </c>
      <c r="AB30" s="186" t="str">
        <f>sum(AB25:AC29)</f>
        <v>112,460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35</v>
      </c>
      <c r="D31" s="41" t="str">
        <f>sum('Card List'!AJ168)</f>
        <v>45</v>
      </c>
      <c r="E31" s="42" t="str">
        <f t="shared" si="16"/>
        <v>10</v>
      </c>
      <c r="F31" s="43" t="str">
        <f t="shared" si="17"/>
        <v>78%</v>
      </c>
      <c r="G31" s="171"/>
      <c r="H31" s="172" t="s">
        <v>72</v>
      </c>
      <c r="I31" s="46" t="str">
        <f>sum('Card List'!AI169)</f>
        <v>63</v>
      </c>
      <c r="J31" s="46" t="str">
        <f>sum('Card List'!AJ169)</f>
        <v>87</v>
      </c>
      <c r="K31" s="47" t="str">
        <f t="shared" si="18"/>
        <v>24</v>
      </c>
      <c r="L31" s="48" t="str">
        <f t="shared" si="19"/>
        <v>72%</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43</v>
      </c>
      <c r="D32" s="41" t="str">
        <f>sum('Card List'!AJ187)</f>
        <v>45</v>
      </c>
      <c r="E32" s="42" t="str">
        <f t="shared" si="16"/>
        <v>2</v>
      </c>
      <c r="F32" s="43" t="str">
        <f t="shared" si="17"/>
        <v>96%</v>
      </c>
      <c r="G32" s="171"/>
      <c r="H32" s="172" t="s">
        <v>73</v>
      </c>
      <c r="I32" s="46" t="str">
        <f>sum('Card List'!AI188)</f>
        <v>76</v>
      </c>
      <c r="J32" s="46" t="str">
        <f>sum('Card List'!AJ188)</f>
        <v>87</v>
      </c>
      <c r="K32" s="47" t="str">
        <f t="shared" si="18"/>
        <v>11</v>
      </c>
      <c r="L32" s="48" t="str">
        <f t="shared" si="19"/>
        <v>87%</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41</v>
      </c>
      <c r="D33" s="41" t="str">
        <f>sum('Card List'!AJ206)</f>
        <v>45</v>
      </c>
      <c r="E33" s="42" t="str">
        <f t="shared" si="16"/>
        <v>4</v>
      </c>
      <c r="F33" s="43" t="str">
        <f t="shared" si="17"/>
        <v>91%</v>
      </c>
      <c r="G33" s="171"/>
      <c r="H33" s="172" t="s">
        <v>75</v>
      </c>
      <c r="I33" s="46" t="str">
        <f>sum('Card List'!AI207)</f>
        <v>80</v>
      </c>
      <c r="J33" s="46" t="str">
        <f>sum('Card List'!AJ207)</f>
        <v>87</v>
      </c>
      <c r="K33" s="47" t="str">
        <f t="shared" si="18"/>
        <v>7</v>
      </c>
      <c r="L33" s="48" t="str">
        <f t="shared" si="19"/>
        <v>92%</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238</v>
      </c>
      <c r="D34" s="79" t="str">
        <f>sum('Card List'!AJ225)</f>
        <v>292</v>
      </c>
      <c r="E34" s="80" t="str">
        <f t="shared" si="16"/>
        <v>54</v>
      </c>
      <c r="F34" s="81" t="str">
        <f t="shared" si="17"/>
        <v>82%</v>
      </c>
      <c r="G34" s="32"/>
      <c r="H34" s="197" t="s">
        <v>77</v>
      </c>
      <c r="I34" s="83" t="str">
        <f>sum('Card List'!AI226)</f>
        <v>436</v>
      </c>
      <c r="J34" s="83" t="str">
        <f>sum('Card List'!AJ226)</f>
        <v>525</v>
      </c>
      <c r="K34" s="84" t="str">
        <f t="shared" si="18"/>
        <v>89</v>
      </c>
      <c r="L34" s="85" t="str">
        <f t="shared" si="19"/>
        <v>83%</v>
      </c>
      <c r="N34" s="198" t="str">
        <f>sum(O25:O33)/540</f>
        <v>47.04%</v>
      </c>
      <c r="O34" s="167"/>
      <c r="P34" s="176"/>
      <c r="Q34" s="198" t="str">
        <f>sum(R25:R33)/4500</f>
        <v>6.00%</v>
      </c>
      <c r="R34" s="167"/>
      <c r="S34" s="176"/>
      <c r="T34" s="194" t="s">
        <v>78</v>
      </c>
      <c r="U34" s="106"/>
      <c r="V34" s="106"/>
      <c r="W34" s="106"/>
      <c r="X34" s="199" t="str">
        <f>((((U8*Q8)+(U9*Q9)+(U10*Q10)+(U11*Q11))-U30))/217.52</f>
        <v>172.19</v>
      </c>
      <c r="Y34" s="107"/>
      <c r="Z34" s="199" t="str">
        <f>((((Y8*Q8)+(Y9*Q9)+(Y10*Q10)+(Y11*Q11))-U30))/217.52</f>
        <v>135.05</v>
      </c>
      <c r="AA34" s="107"/>
      <c r="AB34" s="199" t="str">
        <f>((((AB8*Q8)+(AB9*Q9)+(AB10*Q10)+(AB11*Q11))-U30))/217.52</f>
        <v>102.68</v>
      </c>
      <c r="AC34" s="107"/>
      <c r="AE34" s="5"/>
      <c r="AF34" s="5"/>
      <c r="AG34" s="5"/>
      <c r="AH34" s="5"/>
      <c r="AI34" s="5"/>
      <c r="AJ34" s="5"/>
      <c r="AK34" s="5"/>
      <c r="AL34" s="5"/>
      <c r="AM34" s="5"/>
      <c r="AN34" s="5"/>
      <c r="AO34" s="5"/>
      <c r="AP34" s="5"/>
      <c r="AQ34" s="5"/>
    </row>
    <row r="35" ht="13.5" customHeight="1">
      <c r="A35" s="16"/>
      <c r="B35" s="17" t="s">
        <v>24</v>
      </c>
      <c r="C35" s="86" t="str">
        <f t="shared" ref="C35:D35" si="20">sum(C25:C34)</f>
        <v>608</v>
      </c>
      <c r="D35" s="86" t="str">
        <f t="shared" si="20"/>
        <v>698</v>
      </c>
      <c r="E35" s="87" t="str">
        <f t="shared" si="16"/>
        <v>90</v>
      </c>
      <c r="F35" s="88" t="str">
        <f t="shared" si="17"/>
        <v>87.1%</v>
      </c>
      <c r="G35" s="32"/>
      <c r="H35" s="89" t="s">
        <v>24</v>
      </c>
      <c r="I35" s="90" t="str">
        <f t="shared" ref="I35:J35" si="21">sum(I25:I34)</f>
        <v>1125</v>
      </c>
      <c r="J35" s="90" t="str">
        <f t="shared" si="21"/>
        <v>1309</v>
      </c>
      <c r="K35" s="91" t="str">
        <f t="shared" si="18"/>
        <v>184</v>
      </c>
      <c r="L35" s="92" t="str">
        <f t="shared" si="19"/>
        <v>85.9%</v>
      </c>
      <c r="P35" s="59"/>
      <c r="S35" s="59"/>
      <c r="T35" s="194" t="s">
        <v>79</v>
      </c>
      <c r="U35" s="106"/>
      <c r="V35" s="106"/>
      <c r="W35" s="106"/>
      <c r="X35" s="199" t="str">
        <f>(X34+X36)/2</f>
        <v>258.29</v>
      </c>
      <c r="Y35" s="107"/>
      <c r="Z35" s="199" t="str">
        <f>(Z34+Z36)/2</f>
        <v>202.57</v>
      </c>
      <c r="AA35" s="107"/>
      <c r="AB35" s="199" t="str">
        <f>sum(AB34+AB36)/2</f>
        <v>154.02</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344.38</v>
      </c>
      <c r="Y36" s="107"/>
      <c r="Z36" s="199" t="str">
        <f>((((Y8*Q8)+(Y9*Q9)+(Y10*Q10)+(Y11*Q11))-U30))/108.76</f>
        <v>270.09</v>
      </c>
      <c r="AA36" s="107"/>
      <c r="AB36" s="200" t="str">
        <f>((((AB8*Q8)+(AB9*Q9)+(AB10*Q10)+(AB11*Q11))-U30))/108.76</f>
        <v>205.36</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Q34:R34"/>
    <mergeCell ref="N34:O34"/>
    <mergeCell ref="N20:Q20"/>
    <mergeCell ref="O19:P19"/>
    <mergeCell ref="N23:O24"/>
    <mergeCell ref="Q23:R24"/>
    <mergeCell ref="O16:P16"/>
    <mergeCell ref="N15:Q15"/>
    <mergeCell ref="R16:S16"/>
    <mergeCell ref="V16:W16"/>
    <mergeCell ref="H13:L13"/>
    <mergeCell ref="B13:F13"/>
    <mergeCell ref="U15:W15"/>
    <mergeCell ref="B41:L41"/>
    <mergeCell ref="B42:L42"/>
    <mergeCell ref="U27:U29"/>
    <mergeCell ref="T27:T29"/>
    <mergeCell ref="B23:F23"/>
    <mergeCell ref="H23:L23"/>
    <mergeCell ref="B39:L39"/>
    <mergeCell ref="B38:L38"/>
    <mergeCell ref="B40:L40"/>
    <mergeCell ref="R10:S10"/>
    <mergeCell ref="R9:S9"/>
    <mergeCell ref="V9:W9"/>
    <mergeCell ref="V10:W10"/>
    <mergeCell ref="O10:P10"/>
    <mergeCell ref="O9:P9"/>
    <mergeCell ref="O18:P18"/>
    <mergeCell ref="O17:P17"/>
    <mergeCell ref="O11:P11"/>
    <mergeCell ref="R11:S11"/>
    <mergeCell ref="R15:T15"/>
    <mergeCell ref="V11:W11"/>
    <mergeCell ref="T23:U24"/>
    <mergeCell ref="H4:L4"/>
    <mergeCell ref="F2:K2"/>
    <mergeCell ref="N2:S2"/>
    <mergeCell ref="R8:S8"/>
    <mergeCell ref="O8:P8"/>
    <mergeCell ref="R7:S7"/>
    <mergeCell ref="O7:P7"/>
    <mergeCell ref="V8:W8"/>
    <mergeCell ref="U7:W7"/>
    <mergeCell ref="B4:F4"/>
    <mergeCell ref="X34:Y34"/>
    <mergeCell ref="Z34:AA34"/>
    <mergeCell ref="Y23:Y24"/>
    <mergeCell ref="Y25:Y26"/>
    <mergeCell ref="W27:X28"/>
    <mergeCell ref="W23:X24"/>
    <mergeCell ref="W25:X26"/>
    <mergeCell ref="Y27:Y28"/>
    <mergeCell ref="AB35:AC35"/>
    <mergeCell ref="AB34:AC34"/>
    <mergeCell ref="AB29:AC29"/>
    <mergeCell ref="AB30:AC30"/>
    <mergeCell ref="AB26:AC26"/>
    <mergeCell ref="AB25:AC25"/>
    <mergeCell ref="AA23:AC24"/>
    <mergeCell ref="U20:W20"/>
    <mergeCell ref="X20:Y20"/>
    <mergeCell ref="AA14:AB14"/>
    <mergeCell ref="AA13:AC13"/>
    <mergeCell ref="X15:Y15"/>
    <mergeCell ref="N14:Y14"/>
    <mergeCell ref="AA20:AC20"/>
    <mergeCell ref="N13:Y13"/>
    <mergeCell ref="N6:Q6"/>
    <mergeCell ref="R6:S6"/>
    <mergeCell ref="N4:V5"/>
    <mergeCell ref="W4:AC5"/>
    <mergeCell ref="T6:U6"/>
    <mergeCell ref="V2:AB2"/>
    <mergeCell ref="Z35:AA35"/>
    <mergeCell ref="X35:Y35"/>
    <mergeCell ref="X36:Y36"/>
    <mergeCell ref="AB36:AC36"/>
    <mergeCell ref="Z36:AA36"/>
    <mergeCell ref="T33:W33"/>
    <mergeCell ref="X33:Y33"/>
    <mergeCell ref="T36:W36"/>
    <mergeCell ref="Z33:AA33"/>
    <mergeCell ref="AB33:AC33"/>
    <mergeCell ref="T35:W35"/>
    <mergeCell ref="T34:W34"/>
    <mergeCell ref="N39:AD44"/>
    <mergeCell ref="T32:AC32"/>
    <mergeCell ref="N38:AD38"/>
    <mergeCell ref="R18:S18"/>
    <mergeCell ref="R17:S17"/>
    <mergeCell ref="R20:T20"/>
    <mergeCell ref="R19:S19"/>
    <mergeCell ref="V19:W19"/>
    <mergeCell ref="V18:W18"/>
    <mergeCell ref="V17:W17"/>
    <mergeCell ref="AB28:AC28"/>
    <mergeCell ref="AB27:AC27"/>
    <mergeCell ref="AB7:AC7"/>
    <mergeCell ref="Y7:Z7"/>
    <mergeCell ref="X6:Y6"/>
    <mergeCell ref="AA6:AB6"/>
  </mergeCells>
  <hyperlinks>
    <hyperlink r:id="rId2" ref="F2"/>
    <hyperlink r:id="rId3" location="gid=357052481" ref="N2"/>
    <hyperlink r:id="rId4" ref="V2"/>
    <hyperlink r:id="rId5" location="gid=579362856" ref="AA20"/>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287.4</v>
      </c>
      <c r="I8" s="258" t="s">
        <v>13</v>
      </c>
      <c r="J8" s="106"/>
      <c r="K8" s="259" t="str">
        <f>sum(K10:K17)*5</f>
        <v>310.4</v>
      </c>
      <c r="L8" s="260" t="s">
        <v>14</v>
      </c>
      <c r="M8" s="106"/>
      <c r="N8" s="261" t="str">
        <f>sum(N10:N17)*5</f>
        <v>277.6</v>
      </c>
      <c r="O8" s="233"/>
      <c r="P8" s="262" t="s">
        <v>15</v>
      </c>
      <c r="Q8" s="263" t="str">
        <f>sum((G14+('Card List'!$AP30-'Card List'!$AO30)+J14+('Card List'!$AT30-'Card List'!$AS30)+(M14))*400)</f>
        <v>142,800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244,000</v>
      </c>
      <c r="R9" s="106"/>
      <c r="S9" s="106"/>
      <c r="T9" s="233"/>
    </row>
    <row r="10">
      <c r="A10" s="238"/>
      <c r="B10" s="273" t="str">
        <f>'Misc Data'!C132</f>
        <v>Common</v>
      </c>
      <c r="C10" s="273" t="str">
        <f>'Misc Data'!D132</f>
        <v>69.90%</v>
      </c>
      <c r="D10" s="274">
        <v>40.0</v>
      </c>
      <c r="E10" s="275">
        <v>5.0</v>
      </c>
      <c r="F10" s="276" t="str">
        <f>'Card List'!AL30</f>
        <v>188</v>
      </c>
      <c r="G10" s="276" t="str">
        <f>F10-'Card List'!AK30</f>
        <v>3</v>
      </c>
      <c r="H10" s="277" t="str">
        <f t="shared" ref="H10:H17" si="1">$C10*((F10-G10)/F10*$E10+G10/F10*$D10)</f>
        <v>3.89</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286,400</v>
      </c>
      <c r="R10" s="106"/>
      <c r="S10" s="106"/>
      <c r="T10" s="233"/>
    </row>
    <row r="11">
      <c r="A11" s="229"/>
      <c r="B11" s="273" t="str">
        <f>'Misc Data'!C133</f>
        <v>Rare</v>
      </c>
      <c r="C11" s="273" t="str">
        <f>'Misc Data'!D133</f>
        <v>21.50%</v>
      </c>
      <c r="D11" s="274">
        <v>100.0</v>
      </c>
      <c r="E11" s="283">
        <v>20.0</v>
      </c>
      <c r="F11" s="276" t="str">
        <f>'Card List'!AL31</f>
        <v>162</v>
      </c>
      <c r="G11" s="276" t="str">
        <f>F11-'Card List'!AK31</f>
        <v>23</v>
      </c>
      <c r="H11" s="277" t="str">
        <f t="shared" si="1"/>
        <v>6.74</v>
      </c>
      <c r="I11" s="278" t="str">
        <f>'Card List'!AR31</f>
        <v>74</v>
      </c>
      <c r="J11" s="278" t="str">
        <f>I11-'Card List'!AQ31</f>
        <v>15</v>
      </c>
      <c r="K11" s="279" t="str">
        <f t="shared" si="2"/>
        <v>7.79</v>
      </c>
      <c r="L11" s="280" t="str">
        <f>'Card List'!AV31</f>
        <v>72</v>
      </c>
      <c r="M11" s="281" t="str">
        <f>L11-'Card List'!AU31</f>
        <v>1</v>
      </c>
      <c r="N11" s="282" t="str">
        <f t="shared" si="3"/>
        <v>4.54</v>
      </c>
      <c r="O11" s="233"/>
      <c r="P11" s="262" t="s">
        <v>23</v>
      </c>
      <c r="Q11" s="263" t="str">
        <f>sum((G17+('Card List'!$AP33-'Card List'!$AO33)+J17+('Card List'!$AT33-'Card List'!$AS33)+(M17))*3200)</f>
        <v>233,600</v>
      </c>
      <c r="R11" s="106"/>
      <c r="S11" s="106"/>
      <c r="T11" s="233"/>
    </row>
    <row r="12">
      <c r="A12" s="284"/>
      <c r="B12" s="273" t="str">
        <f>'Misc Data'!C134</f>
        <v>Epic</v>
      </c>
      <c r="C12" s="273" t="str">
        <f>'Misc Data'!D134</f>
        <v>4.21%</v>
      </c>
      <c r="D12" s="274">
        <v>400.0</v>
      </c>
      <c r="E12" s="283">
        <v>100.0</v>
      </c>
      <c r="F12" s="276" t="str">
        <f>'Card List'!AL32</f>
        <v>74</v>
      </c>
      <c r="G12" s="276" t="str">
        <f>F12-'Card List'!AK32</f>
        <v>35</v>
      </c>
      <c r="H12" s="277" t="str">
        <f t="shared" si="1"/>
        <v>10.18</v>
      </c>
      <c r="I12" s="278" t="str">
        <f>'Card List'!AR32</f>
        <v>52</v>
      </c>
      <c r="J12" s="278" t="str">
        <f>I12-'Card List'!AQ32</f>
        <v>29</v>
      </c>
      <c r="K12" s="279" t="str">
        <f t="shared" si="2"/>
        <v>11.25</v>
      </c>
      <c r="L12" s="280" t="str">
        <f>'Card List'!AV32</f>
        <v>54</v>
      </c>
      <c r="M12" s="281" t="str">
        <f>L12-'Card List'!AU32</f>
        <v>27</v>
      </c>
      <c r="N12" s="282" t="str">
        <f t="shared" si="3"/>
        <v>10.52</v>
      </c>
      <c r="O12" s="233"/>
      <c r="P12" s="285" t="s">
        <v>71</v>
      </c>
      <c r="Q12" s="286" t="str">
        <f>Sum(Q8:R11)</f>
        <v>906,800</v>
      </c>
      <c r="R12" s="106"/>
      <c r="S12" s="106"/>
      <c r="T12" s="233"/>
    </row>
    <row r="13">
      <c r="A13" s="284"/>
      <c r="B13" s="283" t="s">
        <v>23</v>
      </c>
      <c r="C13" s="273" t="str">
        <f>'Misc Data'!D135</f>
        <v>1.08%</v>
      </c>
      <c r="D13" s="274">
        <v>1600.0</v>
      </c>
      <c r="E13" s="283">
        <v>400.0</v>
      </c>
      <c r="F13" s="276" t="str">
        <f>'Card List'!AL33</f>
        <v>33</v>
      </c>
      <c r="G13" s="276" t="str">
        <f>F13-'Card List'!AK33</f>
        <v>18</v>
      </c>
      <c r="H13" s="277" t="str">
        <f t="shared" si="1"/>
        <v>11.41</v>
      </c>
      <c r="I13" s="278" t="str">
        <f>'Card List'!AR33</f>
        <v>20</v>
      </c>
      <c r="J13" s="278" t="str">
        <f>I13-'Card List'!AQ33</f>
        <v>15</v>
      </c>
      <c r="K13" s="279" t="str">
        <f t="shared" si="2"/>
        <v>14.06</v>
      </c>
      <c r="L13" s="280" t="str">
        <f>'Card List'!AV33</f>
        <v>20</v>
      </c>
      <c r="M13" s="281" t="str">
        <f>L13-'Card List'!AU33</f>
        <v>12</v>
      </c>
      <c r="N13" s="282" t="str">
        <f t="shared" si="3"/>
        <v>12.11</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186</v>
      </c>
      <c r="H14" s="277" t="str">
        <f t="shared" si="1"/>
        <v>5.98</v>
      </c>
      <c r="I14" s="278" t="str">
        <f>'Card List'!AR30</f>
        <v>80</v>
      </c>
      <c r="J14" s="278" t="str">
        <f>I14-'Card List'!AQ290</f>
        <v>79</v>
      </c>
      <c r="K14" s="279" t="str">
        <f t="shared" si="2"/>
        <v>5.97</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161</v>
      </c>
      <c r="H15" s="277" t="str">
        <f t="shared" si="1"/>
        <v>11.24</v>
      </c>
      <c r="I15" s="278" t="str">
        <f>'Card List'!AR31</f>
        <v>74</v>
      </c>
      <c r="J15" s="278" t="str">
        <f>I15-'Card List'!AQ291</f>
        <v>73</v>
      </c>
      <c r="K15" s="279" t="str">
        <f t="shared" si="2"/>
        <v>11.17</v>
      </c>
      <c r="L15" s="280" t="str">
        <f>'Card List'!AV31</f>
        <v>72</v>
      </c>
      <c r="M15" s="281" t="str">
        <f>L11-'Card List'!AU291</f>
        <v>71</v>
      </c>
      <c r="N15" s="282" t="str">
        <f t="shared" si="3"/>
        <v>11.17</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53</v>
      </c>
      <c r="N16" s="282" t="str">
        <f t="shared" si="3"/>
        <v>4.54</v>
      </c>
      <c r="O16" s="233"/>
      <c r="P16" s="292" t="s">
        <v>78</v>
      </c>
      <c r="Q16" s="293" t="str">
        <f>(((G10*D10)+(G11*D11)+(G12*D12)+(G13*D13)+(G14*D14)+(G15*D15)+(G16*D16)+(G17*D17))-Q33)/(217.52)</f>
        <v>2,131</v>
      </c>
      <c r="R16" s="293" t="str">
        <f>(((J10*D10)+(J11*D11)+(J12*D12)+(J13*D13)+(J14*D14)+(J15*D15)+(J16*D16)+(J17*D17))-Q33)/(217.52)</f>
        <v>1,221</v>
      </c>
      <c r="S16" s="293" t="str">
        <f>(((M10*D10)+(M11*D11)+(M12*D12)+(M13*D13)+(M14*D14)+(M15*D15)+(M16*D16)+(M17*D17))-Q33)/(217.52)</f>
        <v>1,212</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20</v>
      </c>
      <c r="N17" s="282" t="str">
        <f t="shared" si="3"/>
        <v>3.44</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3,197</v>
      </c>
      <c r="R19" s="293" t="str">
        <f t="shared" si="4"/>
        <v>1,831</v>
      </c>
      <c r="S19" s="293" t="str">
        <f t="shared" si="4"/>
        <v>1,818</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319,674</v>
      </c>
      <c r="H22" s="132" t="s">
        <v>40</v>
      </c>
      <c r="I22" s="133" t="str">
        <f>C22*R19</f>
        <v>183,080</v>
      </c>
      <c r="K22" s="134" t="s">
        <v>40</v>
      </c>
      <c r="L22" s="136" t="str">
        <f>C22*S19</f>
        <v>181,811</v>
      </c>
      <c r="N22" s="137" t="s">
        <v>40</v>
      </c>
      <c r="O22" s="233"/>
      <c r="P22" s="292" t="s">
        <v>80</v>
      </c>
      <c r="Q22" s="293" t="str">
        <f>(((G10*D10)+(G11*D11)+(G12*D12)+(G13*D13)+(G14*D14)+(G15*D15)+(G16*D16)+(G17*D17))-Q33)/108.76</f>
        <v>4,262</v>
      </c>
      <c r="R22" s="293" t="str">
        <f>(((J10*D10)+(J11*D11)+(J12*D12)+(J13*D13)+(J14*D14)+(J15*D15)+(J16*D16)+(J17*D17))-Q33)/108.76</f>
        <v>2,441</v>
      </c>
      <c r="S22" s="293" t="str">
        <f>(((M10*D10)+(M11*D11)+(M12*D12)+(M13*D13)+(M14*D14)+(M15*D15)+(M16*D16)+(M17*D17))-Q33)/108.76</f>
        <v>2,424</v>
      </c>
      <c r="T22" s="233"/>
      <c r="U22" s="126"/>
      <c r="V22" s="296"/>
    </row>
    <row r="23">
      <c r="A23" s="284"/>
      <c r="B23" s="128" t="s">
        <v>42</v>
      </c>
      <c r="C23" s="141">
        <v>1.167</v>
      </c>
      <c r="E23" s="130" t="s">
        <v>39</v>
      </c>
      <c r="F23" s="142" t="str">
        <f>C23*Q19</f>
        <v>$3,731</v>
      </c>
      <c r="H23" s="132" t="s">
        <v>43</v>
      </c>
      <c r="I23" s="143" t="str">
        <f>C23*R19</f>
        <v>$2,137</v>
      </c>
      <c r="K23" s="134" t="s">
        <v>43</v>
      </c>
      <c r="L23" s="145" t="str">
        <f>C23*S19</f>
        <v>$2,122</v>
      </c>
      <c r="N23" s="137" t="s">
        <v>43</v>
      </c>
      <c r="O23" s="233"/>
      <c r="P23" s="291"/>
      <c r="Q23" s="291"/>
      <c r="R23" s="291"/>
      <c r="S23" s="291"/>
      <c r="T23" s="233"/>
      <c r="U23" s="126"/>
      <c r="V23" s="296"/>
    </row>
    <row r="24">
      <c r="A24" s="229"/>
      <c r="B24" s="128" t="s">
        <v>44</v>
      </c>
      <c r="C24" s="129">
        <v>400.0</v>
      </c>
      <c r="E24" s="130" t="s">
        <v>45</v>
      </c>
      <c r="F24" s="146" t="str">
        <f>F22/C24</f>
        <v>799.19</v>
      </c>
      <c r="H24" s="132" t="s">
        <v>46</v>
      </c>
      <c r="I24" s="147" t="str">
        <f>I22/C24</f>
        <v>457.70</v>
      </c>
      <c r="K24" s="134" t="s">
        <v>46</v>
      </c>
      <c r="L24" s="148" t="str">
        <f>L22/C24</f>
        <v>454.53</v>
      </c>
      <c r="N24" s="137" t="s">
        <v>46</v>
      </c>
      <c r="O24" s="233"/>
      <c r="P24" s="168"/>
      <c r="Q24" s="291"/>
      <c r="R24" s="291"/>
      <c r="S24" s="291"/>
      <c r="T24" s="233"/>
      <c r="U24" s="126"/>
      <c r="V24" s="296"/>
    </row>
    <row r="25">
      <c r="A25" s="229"/>
      <c r="B25" s="128" t="s">
        <v>48</v>
      </c>
      <c r="C25" s="149">
        <v>1020.0</v>
      </c>
      <c r="E25" s="130" t="s">
        <v>45</v>
      </c>
      <c r="F25" s="146" t="str">
        <f>(F22/C25)/4.34812</f>
        <v>72.08</v>
      </c>
      <c r="H25" s="297" t="s">
        <v>96</v>
      </c>
      <c r="I25" s="147" t="str">
        <f>(I22/C25)/4.34812</f>
        <v>41.28</v>
      </c>
      <c r="K25" s="298" t="s">
        <v>96</v>
      </c>
      <c r="L25" s="148" t="str">
        <f>(L22/C25)/4.34812</f>
        <v>40.99</v>
      </c>
      <c r="N25" s="299" t="s">
        <v>96</v>
      </c>
      <c r="O25" s="233"/>
      <c r="P25" s="233"/>
      <c r="Q25" s="233"/>
      <c r="R25" s="233"/>
      <c r="S25" s="233"/>
      <c r="T25" s="233"/>
      <c r="U25" s="126"/>
      <c r="V25" s="296"/>
    </row>
    <row r="26">
      <c r="A26" s="229"/>
      <c r="B26" s="300" t="s">
        <v>97</v>
      </c>
      <c r="C26" s="106"/>
      <c r="D26" s="106"/>
      <c r="E26" s="106"/>
      <c r="F26" s="301" t="str">
        <f>Summary!R20</f>
        <v>$718.44</v>
      </c>
      <c r="G26" s="106"/>
      <c r="H26" s="106"/>
      <c r="I26" s="153" t="s">
        <v>98</v>
      </c>
      <c r="J26" s="106"/>
      <c r="K26" s="106"/>
      <c r="L26" s="154" t="str">
        <f>((Q12-V26)/106.83)*C23</f>
        <v>$9,905.79</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1,085</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8,850</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F26:H26"/>
    <mergeCell ref="B26:E26"/>
    <mergeCell ref="B62:L62"/>
    <mergeCell ref="C22:D22"/>
    <mergeCell ref="C23:D23"/>
    <mergeCell ref="F23:G23"/>
    <mergeCell ref="I23:J23"/>
    <mergeCell ref="I24:J24"/>
    <mergeCell ref="B21:E21"/>
    <mergeCell ref="F21:H21"/>
    <mergeCell ref="F22:G22"/>
    <mergeCell ref="C25:D25"/>
    <mergeCell ref="F24:G24"/>
    <mergeCell ref="F25:G25"/>
    <mergeCell ref="C24:D24"/>
    <mergeCell ref="S22:S24"/>
    <mergeCell ref="S19:S21"/>
    <mergeCell ref="Q19:Q21"/>
    <mergeCell ref="R19:R21"/>
    <mergeCell ref="R22:R24"/>
    <mergeCell ref="L23:M23"/>
    <mergeCell ref="L22:M22"/>
    <mergeCell ref="L21:N21"/>
    <mergeCell ref="L26:N26"/>
    <mergeCell ref="Q16:Q18"/>
    <mergeCell ref="P19:P21"/>
    <mergeCell ref="Q30:Q32"/>
    <mergeCell ref="P26:Q27"/>
    <mergeCell ref="P30:P32"/>
    <mergeCell ref="P22:P24"/>
    <mergeCell ref="Q22:Q24"/>
    <mergeCell ref="B19:N19"/>
    <mergeCell ref="B20:N20"/>
    <mergeCell ref="I21:K21"/>
    <mergeCell ref="I22:J22"/>
    <mergeCell ref="I25:J25"/>
    <mergeCell ref="I26:K26"/>
    <mergeCell ref="L24:M24"/>
    <mergeCell ref="L25:M25"/>
    <mergeCell ref="B28:N34"/>
    <mergeCell ref="R16:R18"/>
    <mergeCell ref="R14:R15"/>
    <mergeCell ref="S14:S15"/>
    <mergeCell ref="S16:S18"/>
    <mergeCell ref="Q10:S10"/>
    <mergeCell ref="Q12:S12"/>
    <mergeCell ref="Q11:S11"/>
    <mergeCell ref="B8:D8"/>
    <mergeCell ref="F8:G8"/>
    <mergeCell ref="P16:P18"/>
    <mergeCell ref="P14:P15"/>
    <mergeCell ref="Q14:Q15"/>
    <mergeCell ref="I8:J8"/>
    <mergeCell ref="G9:H9"/>
    <mergeCell ref="G6:N7"/>
    <mergeCell ref="B4:S4"/>
    <mergeCell ref="E2:M2"/>
    <mergeCell ref="L8:M8"/>
    <mergeCell ref="B6:F7"/>
    <mergeCell ref="Q8:S8"/>
    <mergeCell ref="Q9:S9"/>
    <mergeCell ref="P6:S7"/>
    <mergeCell ref="J9:K9"/>
    <mergeCell ref="M9:N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3</v>
      </c>
      <c r="C6" s="328" t="str">
        <f t="shared" ref="C6:C9" si="1">B6/M23</f>
        <v>1.60%</v>
      </c>
      <c r="D6" s="329" t="str">
        <f t="shared" ref="D6:D9" si="2">($M23-B6)/$M23*$L23+B6/$M23*$K23</f>
        <v>5.56</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3.00</v>
      </c>
      <c r="L6" s="328" t="str">
        <f t="shared" ref="L6:L9" si="7">K6/M23</f>
        <v>1.60%</v>
      </c>
      <c r="M6" s="329" t="str">
        <f>(M23-K6)/$M23*$L23+K6/M23*$K23</f>
        <v>5.56</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23</v>
      </c>
      <c r="C7" s="328" t="str">
        <f t="shared" si="1"/>
        <v>14.20%</v>
      </c>
      <c r="D7" s="329" t="str">
        <f t="shared" si="2"/>
        <v>31.36</v>
      </c>
      <c r="E7" s="330" t="str">
        <f>Summary!Y9</f>
        <v>15</v>
      </c>
      <c r="F7" s="331" t="str">
        <f t="shared" si="3"/>
        <v>20.27%</v>
      </c>
      <c r="G7" s="332" t="str">
        <f t="shared" si="4"/>
        <v>36.22</v>
      </c>
      <c r="H7" s="333" t="str">
        <f>Summary!AA9</f>
        <v>72</v>
      </c>
      <c r="I7" s="334" t="str">
        <f t="shared" si="5"/>
        <v>100.00%</v>
      </c>
      <c r="J7" s="335" t="str">
        <f t="shared" si="6"/>
        <v>100.00</v>
      </c>
      <c r="K7" s="336" t="str">
        <f>M24-'Card List'!AK232</f>
        <v>20.00</v>
      </c>
      <c r="L7" s="328" t="str">
        <f t="shared" si="7"/>
        <v>12.35%</v>
      </c>
      <c r="M7" s="329" t="str">
        <f>(M24-K7)/$M24*$L24+K7/Summary!T9*$K24</f>
        <v>29.88</v>
      </c>
      <c r="N7" s="337" t="str">
        <f>$N24-'Card List'!AM232</f>
        <v>15.00</v>
      </c>
      <c r="O7" s="331" t="str">
        <f t="shared" si="8"/>
        <v>20.27%</v>
      </c>
      <c r="P7" s="332" t="str">
        <f t="shared" si="9"/>
        <v>36.22</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35</v>
      </c>
      <c r="C8" s="328" t="str">
        <f t="shared" si="1"/>
        <v>47.30%</v>
      </c>
      <c r="D8" s="329" t="str">
        <f t="shared" si="2"/>
        <v>241.89</v>
      </c>
      <c r="E8" s="330" t="str">
        <f>Summary!Y10</f>
        <v>29</v>
      </c>
      <c r="F8" s="331" t="str">
        <f t="shared" si="3"/>
        <v>55.77%</v>
      </c>
      <c r="G8" s="332" t="str">
        <f t="shared" si="4"/>
        <v>267.31</v>
      </c>
      <c r="H8" s="333" t="str">
        <f>Summary!AA10</f>
        <v>54</v>
      </c>
      <c r="I8" s="334" t="str">
        <f t="shared" si="5"/>
        <v>100.00%</v>
      </c>
      <c r="J8" s="335" t="str">
        <f t="shared" si="6"/>
        <v>400.00</v>
      </c>
      <c r="K8" s="336" t="str">
        <f>M25-'Card List'!AK233</f>
        <v>30.00</v>
      </c>
      <c r="L8" s="328" t="str">
        <f t="shared" si="7"/>
        <v>40.54%</v>
      </c>
      <c r="M8" s="329" t="str">
        <f>(M25-K8)/$M25*$L25+K8/Summary!T10*$K25</f>
        <v>221.62</v>
      </c>
      <c r="N8" s="337" t="str">
        <f>$N25-'Card List'!AM233</f>
        <v>29.00</v>
      </c>
      <c r="O8" s="331" t="str">
        <f t="shared" si="8"/>
        <v>55.77%</v>
      </c>
      <c r="P8" s="332" t="str">
        <f t="shared" si="9"/>
        <v>267.31</v>
      </c>
      <c r="Q8" s="338" t="str">
        <f>$O25-'Card List'!AO233</f>
        <v>27.00</v>
      </c>
      <c r="R8" s="334" t="str">
        <f t="shared" si="10"/>
        <v>50.00%</v>
      </c>
      <c r="S8" s="335" t="str">
        <f t="shared" si="11"/>
        <v>250.00</v>
      </c>
      <c r="AE8" s="339"/>
      <c r="AF8" s="340"/>
      <c r="AG8" s="340"/>
      <c r="AH8" s="339"/>
      <c r="AI8" s="340"/>
      <c r="AJ8" s="5"/>
      <c r="AK8" s="5"/>
      <c r="AL8" s="221"/>
      <c r="AM8" s="222"/>
      <c r="AN8" s="221"/>
      <c r="AO8" s="222"/>
      <c r="AP8" s="221"/>
      <c r="AQ8" s="222"/>
      <c r="AR8" s="222"/>
    </row>
    <row r="9">
      <c r="A9" s="5"/>
      <c r="B9" s="327" t="str">
        <f>Summary!U11</f>
        <v>18</v>
      </c>
      <c r="C9" s="328" t="str">
        <f t="shared" si="1"/>
        <v>54.55%</v>
      </c>
      <c r="D9" s="329" t="str">
        <f t="shared" si="2"/>
        <v>1,054.55</v>
      </c>
      <c r="E9" s="330" t="str">
        <f>Summary!Y11</f>
        <v>15</v>
      </c>
      <c r="F9" s="341" t="str">
        <f t="shared" si="3"/>
        <v>75.00%</v>
      </c>
      <c r="G9" s="342" t="str">
        <f t="shared" si="4"/>
        <v>1,300.00</v>
      </c>
      <c r="H9" s="333" t="str">
        <f>Summary!AA11</f>
        <v>20</v>
      </c>
      <c r="I9" s="334" t="str">
        <f t="shared" si="5"/>
        <v>100.00%</v>
      </c>
      <c r="J9" s="335" t="str">
        <f t="shared" si="6"/>
        <v>1,600.00</v>
      </c>
      <c r="K9" s="336" t="str">
        <f>M26-'Card List'!AK234</f>
        <v>-15.14</v>
      </c>
      <c r="L9" s="328" t="str">
        <f t="shared" si="7"/>
        <v>-45.88%</v>
      </c>
      <c r="M9" s="329" t="str">
        <f>(M26-K9)/$M26*$L26+K9/Summary!T11*$K26</f>
        <v>-150.55</v>
      </c>
      <c r="N9" s="337" t="str">
        <f>$N26-'Card List'!AM234</f>
        <v>-5.00</v>
      </c>
      <c r="O9" s="331" t="str">
        <f t="shared" si="8"/>
        <v>-25.00%</v>
      </c>
      <c r="P9" s="332" t="str">
        <f t="shared" si="9"/>
        <v>100.00</v>
      </c>
      <c r="Q9" s="338" t="str">
        <f>$O26-'Card List'!AO234</f>
        <v>12.00</v>
      </c>
      <c r="R9" s="343" t="str">
        <f t="shared" si="10"/>
        <v>60.00%</v>
      </c>
      <c r="S9" s="344" t="str">
        <f t="shared" si="11"/>
        <v>1,120.00</v>
      </c>
      <c r="AE9" s="339"/>
      <c r="AF9" s="340"/>
      <c r="AG9" s="340"/>
      <c r="AH9" s="339"/>
      <c r="AI9" s="340"/>
      <c r="AJ9" s="5"/>
      <c r="AK9" s="5"/>
      <c r="AL9" s="221"/>
      <c r="AM9" s="222"/>
      <c r="AN9" s="221"/>
      <c r="AO9" s="222"/>
      <c r="AP9" s="221"/>
      <c r="AQ9" s="222"/>
      <c r="AR9" s="222"/>
    </row>
    <row r="10">
      <c r="A10" s="5"/>
      <c r="B10" s="345" t="s">
        <v>109</v>
      </c>
      <c r="C10" s="346" t="str">
        <f>SUMPRODUCT(C6:C9, J23:J26)</f>
        <v>7.17%</v>
      </c>
      <c r="D10" s="347" t="str">
        <f>SUMPRODUCT(D6:D9, J23:J26)</f>
        <v>34.57</v>
      </c>
      <c r="E10" s="348" t="s">
        <v>109</v>
      </c>
      <c r="F10" s="349" t="str">
        <f>SUMPRODUCT(F6:F9, J23:J26)</f>
        <v>8.94%</v>
      </c>
      <c r="G10" s="350" t="str">
        <f>SUMPRODUCT(G6:G9, J23:J26)</f>
        <v>39.65</v>
      </c>
      <c r="H10" s="351" t="s">
        <v>109</v>
      </c>
      <c r="I10" s="352" t="str">
        <f>SUMPRODUCT(I6:I9, J23:J26)</f>
        <v>100.00%</v>
      </c>
      <c r="J10" s="353" t="str">
        <f>SUMPRODUCT(J6:J9, $J$23:$J$26)</f>
        <v>88.48</v>
      </c>
      <c r="K10" s="345" t="s">
        <v>109</v>
      </c>
      <c r="L10" s="346" t="str">
        <f t="shared" ref="L10:M10" si="12">SUMPRODUCT(L6:L9, $J$23:$J$26)</f>
        <v>5.24%</v>
      </c>
      <c r="M10" s="347" t="str">
        <f t="shared" si="12"/>
        <v>18.99</v>
      </c>
      <c r="N10" s="348" t="s">
        <v>109</v>
      </c>
      <c r="O10" s="349" t="str">
        <f t="shared" ref="O10:P10" si="13">SUMPRODUCT(O6:O9, $J$23:$J$26)</f>
        <v>7.75%</v>
      </c>
      <c r="P10" s="350" t="str">
        <f t="shared" si="13"/>
        <v>25.38</v>
      </c>
      <c r="Q10" s="351" t="s">
        <v>109</v>
      </c>
      <c r="R10" s="352" t="str">
        <f t="shared" ref="R10:S10" si="14">SUMPRODUCT(R6:R9, $J$23:$J$26)</f>
        <v>3.28%</v>
      </c>
      <c r="S10" s="353" t="str">
        <f t="shared" si="14"/>
        <v>32.96</v>
      </c>
      <c r="AE10" s="354"/>
      <c r="AF10" s="355"/>
      <c r="AG10" s="5"/>
      <c r="AH10" s="354"/>
      <c r="AI10" s="355"/>
      <c r="AJ10" s="5"/>
      <c r="AK10" s="5"/>
      <c r="AL10" s="221"/>
      <c r="AM10" s="222"/>
      <c r="AN10" s="221"/>
      <c r="AO10" s="222"/>
      <c r="AP10" s="221"/>
      <c r="AQ10" s="222"/>
      <c r="AR10" s="222"/>
    </row>
    <row r="11">
      <c r="A11" s="5"/>
      <c r="B11" s="356" t="s">
        <v>110</v>
      </c>
      <c r="C11" s="357" t="str">
        <f>1-(1-C10)^5</f>
        <v>31.05%</v>
      </c>
      <c r="D11" s="358" t="str">
        <f>D10*5</f>
        <v>172.83</v>
      </c>
      <c r="E11" s="359" t="s">
        <v>110</v>
      </c>
      <c r="F11" s="360" t="str">
        <f>1-(1-F10)^5</f>
        <v>37.37%</v>
      </c>
      <c r="G11" s="361" t="str">
        <f>G10*5</f>
        <v>198.26</v>
      </c>
      <c r="H11" s="362" t="s">
        <v>110</v>
      </c>
      <c r="I11" s="363" t="str">
        <f>1-(1-I10)^5</f>
        <v>100.00%</v>
      </c>
      <c r="J11" s="364" t="str">
        <f>J10*5</f>
        <v>442.39</v>
      </c>
      <c r="K11" s="356" t="s">
        <v>110</v>
      </c>
      <c r="L11" s="357" t="str">
        <f>1-(1-L10)^5</f>
        <v>23.61%</v>
      </c>
      <c r="M11" s="358" t="str">
        <f>M10*5</f>
        <v>94.93</v>
      </c>
      <c r="N11" s="359" t="s">
        <v>110</v>
      </c>
      <c r="O11" s="360" t="str">
        <f>1-(1-O10)^5</f>
        <v>33.18%</v>
      </c>
      <c r="P11" s="361" t="str">
        <f>P10*5</f>
        <v>126.92</v>
      </c>
      <c r="Q11" s="362" t="s">
        <v>110</v>
      </c>
      <c r="R11" s="363" t="str">
        <f>1-(1-R10)^5</f>
        <v>15.35%</v>
      </c>
      <c r="S11" s="364" t="str">
        <f>S10*5</f>
        <v>164.81</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+244.12 over GvG (+123.13%)</v>
      </c>
      <c r="K16" s="106"/>
      <c r="L16" s="106"/>
      <c r="M16" s="107"/>
      <c r="N16" s="378" t="str">
        <f>F34</f>
        <v>TGT</v>
      </c>
      <c r="O16" s="106"/>
      <c r="P16" s="379" t="str">
        <f>"by +" &amp; ROUND(F38,2) &amp; " over " &amp;F35  &amp; " (+" &amp; ROUND(F36/F37*100,2)-100 &amp; "%)"</f>
        <v>by +37.89 over GvG (+29.85%)</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+62.63% over GvG</v>
      </c>
      <c r="K17" s="106"/>
      <c r="L17" s="106"/>
      <c r="M17" s="107"/>
      <c r="N17" s="378" t="str">
        <f>G34</f>
        <v>GvG</v>
      </c>
      <c r="O17" s="106"/>
      <c r="P17" s="379" t="str">
        <f>"by +" &amp; ROUND(G38*100,2) &amp; "% over " &amp; G35</f>
        <v>by +9.56% over Classic</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172.83</v>
      </c>
      <c r="E21" s="389" t="str">
        <f>IF($C15,$C$11,"")</f>
        <v>31.05%</v>
      </c>
      <c r="F21" s="388" t="str">
        <f>IF($C15,$M$11,"")</f>
        <v>94.93</v>
      </c>
      <c r="G21" s="389" t="str">
        <f>IF($C15,$L$11,"")</f>
        <v>23.61%</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198.26</v>
      </c>
      <c r="E22" s="389" t="str">
        <f>IF($C16,$F$11,"")</f>
        <v>37.37%</v>
      </c>
      <c r="F22" s="388" t="str">
        <f>IF($C16,$P$11,"")</f>
        <v>126.92</v>
      </c>
      <c r="G22" s="389" t="str">
        <f>IF($C16,$O$11,"")</f>
        <v>33.18%</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164.81</v>
      </c>
      <c r="G23" s="389" t="str">
        <f>IF($C17,$R$11,"")</f>
        <v>15.35%</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1</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Classic</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164.81</v>
      </c>
      <c r="G36" s="425" t="str">
        <f t="shared" si="19"/>
        <v>33.18%</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198.26</v>
      </c>
      <c r="E37" s="226" t="str">
        <f t="shared" si="20"/>
        <v>37.37%</v>
      </c>
      <c r="F37" s="424" t="str">
        <f t="shared" si="20"/>
        <v>126.92</v>
      </c>
      <c r="G37" s="425" t="str">
        <f t="shared" si="20"/>
        <v>23.61%</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244.12</v>
      </c>
      <c r="E38" s="428" t="str">
        <f t="shared" si="21"/>
        <v>62.63%</v>
      </c>
      <c r="F38" s="427" t="str">
        <f t="shared" si="21"/>
        <v>37.89</v>
      </c>
      <c r="G38" s="429" t="str">
        <f t="shared" si="21"/>
        <v>9.56%</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N15:S15"/>
    <mergeCell ref="H14:S14"/>
    <mergeCell ref="N16:O16"/>
    <mergeCell ref="P16:S16"/>
    <mergeCell ref="J20:L21"/>
    <mergeCell ref="I29:J29"/>
    <mergeCell ref="I28:J28"/>
    <mergeCell ref="I27:J27"/>
    <mergeCell ref="M20:O21"/>
    <mergeCell ref="B40:S42"/>
    <mergeCell ref="B2:S2"/>
    <mergeCell ref="P17:S17"/>
    <mergeCell ref="K3:S3"/>
    <mergeCell ref="N4:P4"/>
    <mergeCell ref="Q4:S4"/>
    <mergeCell ref="K4:M4"/>
    <mergeCell ref="B3:J3"/>
    <mergeCell ref="H4:J4"/>
    <mergeCell ref="E4:G4"/>
    <mergeCell ref="B4:D4"/>
    <mergeCell ref="F14:G15"/>
    <mergeCell ref="F16:G16"/>
    <mergeCell ref="H16:I16"/>
    <mergeCell ref="J16:M16"/>
    <mergeCell ref="B14:C14"/>
    <mergeCell ref="H15:M15"/>
    <mergeCell ref="N17:O17"/>
    <mergeCell ref="J17:M17"/>
    <mergeCell ref="H17:I17"/>
    <mergeCell ref="F17:G17"/>
  </mergeCells>
  <dataValidations>
    <dataValidation type="list" allowBlank="1" sqref="C15:C17">
      <formula1>"TRUE,FALSE"</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t="s">
        <v>135</v>
      </c>
      <c r="B1" s="432" t="s">
        <v>136</v>
      </c>
      <c r="C1" s="433" t="s">
        <v>137</v>
      </c>
      <c r="D1" s="432" t="s">
        <v>5</v>
      </c>
      <c r="E1" s="433" t="s">
        <v>138</v>
      </c>
      <c r="F1" s="432" t="s">
        <v>59</v>
      </c>
      <c r="G1" s="433" t="s">
        <v>31</v>
      </c>
      <c r="H1" s="432" t="s">
        <v>32</v>
      </c>
      <c r="I1" s="434" t="s">
        <v>139</v>
      </c>
      <c r="J1" s="434" t="s">
        <v>140</v>
      </c>
      <c r="K1" s="432" t="s">
        <v>141</v>
      </c>
      <c r="L1" s="432" t="s">
        <v>142</v>
      </c>
      <c r="M1" s="432" t="s">
        <v>143</v>
      </c>
      <c r="N1" s="432" t="s">
        <v>144</v>
      </c>
      <c r="O1" s="435" t="s">
        <v>145</v>
      </c>
      <c r="P1" s="5"/>
      <c r="Q1" s="436" t="s">
        <v>146</v>
      </c>
      <c r="R1" s="436" t="s">
        <v>147</v>
      </c>
      <c r="S1" s="436" t="s">
        <v>148</v>
      </c>
      <c r="T1" s="437" t="s">
        <v>149</v>
      </c>
      <c r="U1" s="438" t="s">
        <v>150</v>
      </c>
      <c r="V1" s="438" t="s">
        <v>151</v>
      </c>
      <c r="W1" s="438" t="s">
        <v>152</v>
      </c>
      <c r="X1" s="438" t="s">
        <v>106</v>
      </c>
      <c r="Y1" s="439" t="s">
        <v>153</v>
      </c>
      <c r="Z1" s="439" t="s">
        <v>154</v>
      </c>
      <c r="AA1" s="439" t="s">
        <v>155</v>
      </c>
      <c r="AB1" s="439" t="s">
        <v>156</v>
      </c>
      <c r="AC1" s="439" t="s">
        <v>157</v>
      </c>
      <c r="AD1" s="440" t="s">
        <v>158</v>
      </c>
      <c r="AE1" s="440" t="s">
        <v>159</v>
      </c>
      <c r="AF1" s="440" t="s">
        <v>160</v>
      </c>
      <c r="AG1" s="441"/>
      <c r="AH1" s="5"/>
      <c r="AI1" s="5"/>
      <c r="AJ1" s="5"/>
      <c r="AK1" s="5"/>
      <c r="AL1" s="5"/>
      <c r="AM1" s="5"/>
      <c r="AN1" s="5"/>
      <c r="AO1" s="5"/>
      <c r="AP1" s="5"/>
      <c r="AQ1" s="5"/>
      <c r="AR1" s="5"/>
      <c r="AS1" s="5"/>
      <c r="AT1" s="5"/>
    </row>
    <row r="2">
      <c r="A2" s="442"/>
      <c r="B2" s="443">
        <v>0.0</v>
      </c>
      <c r="C2" s="444" t="s">
        <v>161</v>
      </c>
      <c r="D2" s="445" t="s">
        <v>10</v>
      </c>
      <c r="E2" s="445" t="s">
        <v>10</v>
      </c>
      <c r="F2" s="445" t="s">
        <v>60</v>
      </c>
      <c r="G2" s="446" t="str">
        <f>COUNTIFS(Reference!F:F,C2,Reference!G:G,"&lt;="&amp;VLOOKUP($F2,Summary!$N$25:$O$33,2,0))</f>
        <v>2</v>
      </c>
      <c r="H2" s="447">
        <v>0.0</v>
      </c>
      <c r="I2" s="448">
        <v>1.0</v>
      </c>
      <c r="J2" s="448">
        <v>1.0</v>
      </c>
      <c r="K2" s="449" t="s">
        <v>162</v>
      </c>
      <c r="L2" s="449"/>
      <c r="M2" s="449"/>
      <c r="N2" s="449"/>
      <c r="O2" s="450" t="s">
        <v>163</v>
      </c>
      <c r="P2" s="451"/>
      <c r="Q2" s="452" t="str">
        <f>MATCH($D2,Reference!$J$5:$J$9,0)</f>
        <v>1</v>
      </c>
      <c r="R2" s="452" t="str">
        <f>MATCH($E2,Reference!$J$26:$J$32,0)</f>
        <v>1</v>
      </c>
      <c r="S2" s="452" t="str">
        <f>MATCH($F2,Reference!$J$45:$J$54,0)</f>
        <v>1</v>
      </c>
      <c r="T2" s="453" t="str">
        <f>MATCH($K2,Reference!$J$37:$J$39,0)</f>
        <v>2</v>
      </c>
      <c r="U2" s="454" t="str">
        <f t="shared" ref="U2:U43" si="2">MIN((G2+H2),2)</f>
        <v>2</v>
      </c>
      <c r="V2" s="454" t="str">
        <f t="shared" ref="V2:V699" si="3">--(U2&gt;0)</f>
        <v>1</v>
      </c>
      <c r="W2" s="455">
        <v>0.0</v>
      </c>
      <c r="X2" s="454" t="str">
        <f t="shared" ref="X2:X43" si="4">MIN((G2+H2),2)</f>
        <v>2</v>
      </c>
      <c r="Y2" s="456" t="str">
        <f t="shared" ref="Y2:Y699" si="5">U2=0</f>
        <v>FALSE</v>
      </c>
      <c r="Z2" s="456" t="str">
        <f t="shared" ref="Z2:Z699" si="6">AND($Q2&lt;&gt;4,U2&lt;=1)</f>
        <v>FALSE</v>
      </c>
      <c r="AA2" s="457" t="str">
        <f t="shared" ref="AA2:AB2" si="1">1-I2</f>
        <v>0%</v>
      </c>
      <c r="AB2" s="457" t="str">
        <f t="shared" si="1"/>
        <v>0%</v>
      </c>
      <c r="AC2" s="456" t="str">
        <f t="shared" ref="AC2:AC699" si="8">U2+SUMIF(Y2:Z2,TRUE,AA2:AB2)</f>
        <v>2</v>
      </c>
      <c r="AD2" s="458" t="str">
        <f t="shared" ref="AD2:AD43" si="9">MIN((H2),2)</f>
        <v>0</v>
      </c>
      <c r="AE2" s="458" t="str">
        <f t="shared" ref="AE2:AE699" si="10">MIN((U2),1)</f>
        <v>1</v>
      </c>
      <c r="AF2" s="459" t="str">
        <f t="shared" ref="AF2:AF11" si="11">(MIN(H2,2)+G2-U2)*0</f>
        <v>0</v>
      </c>
      <c r="AG2" s="460"/>
      <c r="AH2" s="461"/>
    </row>
    <row r="3">
      <c r="A3" s="442"/>
      <c r="B3" s="443">
        <v>0.0</v>
      </c>
      <c r="C3" s="444" t="s">
        <v>164</v>
      </c>
      <c r="D3" s="445" t="s">
        <v>10</v>
      </c>
      <c r="E3" s="445" t="s">
        <v>10</v>
      </c>
      <c r="F3" s="445" t="s">
        <v>60</v>
      </c>
      <c r="G3" s="446" t="str">
        <f>COUNTIFS(Reference!F:F,C3,Reference!G:G,"&lt;="&amp;VLOOKUP($F3,Summary!$N$25:$O$33,2,0))</f>
        <v>2</v>
      </c>
      <c r="H3" s="447">
        <v>0.0</v>
      </c>
      <c r="I3" s="448">
        <v>1.0</v>
      </c>
      <c r="J3" s="448">
        <v>1.0</v>
      </c>
      <c r="K3" s="445" t="s">
        <v>162</v>
      </c>
      <c r="L3" s="445"/>
      <c r="M3" s="445"/>
      <c r="N3" s="446"/>
      <c r="O3" s="450" t="s">
        <v>165</v>
      </c>
      <c r="P3" s="14"/>
      <c r="Q3" s="452" t="str">
        <f>MATCH($D3,Reference!$J$5:$J$9,0)</f>
        <v>1</v>
      </c>
      <c r="R3" s="452" t="str">
        <f>MATCH($E3,Reference!$J$26:$J$32,0)</f>
        <v>1</v>
      </c>
      <c r="S3" s="452" t="str">
        <f>MATCH($F3,Reference!$J$45:$J$54,0)</f>
        <v>1</v>
      </c>
      <c r="T3" s="453" t="str">
        <f>MATCH($K3,Reference!$J$37:$J$39,0)</f>
        <v>2</v>
      </c>
      <c r="U3" s="454" t="str">
        <f t="shared" si="2"/>
        <v>2</v>
      </c>
      <c r="V3" s="454" t="str">
        <f t="shared" si="3"/>
        <v>1</v>
      </c>
      <c r="W3" s="455">
        <v>0.0</v>
      </c>
      <c r="X3" s="454" t="str">
        <f t="shared" si="4"/>
        <v>2</v>
      </c>
      <c r="Y3" s="456" t="str">
        <f t="shared" si="5"/>
        <v>FALSE</v>
      </c>
      <c r="Z3" s="456" t="str">
        <f t="shared" si="6"/>
        <v>FALSE</v>
      </c>
      <c r="AA3" s="457" t="str">
        <f t="shared" ref="AA3:AB3" si="7">1-I3</f>
        <v>0%</v>
      </c>
      <c r="AB3" s="457" t="str">
        <f t="shared" si="7"/>
        <v>0%</v>
      </c>
      <c r="AC3" s="456" t="str">
        <f t="shared" si="8"/>
        <v>2</v>
      </c>
      <c r="AD3" s="458" t="str">
        <f t="shared" si="9"/>
        <v>0</v>
      </c>
      <c r="AE3" s="458" t="str">
        <f t="shared" si="10"/>
        <v>1</v>
      </c>
      <c r="AF3" s="459" t="str">
        <f t="shared" si="11"/>
        <v>0</v>
      </c>
      <c r="AG3" s="460"/>
      <c r="AH3" s="462" t="s">
        <v>166</v>
      </c>
      <c r="AI3" s="26"/>
      <c r="AJ3" s="26"/>
      <c r="AK3" s="26"/>
      <c r="AL3" s="26"/>
      <c r="AM3" s="26"/>
      <c r="AN3" s="26"/>
      <c r="AO3" s="26"/>
      <c r="AP3" s="26"/>
      <c r="AQ3" s="26"/>
      <c r="AR3" s="26"/>
      <c r="AS3" s="26"/>
      <c r="AT3" s="26"/>
      <c r="AU3" s="26"/>
      <c r="AV3" s="26"/>
      <c r="AW3" s="26"/>
      <c r="AX3" s="28"/>
    </row>
    <row r="4">
      <c r="A4" s="463"/>
      <c r="B4" s="443">
        <v>1.0</v>
      </c>
      <c r="C4" s="444" t="s">
        <v>167</v>
      </c>
      <c r="D4" s="445" t="s">
        <v>10</v>
      </c>
      <c r="E4" s="445" t="s">
        <v>10</v>
      </c>
      <c r="F4" s="445" t="s">
        <v>60</v>
      </c>
      <c r="G4" s="446" t="str">
        <f>COUNTIFS(Reference!F:F,C4,Reference!G:G,"&lt;="&amp;VLOOKUP($F4,Summary!$N$25:$O$33,2,0))</f>
        <v>2</v>
      </c>
      <c r="H4" s="447">
        <v>0.0</v>
      </c>
      <c r="I4" s="448">
        <v>1.0</v>
      </c>
      <c r="J4" s="448">
        <v>1.0</v>
      </c>
      <c r="K4" s="449" t="s">
        <v>162</v>
      </c>
      <c r="L4" s="449"/>
      <c r="M4" s="449"/>
      <c r="N4" s="449"/>
      <c r="O4" s="450" t="s">
        <v>168</v>
      </c>
      <c r="P4" s="14"/>
      <c r="Q4" s="452" t="str">
        <f>MATCH($D4,Reference!$J$5:$J$9,0)</f>
        <v>1</v>
      </c>
      <c r="R4" s="452" t="str">
        <f>MATCH($E4,Reference!$J$26:$J$32,0)</f>
        <v>1</v>
      </c>
      <c r="S4" s="452" t="str">
        <f>MATCH($F4,Reference!$J$45:$J$54,0)</f>
        <v>1</v>
      </c>
      <c r="T4" s="453" t="str">
        <f>MATCH($K4,Reference!$J$37:$J$39,0)</f>
        <v>2</v>
      </c>
      <c r="U4" s="454" t="str">
        <f t="shared" si="2"/>
        <v>2</v>
      </c>
      <c r="V4" s="454" t="str">
        <f t="shared" si="3"/>
        <v>1</v>
      </c>
      <c r="W4" s="455">
        <v>0.0</v>
      </c>
      <c r="X4" s="454" t="str">
        <f t="shared" si="4"/>
        <v>2</v>
      </c>
      <c r="Y4" s="456" t="str">
        <f t="shared" si="5"/>
        <v>FALSE</v>
      </c>
      <c r="Z4" s="456" t="str">
        <f t="shared" si="6"/>
        <v>FALSE</v>
      </c>
      <c r="AA4" s="457" t="str">
        <f t="shared" ref="AA4:AB4" si="12">1-I4</f>
        <v>0%</v>
      </c>
      <c r="AB4" s="457" t="str">
        <f t="shared" si="12"/>
        <v>0%</v>
      </c>
      <c r="AC4" s="456" t="str">
        <f t="shared" si="8"/>
        <v>2</v>
      </c>
      <c r="AD4" s="458" t="str">
        <f t="shared" si="9"/>
        <v>0</v>
      </c>
      <c r="AE4" s="458" t="str">
        <f t="shared" si="10"/>
        <v>1</v>
      </c>
      <c r="AF4" s="459" t="str">
        <f t="shared" si="11"/>
        <v>0</v>
      </c>
      <c r="AG4" s="460"/>
      <c r="AH4" s="464" t="s">
        <v>169</v>
      </c>
      <c r="AX4" s="144"/>
      <c r="BO4" s="465"/>
      <c r="BP4" s="465"/>
    </row>
    <row r="5">
      <c r="A5" s="466"/>
      <c r="B5" s="467">
        <v>2.0</v>
      </c>
      <c r="C5" s="468" t="s">
        <v>170</v>
      </c>
      <c r="D5" s="445" t="s">
        <v>10</v>
      </c>
      <c r="E5" s="445" t="s">
        <v>10</v>
      </c>
      <c r="F5" s="445" t="s">
        <v>60</v>
      </c>
      <c r="G5" s="446" t="str">
        <f>COUNTIFS(Reference!F:F,C5,Reference!G:G,"&lt;="&amp;VLOOKUP($F5,Summary!$N$25:$O$33,2,0))</f>
        <v>2</v>
      </c>
      <c r="H5" s="446" t="str">
        <f>COUNTIFS(Reference!B:B,C5,Reference!C:C,"&lt;="&amp;VLOOKUP("Druid",Summary!$N$25:$O$33,2,0))</f>
        <v>2</v>
      </c>
      <c r="I5" s="448">
        <v>1.0</v>
      </c>
      <c r="J5" s="448">
        <v>1.0</v>
      </c>
      <c r="K5" s="445" t="s">
        <v>162</v>
      </c>
      <c r="L5" s="445"/>
      <c r="M5" s="445"/>
      <c r="N5" s="446"/>
      <c r="O5" s="450" t="s">
        <v>171</v>
      </c>
      <c r="P5" s="14"/>
      <c r="Q5" s="452" t="str">
        <f>MATCH($D5,Reference!$J$5:$J$9,0)</f>
        <v>1</v>
      </c>
      <c r="R5" s="452" t="str">
        <f>MATCH($E5,Reference!$J$26:$J$32,0)</f>
        <v>1</v>
      </c>
      <c r="S5" s="452" t="str">
        <f>MATCH($F5,Reference!$J$45:$J$54,0)</f>
        <v>1</v>
      </c>
      <c r="T5" s="453" t="str">
        <f>MATCH($K5,Reference!$J$37:$J$39,0)</f>
        <v>2</v>
      </c>
      <c r="U5" s="454" t="str">
        <f t="shared" si="2"/>
        <v>2</v>
      </c>
      <c r="V5" s="454" t="str">
        <f t="shared" si="3"/>
        <v>1</v>
      </c>
      <c r="W5" s="455">
        <v>0.0</v>
      </c>
      <c r="X5" s="454" t="str">
        <f t="shared" si="4"/>
        <v>2</v>
      </c>
      <c r="Y5" s="456" t="str">
        <f t="shared" si="5"/>
        <v>FALSE</v>
      </c>
      <c r="Z5" s="456" t="str">
        <f t="shared" si="6"/>
        <v>FALSE</v>
      </c>
      <c r="AA5" s="457" t="str">
        <f t="shared" ref="AA5:AB5" si="13">1-I5</f>
        <v>0%</v>
      </c>
      <c r="AB5" s="457" t="str">
        <f t="shared" si="13"/>
        <v>0%</v>
      </c>
      <c r="AC5" s="456" t="str">
        <f t="shared" si="8"/>
        <v>2</v>
      </c>
      <c r="AD5" s="458" t="str">
        <f t="shared" si="9"/>
        <v>2</v>
      </c>
      <c r="AE5" s="458" t="str">
        <f t="shared" si="10"/>
        <v>1</v>
      </c>
      <c r="AF5" s="459" t="str">
        <f t="shared" si="11"/>
        <v>0</v>
      </c>
      <c r="AG5" s="460"/>
      <c r="AH5" s="464" t="s">
        <v>172</v>
      </c>
      <c r="AX5" s="144"/>
      <c r="AY5" s="465"/>
      <c r="AZ5" s="465"/>
      <c r="BA5" s="465"/>
      <c r="BB5" s="465"/>
      <c r="BC5" s="465"/>
      <c r="BD5" s="465"/>
      <c r="BE5" s="465"/>
      <c r="BF5" s="465"/>
      <c r="BG5" s="465"/>
      <c r="BH5" s="465"/>
      <c r="BI5" s="465"/>
      <c r="BJ5" s="465"/>
      <c r="BK5" s="465"/>
      <c r="BL5" s="465"/>
      <c r="BM5" s="465"/>
      <c r="BN5" s="465"/>
      <c r="BO5" s="5"/>
      <c r="BP5" s="5"/>
    </row>
    <row r="6">
      <c r="A6" s="466"/>
      <c r="B6" s="443">
        <v>2.0</v>
      </c>
      <c r="C6" s="444" t="s">
        <v>173</v>
      </c>
      <c r="D6" s="445" t="s">
        <v>10</v>
      </c>
      <c r="E6" s="445" t="s">
        <v>10</v>
      </c>
      <c r="F6" s="445" t="s">
        <v>60</v>
      </c>
      <c r="G6" s="446" t="str">
        <f>COUNTIFS(Reference!F:F,C6,Reference!G:G,"&lt;="&amp;VLOOKUP($F6,Summary!$N$25:$O$33,2,0))</f>
        <v>2</v>
      </c>
      <c r="H6" s="446" t="str">
        <f>COUNTIFS(Reference!B:B,C6,Reference!C:C,"&lt;="&amp;VLOOKUP("Druid",Summary!$N$25:$O$33,2,0))</f>
        <v>2</v>
      </c>
      <c r="I6" s="448">
        <v>1.0</v>
      </c>
      <c r="J6" s="448">
        <v>1.0</v>
      </c>
      <c r="K6" s="449" t="s">
        <v>162</v>
      </c>
      <c r="L6" s="449"/>
      <c r="M6" s="449"/>
      <c r="N6" s="449"/>
      <c r="O6" s="450" t="s">
        <v>174</v>
      </c>
      <c r="P6" s="14"/>
      <c r="Q6" s="452" t="str">
        <f>MATCH($D6,Reference!$J$5:$J$9,0)</f>
        <v>1</v>
      </c>
      <c r="R6" s="452" t="str">
        <f>MATCH($E6,Reference!$J$26:$J$32,0)</f>
        <v>1</v>
      </c>
      <c r="S6" s="452" t="str">
        <f>MATCH($F6,Reference!$J$45:$J$54,0)</f>
        <v>1</v>
      </c>
      <c r="T6" s="453" t="str">
        <f>MATCH($K6,Reference!$J$37:$J$39,0)</f>
        <v>2</v>
      </c>
      <c r="U6" s="454" t="str">
        <f t="shared" si="2"/>
        <v>2</v>
      </c>
      <c r="V6" s="454" t="str">
        <f t="shared" si="3"/>
        <v>1</v>
      </c>
      <c r="W6" s="455">
        <v>0.0</v>
      </c>
      <c r="X6" s="454" t="str">
        <f t="shared" si="4"/>
        <v>2</v>
      </c>
      <c r="Y6" s="456" t="str">
        <f t="shared" si="5"/>
        <v>FALSE</v>
      </c>
      <c r="Z6" s="456" t="str">
        <f t="shared" si="6"/>
        <v>FALSE</v>
      </c>
      <c r="AA6" s="457" t="str">
        <f t="shared" ref="AA6:AB6" si="14">1-I6</f>
        <v>0%</v>
      </c>
      <c r="AB6" s="457" t="str">
        <f t="shared" si="14"/>
        <v>0%</v>
      </c>
      <c r="AC6" s="456" t="str">
        <f t="shared" si="8"/>
        <v>2</v>
      </c>
      <c r="AD6" s="458" t="str">
        <f t="shared" si="9"/>
        <v>2</v>
      </c>
      <c r="AE6" s="458" t="str">
        <f t="shared" si="10"/>
        <v>1</v>
      </c>
      <c r="AF6" s="459" t="str">
        <f t="shared" si="11"/>
        <v>0</v>
      </c>
      <c r="AG6" s="460"/>
      <c r="AH6" s="464" t="s">
        <v>175</v>
      </c>
      <c r="AX6" s="144"/>
      <c r="AY6" s="5"/>
      <c r="AZ6" s="5"/>
      <c r="BA6" s="5"/>
      <c r="BB6" s="5"/>
      <c r="BC6" s="5"/>
      <c r="BD6" s="5"/>
      <c r="BE6" s="5"/>
      <c r="BF6" s="5"/>
      <c r="BG6" s="5"/>
      <c r="BH6" s="5"/>
      <c r="BI6" s="5"/>
      <c r="BJ6" s="5"/>
      <c r="BK6" s="5"/>
      <c r="BL6" s="5"/>
      <c r="BM6" s="5"/>
      <c r="BN6" s="5"/>
      <c r="BO6" s="5"/>
      <c r="BP6" s="5"/>
    </row>
    <row r="7">
      <c r="A7" s="469"/>
      <c r="B7" s="443">
        <v>3.0</v>
      </c>
      <c r="C7" s="444" t="s">
        <v>176</v>
      </c>
      <c r="D7" s="445" t="s">
        <v>10</v>
      </c>
      <c r="E7" s="445" t="s">
        <v>10</v>
      </c>
      <c r="F7" s="445" t="s">
        <v>60</v>
      </c>
      <c r="G7" s="446" t="str">
        <f>COUNTIFS(Reference!F:F,C7,Reference!G:G,"&lt;="&amp;VLOOKUP($F7,Summary!$N$25:$O$33,2,0))</f>
        <v>2</v>
      </c>
      <c r="H7" s="446" t="str">
        <f>COUNTIFS(Reference!B:B,C7,Reference!C:C,"&lt;="&amp;VLOOKUP("Druid",Summary!$N$25:$O$33,2,0))</f>
        <v>2</v>
      </c>
      <c r="I7" s="448">
        <v>1.0</v>
      </c>
      <c r="J7" s="448">
        <v>1.0</v>
      </c>
      <c r="K7" s="449" t="s">
        <v>162</v>
      </c>
      <c r="L7" s="449"/>
      <c r="M7" s="449"/>
      <c r="N7" s="449"/>
      <c r="O7" s="450" t="s">
        <v>177</v>
      </c>
      <c r="P7" s="14"/>
      <c r="Q7" s="452" t="str">
        <f>MATCH($D7,Reference!$J$5:$J$9,0)</f>
        <v>1</v>
      </c>
      <c r="R7" s="452" t="str">
        <f>MATCH($E7,Reference!$J$26:$J$32,0)</f>
        <v>1</v>
      </c>
      <c r="S7" s="452" t="str">
        <f>MATCH($F7,Reference!$J$45:$J$54,0)</f>
        <v>1</v>
      </c>
      <c r="T7" s="453" t="str">
        <f>MATCH($K7,Reference!$J$37:$J$39,0)</f>
        <v>2</v>
      </c>
      <c r="U7" s="454" t="str">
        <f t="shared" si="2"/>
        <v>2</v>
      </c>
      <c r="V7" s="454" t="str">
        <f t="shared" si="3"/>
        <v>1</v>
      </c>
      <c r="W7" s="455">
        <v>0.0</v>
      </c>
      <c r="X7" s="454" t="str">
        <f t="shared" si="4"/>
        <v>2</v>
      </c>
      <c r="Y7" s="456" t="str">
        <f t="shared" si="5"/>
        <v>FALSE</v>
      </c>
      <c r="Z7" s="456" t="str">
        <f t="shared" si="6"/>
        <v>FALSE</v>
      </c>
      <c r="AA7" s="457" t="str">
        <f t="shared" ref="AA7:AB7" si="15">1-I7</f>
        <v>0%</v>
      </c>
      <c r="AB7" s="457" t="str">
        <f t="shared" si="15"/>
        <v>0%</v>
      </c>
      <c r="AC7" s="456" t="str">
        <f t="shared" si="8"/>
        <v>2</v>
      </c>
      <c r="AD7" s="458" t="str">
        <f t="shared" si="9"/>
        <v>2</v>
      </c>
      <c r="AE7" s="458" t="str">
        <f t="shared" si="10"/>
        <v>1</v>
      </c>
      <c r="AF7" s="459" t="str">
        <f t="shared" si="11"/>
        <v>0</v>
      </c>
      <c r="AG7" s="460"/>
      <c r="AH7" s="470" t="s">
        <v>178</v>
      </c>
      <c r="AX7" s="144"/>
      <c r="AY7" s="5"/>
      <c r="AZ7" s="5"/>
      <c r="BA7" s="5"/>
      <c r="BB7" s="5"/>
      <c r="BC7" s="5"/>
      <c r="BD7" s="5"/>
      <c r="BE7" s="5"/>
      <c r="BF7" s="5"/>
      <c r="BG7" s="5"/>
      <c r="BH7" s="5"/>
      <c r="BI7" s="5"/>
      <c r="BJ7" s="5"/>
      <c r="BK7" s="5"/>
      <c r="BL7" s="5"/>
      <c r="BM7" s="5"/>
      <c r="BN7" s="5"/>
      <c r="BO7" s="471"/>
      <c r="BP7" s="471"/>
    </row>
    <row r="8">
      <c r="A8" s="466"/>
      <c r="B8" s="443">
        <v>3.0</v>
      </c>
      <c r="C8" s="444" t="s">
        <v>179</v>
      </c>
      <c r="D8" s="445" t="s">
        <v>10</v>
      </c>
      <c r="E8" s="445" t="s">
        <v>10</v>
      </c>
      <c r="F8" s="445" t="s">
        <v>60</v>
      </c>
      <c r="G8" s="446" t="str">
        <f>COUNTIFS(Reference!F:F,C8,Reference!G:G,"&lt;="&amp;VLOOKUP($F8,Summary!$N$25:$O$33,2,0))</f>
        <v>2</v>
      </c>
      <c r="H8" s="447">
        <v>0.0</v>
      </c>
      <c r="I8" s="448">
        <v>1.0</v>
      </c>
      <c r="J8" s="448">
        <v>1.0</v>
      </c>
      <c r="K8" s="449" t="s">
        <v>162</v>
      </c>
      <c r="L8" s="449"/>
      <c r="M8" s="449"/>
      <c r="N8" s="449"/>
      <c r="O8" s="450" t="s">
        <v>180</v>
      </c>
      <c r="P8" s="14"/>
      <c r="Q8" s="452" t="str">
        <f>MATCH($D8,Reference!$J$5:$J$9,0)</f>
        <v>1</v>
      </c>
      <c r="R8" s="452" t="str">
        <f>MATCH($E8,Reference!$J$26:$J$32,0)</f>
        <v>1</v>
      </c>
      <c r="S8" s="452" t="str">
        <f>MATCH($F8,Reference!$J$45:$J$54,0)</f>
        <v>1</v>
      </c>
      <c r="T8" s="453" t="str">
        <f>MATCH($K8,Reference!$J$37:$J$39,0)</f>
        <v>2</v>
      </c>
      <c r="U8" s="454" t="str">
        <f t="shared" si="2"/>
        <v>2</v>
      </c>
      <c r="V8" s="454" t="str">
        <f t="shared" si="3"/>
        <v>1</v>
      </c>
      <c r="W8" s="455">
        <v>0.0</v>
      </c>
      <c r="X8" s="454" t="str">
        <f t="shared" si="4"/>
        <v>2</v>
      </c>
      <c r="Y8" s="456" t="str">
        <f t="shared" si="5"/>
        <v>FALSE</v>
      </c>
      <c r="Z8" s="456" t="str">
        <f t="shared" si="6"/>
        <v>FALSE</v>
      </c>
      <c r="AA8" s="457" t="str">
        <f t="shared" ref="AA8:AB8" si="16">1-I8</f>
        <v>0%</v>
      </c>
      <c r="AB8" s="457" t="str">
        <f t="shared" si="16"/>
        <v>0%</v>
      </c>
      <c r="AC8" s="456" t="str">
        <f t="shared" si="8"/>
        <v>2</v>
      </c>
      <c r="AD8" s="458" t="str">
        <f t="shared" si="9"/>
        <v>0</v>
      </c>
      <c r="AE8" s="458" t="str">
        <f t="shared" si="10"/>
        <v>1</v>
      </c>
      <c r="AF8" s="459" t="str">
        <f t="shared" si="11"/>
        <v>0</v>
      </c>
      <c r="AG8" s="460"/>
      <c r="AH8" s="464" t="s">
        <v>181</v>
      </c>
      <c r="AX8" s="144"/>
      <c r="AY8" s="471"/>
      <c r="AZ8" s="471"/>
      <c r="BA8" s="471"/>
      <c r="BB8" s="471"/>
      <c r="BC8" s="471"/>
      <c r="BD8" s="471"/>
      <c r="BE8" s="471"/>
      <c r="BF8" s="471"/>
      <c r="BG8" s="471"/>
      <c r="BH8" s="471"/>
      <c r="BI8" s="471"/>
      <c r="BJ8" s="471"/>
      <c r="BK8" s="471"/>
      <c r="BL8" s="471"/>
      <c r="BM8" s="471"/>
      <c r="BN8" s="471"/>
      <c r="BO8" s="471"/>
      <c r="BP8" s="471"/>
    </row>
    <row r="9">
      <c r="A9" s="472"/>
      <c r="B9" s="467">
        <v>4.0</v>
      </c>
      <c r="C9" s="468" t="s">
        <v>182</v>
      </c>
      <c r="D9" s="445" t="s">
        <v>10</v>
      </c>
      <c r="E9" s="445" t="s">
        <v>10</v>
      </c>
      <c r="F9" s="445" t="s">
        <v>60</v>
      </c>
      <c r="G9" s="446" t="str">
        <f>COUNTIFS(Reference!F:F,C9,Reference!G:G,"&lt;="&amp;VLOOKUP($F9,Summary!$N$25:$O$33,2,0))</f>
        <v>2</v>
      </c>
      <c r="H9" s="447">
        <v>0.0</v>
      </c>
      <c r="I9" s="448">
        <v>1.0</v>
      </c>
      <c r="J9" s="448">
        <v>1.0</v>
      </c>
      <c r="K9" s="449" t="s">
        <v>162</v>
      </c>
      <c r="L9" s="449"/>
      <c r="M9" s="449"/>
      <c r="N9" s="449"/>
      <c r="O9" s="450" t="s">
        <v>183</v>
      </c>
      <c r="P9" s="14"/>
      <c r="Q9" s="452" t="str">
        <f>MATCH($D9,Reference!$J$5:$J$9,0)</f>
        <v>1</v>
      </c>
      <c r="R9" s="452" t="str">
        <f>MATCH($E9,Reference!$J$26:$J$32,0)</f>
        <v>1</v>
      </c>
      <c r="S9" s="452" t="str">
        <f>MATCH($F9,Reference!$J$45:$J$54,0)</f>
        <v>1</v>
      </c>
      <c r="T9" s="453" t="str">
        <f>MATCH($K9,Reference!$J$37:$J$39,0)</f>
        <v>2</v>
      </c>
      <c r="U9" s="454" t="str">
        <f t="shared" si="2"/>
        <v>2</v>
      </c>
      <c r="V9" s="454" t="str">
        <f t="shared" si="3"/>
        <v>1</v>
      </c>
      <c r="W9" s="455">
        <v>0.0</v>
      </c>
      <c r="X9" s="454" t="str">
        <f t="shared" si="4"/>
        <v>2</v>
      </c>
      <c r="Y9" s="456" t="str">
        <f t="shared" si="5"/>
        <v>FALSE</v>
      </c>
      <c r="Z9" s="456" t="str">
        <f t="shared" si="6"/>
        <v>FALSE</v>
      </c>
      <c r="AA9" s="457" t="str">
        <f t="shared" ref="AA9:AB9" si="17">1-I9</f>
        <v>0%</v>
      </c>
      <c r="AB9" s="457" t="str">
        <f t="shared" si="17"/>
        <v>0%</v>
      </c>
      <c r="AC9" s="456" t="str">
        <f t="shared" si="8"/>
        <v>2</v>
      </c>
      <c r="AD9" s="458" t="str">
        <f t="shared" si="9"/>
        <v>0</v>
      </c>
      <c r="AE9" s="458" t="str">
        <f t="shared" si="10"/>
        <v>1</v>
      </c>
      <c r="AF9" s="459" t="str">
        <f t="shared" si="11"/>
        <v>0</v>
      </c>
      <c r="AG9" s="460"/>
      <c r="AH9" s="473" t="s">
        <v>184</v>
      </c>
      <c r="AI9" s="37"/>
      <c r="AJ9" s="37"/>
      <c r="AK9" s="37"/>
      <c r="AL9" s="37"/>
      <c r="AM9" s="37"/>
      <c r="AN9" s="37"/>
      <c r="AO9" s="37"/>
      <c r="AP9" s="37"/>
      <c r="AQ9" s="37"/>
      <c r="AR9" s="37"/>
      <c r="AS9" s="37"/>
      <c r="AT9" s="37"/>
      <c r="AU9" s="37"/>
      <c r="AV9" s="37"/>
      <c r="AW9" s="37"/>
      <c r="AX9" s="38"/>
      <c r="AY9" s="471"/>
      <c r="AZ9" s="471"/>
      <c r="BA9" s="471"/>
      <c r="BB9" s="471"/>
      <c r="BC9" s="471"/>
      <c r="BD9" s="471"/>
      <c r="BE9" s="471"/>
      <c r="BF9" s="471"/>
      <c r="BG9" s="471"/>
      <c r="BH9" s="471"/>
      <c r="BI9" s="471"/>
      <c r="BJ9" s="471"/>
      <c r="BK9" s="471"/>
      <c r="BL9" s="471"/>
      <c r="BM9" s="471"/>
      <c r="BN9" s="471"/>
      <c r="BO9" s="471"/>
      <c r="BP9" s="471"/>
    </row>
    <row r="10">
      <c r="A10" s="442"/>
      <c r="B10" s="467">
        <v>6.0</v>
      </c>
      <c r="C10" s="468" t="s">
        <v>185</v>
      </c>
      <c r="D10" s="445" t="s">
        <v>10</v>
      </c>
      <c r="E10" s="445" t="s">
        <v>10</v>
      </c>
      <c r="F10" s="445" t="s">
        <v>60</v>
      </c>
      <c r="G10" s="446" t="str">
        <f>COUNTIFS(Reference!F:F,C10,Reference!G:G,"&lt;="&amp;VLOOKUP($F10,Summary!$N$25:$O$33,2,0))</f>
        <v>2</v>
      </c>
      <c r="H10" s="447">
        <v>0.0</v>
      </c>
      <c r="I10" s="448">
        <v>1.0</v>
      </c>
      <c r="J10" s="448">
        <v>1.0</v>
      </c>
      <c r="K10" s="449" t="s">
        <v>162</v>
      </c>
      <c r="L10" s="449"/>
      <c r="M10" s="449"/>
      <c r="N10" s="449"/>
      <c r="O10" s="450" t="s">
        <v>186</v>
      </c>
      <c r="P10" s="14"/>
      <c r="Q10" s="452" t="str">
        <f>MATCH($D10,Reference!$J$5:$J$9,0)</f>
        <v>1</v>
      </c>
      <c r="R10" s="452" t="str">
        <f>MATCH($E10,Reference!$J$26:$J$32,0)</f>
        <v>1</v>
      </c>
      <c r="S10" s="452" t="str">
        <f>MATCH($F10,Reference!$J$45:$J$54,0)</f>
        <v>1</v>
      </c>
      <c r="T10" s="453" t="str">
        <f>MATCH($K10,Reference!$J$37:$J$39,0)</f>
        <v>2</v>
      </c>
      <c r="U10" s="454" t="str">
        <f t="shared" si="2"/>
        <v>2</v>
      </c>
      <c r="V10" s="454" t="str">
        <f t="shared" si="3"/>
        <v>1</v>
      </c>
      <c r="W10" s="455">
        <v>0.0</v>
      </c>
      <c r="X10" s="454" t="str">
        <f t="shared" si="4"/>
        <v>2</v>
      </c>
      <c r="Y10" s="456" t="str">
        <f t="shared" si="5"/>
        <v>FALSE</v>
      </c>
      <c r="Z10" s="456" t="str">
        <f t="shared" si="6"/>
        <v>FALSE</v>
      </c>
      <c r="AA10" s="457" t="str">
        <f t="shared" ref="AA10:AB10" si="18">1-I10</f>
        <v>0%</v>
      </c>
      <c r="AB10" s="457" t="str">
        <f t="shared" si="18"/>
        <v>0%</v>
      </c>
      <c r="AC10" s="456" t="str">
        <f t="shared" si="8"/>
        <v>2</v>
      </c>
      <c r="AD10" s="458" t="str">
        <f t="shared" si="9"/>
        <v>0</v>
      </c>
      <c r="AE10" s="458" t="str">
        <f t="shared" si="10"/>
        <v>1</v>
      </c>
      <c r="AF10" s="459" t="str">
        <f t="shared" si="11"/>
        <v>0</v>
      </c>
      <c r="AG10" s="460"/>
      <c r="BO10" s="471"/>
      <c r="BP10" s="471"/>
    </row>
    <row r="11">
      <c r="A11" s="466"/>
      <c r="B11" s="467">
        <v>8.0</v>
      </c>
      <c r="C11" s="468" t="s">
        <v>187</v>
      </c>
      <c r="D11" s="445" t="s">
        <v>10</v>
      </c>
      <c r="E11" s="445" t="s">
        <v>10</v>
      </c>
      <c r="F11" s="445" t="s">
        <v>60</v>
      </c>
      <c r="G11" s="446" t="str">
        <f>COUNTIFS(Reference!F:F,C11,Reference!G:G,"&lt;="&amp;VLOOKUP($F11,Summary!$N$25:$O$33,2,0))</f>
        <v>2</v>
      </c>
      <c r="H11" s="447">
        <v>0.0</v>
      </c>
      <c r="I11" s="448">
        <v>1.0</v>
      </c>
      <c r="J11" s="448">
        <v>1.0</v>
      </c>
      <c r="K11" s="449" t="s">
        <v>188</v>
      </c>
      <c r="L11" s="449"/>
      <c r="M11" s="449">
        <v>8.0</v>
      </c>
      <c r="N11" s="449">
        <v>8.0</v>
      </c>
      <c r="O11" s="450" t="s">
        <v>189</v>
      </c>
      <c r="P11" s="14"/>
      <c r="Q11" s="452" t="str">
        <f>MATCH($D11,Reference!$J$5:$J$9,0)</f>
        <v>1</v>
      </c>
      <c r="R11" s="452" t="str">
        <f>MATCH($E11,Reference!$J$26:$J$32,0)</f>
        <v>1</v>
      </c>
      <c r="S11" s="452" t="str">
        <f>MATCH($F11,Reference!$J$45:$J$54,0)</f>
        <v>1</v>
      </c>
      <c r="T11" s="453" t="str">
        <f>MATCH($K11,Reference!$J$37:$J$39,0)</f>
        <v>3</v>
      </c>
      <c r="U11" s="454" t="str">
        <f t="shared" si="2"/>
        <v>2</v>
      </c>
      <c r="V11" s="454" t="str">
        <f t="shared" si="3"/>
        <v>1</v>
      </c>
      <c r="W11" s="455">
        <v>0.0</v>
      </c>
      <c r="X11" s="454" t="str">
        <f t="shared" si="4"/>
        <v>2</v>
      </c>
      <c r="Y11" s="456" t="str">
        <f t="shared" si="5"/>
        <v>FALSE</v>
      </c>
      <c r="Z11" s="456" t="str">
        <f t="shared" si="6"/>
        <v>FALSE</v>
      </c>
      <c r="AA11" s="457" t="str">
        <f t="shared" ref="AA11:AB11" si="19">1-I11</f>
        <v>0%</v>
      </c>
      <c r="AB11" s="457" t="str">
        <f t="shared" si="19"/>
        <v>0%</v>
      </c>
      <c r="AC11" s="456" t="str">
        <f t="shared" si="8"/>
        <v>2</v>
      </c>
      <c r="AD11" s="458" t="str">
        <f t="shared" si="9"/>
        <v>0</v>
      </c>
      <c r="AE11" s="458" t="str">
        <f t="shared" si="10"/>
        <v>1</v>
      </c>
      <c r="AF11" s="459" t="str">
        <f t="shared" si="11"/>
        <v>0</v>
      </c>
      <c r="AG11" s="460"/>
      <c r="AH11" s="474" t="s">
        <v>190</v>
      </c>
      <c r="AI11" s="106"/>
      <c r="AJ11" s="106"/>
      <c r="AK11" s="106"/>
      <c r="AL11" s="106"/>
      <c r="AM11" s="106"/>
      <c r="AN11" s="106"/>
      <c r="AO11" s="106"/>
      <c r="AP11" s="106"/>
      <c r="AQ11" s="106"/>
      <c r="AR11" s="106"/>
      <c r="AS11" s="106"/>
      <c r="AT11" s="106"/>
      <c r="AU11" s="106"/>
      <c r="AV11" s="106"/>
      <c r="AW11" s="106"/>
      <c r="AX11" s="107"/>
      <c r="AY11" s="471"/>
      <c r="AZ11" s="471"/>
      <c r="BA11" s="471"/>
      <c r="BB11" s="471"/>
      <c r="BC11" s="471"/>
      <c r="BD11" s="471"/>
      <c r="BE11" s="471"/>
      <c r="BF11" s="471"/>
      <c r="BG11" s="471"/>
      <c r="BH11" s="471"/>
      <c r="BI11" s="471"/>
      <c r="BJ11" s="471"/>
      <c r="BK11" s="471"/>
      <c r="BL11" s="471"/>
      <c r="BM11" s="471"/>
      <c r="BN11" s="471"/>
      <c r="BO11" s="5"/>
      <c r="BP11" s="5"/>
    </row>
    <row r="12">
      <c r="A12" s="442"/>
      <c r="B12" s="466">
        <v>1.0</v>
      </c>
      <c r="C12" s="475" t="s">
        <v>191</v>
      </c>
      <c r="D12" s="476" t="s">
        <v>15</v>
      </c>
      <c r="E12" s="477" t="s">
        <v>36</v>
      </c>
      <c r="F12" s="476" t="s">
        <v>60</v>
      </c>
      <c r="G12" s="478">
        <v>2.0</v>
      </c>
      <c r="H12" s="478">
        <v>0.0</v>
      </c>
      <c r="I12" s="479">
        <v>1.0</v>
      </c>
      <c r="J12" s="479">
        <v>1.0</v>
      </c>
      <c r="K12" s="477" t="s">
        <v>162</v>
      </c>
      <c r="L12" s="477"/>
      <c r="M12" s="477"/>
      <c r="N12" s="477"/>
      <c r="O12" s="480" t="s">
        <v>192</v>
      </c>
      <c r="P12" s="14"/>
      <c r="Q12" s="452" t="str">
        <f>MATCH($D12,Reference!$J$5:$J$9,0)</f>
        <v>2</v>
      </c>
      <c r="R12" s="452" t="str">
        <f>MATCH($E12,Reference!$J$26:$J$32,0)</f>
        <v>7</v>
      </c>
      <c r="S12" s="452" t="str">
        <f>MATCH($F12,Reference!$J$45:$J$54,0)</f>
        <v>1</v>
      </c>
      <c r="T12" s="453" t="str">
        <f>MATCH($K12,Reference!$J$37:$J$39,0)</f>
        <v>2</v>
      </c>
      <c r="U12" s="454" t="str">
        <f t="shared" si="2"/>
        <v>2</v>
      </c>
      <c r="V12" s="454" t="str">
        <f t="shared" si="3"/>
        <v>1</v>
      </c>
      <c r="W12" s="454" t="str">
        <f t="shared" ref="W12:W24" si="21">(MIN(G12,2)+H12-U12)*50</f>
        <v>0</v>
      </c>
      <c r="X12" s="454" t="str">
        <f t="shared" si="4"/>
        <v>2</v>
      </c>
      <c r="Y12" s="456" t="str">
        <f t="shared" si="5"/>
        <v>FALSE</v>
      </c>
      <c r="Z12" s="456" t="str">
        <f t="shared" si="6"/>
        <v>FALSE</v>
      </c>
      <c r="AA12" s="457" t="str">
        <f t="shared" ref="AA12:AB12" si="20">1-I12</f>
        <v>0%</v>
      </c>
      <c r="AB12" s="457" t="str">
        <f t="shared" si="20"/>
        <v>0%</v>
      </c>
      <c r="AC12" s="456" t="str">
        <f t="shared" si="8"/>
        <v>2</v>
      </c>
      <c r="AD12" s="458" t="str">
        <f t="shared" si="9"/>
        <v>0</v>
      </c>
      <c r="AE12" s="458" t="str">
        <f t="shared" si="10"/>
        <v>1</v>
      </c>
      <c r="AF12" s="459" t="str">
        <f t="shared" ref="AF12:AF24" si="23">(MIN(H12,2)+G12-U12)*5</f>
        <v>0</v>
      </c>
      <c r="AG12" s="460"/>
      <c r="AH12" s="481" t="s">
        <v>193</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3"/>
      <c r="B13" s="442">
        <v>1.0</v>
      </c>
      <c r="C13" s="482" t="s">
        <v>194</v>
      </c>
      <c r="D13" s="483" t="s">
        <v>15</v>
      </c>
      <c r="E13" s="483" t="s">
        <v>33</v>
      </c>
      <c r="F13" s="484" t="s">
        <v>60</v>
      </c>
      <c r="G13" s="471">
        <v>2.0</v>
      </c>
      <c r="H13" s="485">
        <v>0.0</v>
      </c>
      <c r="I13" s="486">
        <v>1.0</v>
      </c>
      <c r="J13" s="486">
        <v>1.0</v>
      </c>
      <c r="K13" s="483" t="s">
        <v>162</v>
      </c>
      <c r="L13" s="483"/>
      <c r="M13" s="484"/>
      <c r="N13" s="471"/>
      <c r="O13" s="223" t="s">
        <v>195</v>
      </c>
      <c r="P13" s="14"/>
      <c r="Q13" s="452" t="str">
        <f>MATCH($D13,Reference!$J$5:$J$9,0)</f>
        <v>2</v>
      </c>
      <c r="R13" s="452" t="str">
        <f>MATCH($E13,Reference!$J$26:$J$32,0)</f>
        <v>2</v>
      </c>
      <c r="S13" s="452" t="str">
        <f>MATCH($F13,Reference!$J$45:$J$54,0)</f>
        <v>1</v>
      </c>
      <c r="T13" s="453" t="str">
        <f>MATCH($K13,Reference!$J$37:$J$39,0)</f>
        <v>2</v>
      </c>
      <c r="U13" s="454" t="str">
        <f t="shared" si="2"/>
        <v>2</v>
      </c>
      <c r="V13" s="454" t="str">
        <f t="shared" si="3"/>
        <v>1</v>
      </c>
      <c r="W13" s="454" t="str">
        <f t="shared" si="21"/>
        <v>0</v>
      </c>
      <c r="X13" s="454" t="str">
        <f t="shared" si="4"/>
        <v>2</v>
      </c>
      <c r="Y13" s="456" t="str">
        <f t="shared" si="5"/>
        <v>FALSE</v>
      </c>
      <c r="Z13" s="456" t="str">
        <f t="shared" si="6"/>
        <v>FALSE</v>
      </c>
      <c r="AA13" s="457" t="str">
        <f t="shared" ref="AA13:AB13" si="22">1-I13</f>
        <v>0%</v>
      </c>
      <c r="AB13" s="457" t="str">
        <f t="shared" si="22"/>
        <v>0%</v>
      </c>
      <c r="AC13" s="456" t="str">
        <f t="shared" si="8"/>
        <v>2</v>
      </c>
      <c r="AD13" s="458" t="str">
        <f t="shared" si="9"/>
        <v>0</v>
      </c>
      <c r="AE13" s="458" t="str">
        <f t="shared" si="10"/>
        <v>1</v>
      </c>
      <c r="AF13" s="459" t="str">
        <f t="shared" si="23"/>
        <v>0</v>
      </c>
      <c r="AG13" s="460"/>
      <c r="AH13" s="487" t="s">
        <v>196</v>
      </c>
      <c r="AI13" s="106"/>
      <c r="AJ13" s="106"/>
      <c r="AK13" s="106"/>
      <c r="AL13" s="106"/>
      <c r="AM13" s="106"/>
      <c r="AN13" s="106"/>
      <c r="AO13" s="106"/>
      <c r="AP13" s="106"/>
      <c r="AQ13" s="106"/>
      <c r="AR13" s="106"/>
      <c r="AS13" s="106"/>
      <c r="AT13" s="106"/>
      <c r="AU13" s="106"/>
      <c r="AV13" s="106"/>
      <c r="AW13" s="106"/>
      <c r="AX13" s="107"/>
      <c r="BO13" s="488"/>
      <c r="BP13" s="488"/>
    </row>
    <row r="14">
      <c r="A14" s="463"/>
      <c r="B14" s="472">
        <v>2.0</v>
      </c>
      <c r="C14" s="489" t="s">
        <v>197</v>
      </c>
      <c r="D14" s="490" t="s">
        <v>15</v>
      </c>
      <c r="E14" s="490" t="s">
        <v>35</v>
      </c>
      <c r="F14" s="491" t="s">
        <v>60</v>
      </c>
      <c r="G14" s="492">
        <v>2.0</v>
      </c>
      <c r="H14" s="493">
        <v>0.0</v>
      </c>
      <c r="I14" s="494">
        <v>1.0</v>
      </c>
      <c r="J14" s="494">
        <v>1.0</v>
      </c>
      <c r="K14" s="495" t="s">
        <v>188</v>
      </c>
      <c r="L14" s="495" t="s">
        <v>198</v>
      </c>
      <c r="M14" s="495">
        <v>2.0</v>
      </c>
      <c r="N14" s="495">
        <v>2.0</v>
      </c>
      <c r="O14" s="496" t="s">
        <v>199</v>
      </c>
      <c r="P14" s="14"/>
      <c r="Q14" s="452" t="str">
        <f>MATCH($D14,Reference!$J$5:$J$9,0)</f>
        <v>2</v>
      </c>
      <c r="R14" s="452" t="str">
        <f>MATCH($E14,Reference!$J$26:$J$32,0)</f>
        <v>5</v>
      </c>
      <c r="S14" s="452" t="str">
        <f>MATCH($F14,Reference!$J$45:$J$54,0)</f>
        <v>1</v>
      </c>
      <c r="T14" s="453" t="str">
        <f>MATCH($K14,Reference!$J$37:$J$39,0)</f>
        <v>3</v>
      </c>
      <c r="U14" s="454" t="str">
        <f t="shared" si="2"/>
        <v>2</v>
      </c>
      <c r="V14" s="454" t="str">
        <f t="shared" si="3"/>
        <v>1</v>
      </c>
      <c r="W14" s="454" t="str">
        <f t="shared" si="21"/>
        <v>0</v>
      </c>
      <c r="X14" s="454" t="str">
        <f t="shared" si="4"/>
        <v>2</v>
      </c>
      <c r="Y14" s="456" t="str">
        <f t="shared" si="5"/>
        <v>FALSE</v>
      </c>
      <c r="Z14" s="456" t="str">
        <f t="shared" si="6"/>
        <v>FALSE</v>
      </c>
      <c r="AA14" s="457" t="str">
        <f t="shared" ref="AA14:AB14" si="24">1-I14</f>
        <v>0%</v>
      </c>
      <c r="AB14" s="457" t="str">
        <f t="shared" si="24"/>
        <v>0%</v>
      </c>
      <c r="AC14" s="456" t="str">
        <f t="shared" si="8"/>
        <v>2</v>
      </c>
      <c r="AD14" s="458" t="str">
        <f t="shared" si="9"/>
        <v>0</v>
      </c>
      <c r="AE14" s="458" t="str">
        <f t="shared" si="10"/>
        <v>1</v>
      </c>
      <c r="AF14" s="459" t="str">
        <f t="shared" si="23"/>
        <v>0</v>
      </c>
      <c r="AG14" s="460"/>
      <c r="AH14" s="487" t="s">
        <v>200</v>
      </c>
      <c r="AI14" s="106"/>
      <c r="AJ14" s="106"/>
      <c r="AK14" s="106"/>
      <c r="AL14" s="106"/>
      <c r="AM14" s="106"/>
      <c r="AN14" s="106"/>
      <c r="AO14" s="106"/>
      <c r="AP14" s="106"/>
      <c r="AQ14" s="106"/>
      <c r="AR14" s="106"/>
      <c r="AS14" s="106"/>
      <c r="AT14" s="106"/>
      <c r="AU14" s="106"/>
      <c r="AV14" s="106"/>
      <c r="AW14" s="106"/>
      <c r="AX14" s="107"/>
      <c r="BO14" s="488"/>
      <c r="BP14" s="488"/>
    </row>
    <row r="15">
      <c r="A15" s="466"/>
      <c r="B15" s="466">
        <v>2.0</v>
      </c>
      <c r="C15" s="475" t="s">
        <v>201</v>
      </c>
      <c r="D15" s="476" t="s">
        <v>15</v>
      </c>
      <c r="E15" s="477" t="s">
        <v>36</v>
      </c>
      <c r="F15" s="476" t="s">
        <v>60</v>
      </c>
      <c r="G15" s="478">
        <v>2.0</v>
      </c>
      <c r="H15" s="478">
        <v>0.0</v>
      </c>
      <c r="I15" s="479">
        <v>1.0</v>
      </c>
      <c r="J15" s="479">
        <v>1.0</v>
      </c>
      <c r="K15" s="477" t="s">
        <v>188</v>
      </c>
      <c r="L15" s="477"/>
      <c r="M15" s="477">
        <v>2.0</v>
      </c>
      <c r="N15" s="477">
        <v>1.0</v>
      </c>
      <c r="O15" s="480" t="s">
        <v>202</v>
      </c>
      <c r="P15" s="14"/>
      <c r="Q15" s="452" t="str">
        <f>MATCH($D15,Reference!$J$5:$J$9,0)</f>
        <v>2</v>
      </c>
      <c r="R15" s="452" t="str">
        <f>MATCH($E15,Reference!$J$26:$J$32,0)</f>
        <v>7</v>
      </c>
      <c r="S15" s="452" t="str">
        <f>MATCH($F15,Reference!$J$45:$J$54,0)</f>
        <v>1</v>
      </c>
      <c r="T15" s="453" t="str">
        <f>MATCH($K15,Reference!$J$37:$J$39,0)</f>
        <v>3</v>
      </c>
      <c r="U15" s="454" t="str">
        <f t="shared" si="2"/>
        <v>2</v>
      </c>
      <c r="V15" s="454" t="str">
        <f t="shared" si="3"/>
        <v>1</v>
      </c>
      <c r="W15" s="454" t="str">
        <f t="shared" si="21"/>
        <v>0</v>
      </c>
      <c r="X15" s="454" t="str">
        <f t="shared" si="4"/>
        <v>2</v>
      </c>
      <c r="Y15" s="456" t="str">
        <f t="shared" si="5"/>
        <v>FALSE</v>
      </c>
      <c r="Z15" s="456" t="str">
        <f t="shared" si="6"/>
        <v>FALSE</v>
      </c>
      <c r="AA15" s="457" t="str">
        <f t="shared" ref="AA15:AB15" si="25">1-I15</f>
        <v>0%</v>
      </c>
      <c r="AB15" s="457" t="str">
        <f t="shared" si="25"/>
        <v>0%</v>
      </c>
      <c r="AC15" s="456" t="str">
        <f t="shared" si="8"/>
        <v>2</v>
      </c>
      <c r="AD15" s="458" t="str">
        <f t="shared" si="9"/>
        <v>0</v>
      </c>
      <c r="AE15" s="458" t="str">
        <f t="shared" si="10"/>
        <v>1</v>
      </c>
      <c r="AF15" s="459" t="str">
        <f t="shared" si="23"/>
        <v>0</v>
      </c>
      <c r="AG15" s="460"/>
      <c r="AH15" s="497" t="s">
        <v>203</v>
      </c>
      <c r="AI15" s="26"/>
      <c r="AJ15" s="26"/>
      <c r="AK15" s="26"/>
      <c r="AL15" s="26"/>
      <c r="AM15" s="26"/>
      <c r="AN15" s="26"/>
      <c r="AO15" s="26"/>
      <c r="AP15" s="26"/>
      <c r="AQ15" s="26"/>
      <c r="AR15" s="26"/>
      <c r="AS15" s="26"/>
      <c r="AT15" s="26"/>
      <c r="AU15" s="26"/>
      <c r="AV15" s="26"/>
      <c r="AW15" s="26"/>
      <c r="AX15" s="28"/>
      <c r="AY15" s="498"/>
      <c r="AZ15" s="498"/>
      <c r="BA15" s="498"/>
      <c r="BB15" s="498"/>
      <c r="BC15" s="498"/>
      <c r="BD15" s="498"/>
      <c r="BE15" s="498"/>
      <c r="BF15" s="498"/>
      <c r="BG15" s="498"/>
      <c r="BH15" s="498"/>
      <c r="BI15" s="498"/>
      <c r="BJ15" s="498"/>
      <c r="BK15" s="498"/>
      <c r="BL15" s="498"/>
      <c r="BM15" s="498"/>
      <c r="BN15" s="498"/>
      <c r="BO15" s="488"/>
      <c r="BP15" s="488"/>
    </row>
    <row r="16">
      <c r="A16" s="442"/>
      <c r="B16" s="442">
        <v>2.0</v>
      </c>
      <c r="C16" s="482" t="s">
        <v>204</v>
      </c>
      <c r="D16" s="483" t="s">
        <v>15</v>
      </c>
      <c r="E16" s="483" t="s">
        <v>33</v>
      </c>
      <c r="F16" s="484" t="s">
        <v>60</v>
      </c>
      <c r="G16" s="471">
        <v>2.0</v>
      </c>
      <c r="H16" s="485">
        <v>0.0</v>
      </c>
      <c r="I16" s="486">
        <v>1.0</v>
      </c>
      <c r="J16" s="486">
        <v>1.0</v>
      </c>
      <c r="K16" s="499" t="s">
        <v>162</v>
      </c>
      <c r="L16" s="499"/>
      <c r="M16" s="499"/>
      <c r="N16" s="499"/>
      <c r="O16" s="223" t="s">
        <v>205</v>
      </c>
      <c r="P16" s="14"/>
      <c r="Q16" s="452" t="str">
        <f>MATCH($D16,Reference!$J$5:$J$9,0)</f>
        <v>2</v>
      </c>
      <c r="R16" s="452" t="str">
        <f>MATCH($E16,Reference!$J$26:$J$32,0)</f>
        <v>2</v>
      </c>
      <c r="S16" s="452" t="str">
        <f>MATCH($F16,Reference!$J$45:$J$54,0)</f>
        <v>1</v>
      </c>
      <c r="T16" s="453" t="str">
        <f>MATCH($K16,Reference!$J$37:$J$39,0)</f>
        <v>2</v>
      </c>
      <c r="U16" s="454" t="str">
        <f t="shared" si="2"/>
        <v>2</v>
      </c>
      <c r="V16" s="454" t="str">
        <f t="shared" si="3"/>
        <v>1</v>
      </c>
      <c r="W16" s="454" t="str">
        <f t="shared" si="21"/>
        <v>0</v>
      </c>
      <c r="X16" s="454" t="str">
        <f t="shared" si="4"/>
        <v>2</v>
      </c>
      <c r="Y16" s="456" t="str">
        <f t="shared" si="5"/>
        <v>FALSE</v>
      </c>
      <c r="Z16" s="456" t="str">
        <f t="shared" si="6"/>
        <v>FALSE</v>
      </c>
      <c r="AA16" s="457" t="str">
        <f t="shared" ref="AA16:AB16" si="26">1-I16</f>
        <v>0%</v>
      </c>
      <c r="AB16" s="457" t="str">
        <f t="shared" si="26"/>
        <v>0%</v>
      </c>
      <c r="AC16" s="456" t="str">
        <f t="shared" si="8"/>
        <v>2</v>
      </c>
      <c r="AD16" s="458" t="str">
        <f t="shared" si="9"/>
        <v>0</v>
      </c>
      <c r="AE16" s="458" t="str">
        <f t="shared" si="10"/>
        <v>1</v>
      </c>
      <c r="AF16" s="459" t="str">
        <f t="shared" si="23"/>
        <v>0</v>
      </c>
      <c r="AG16" s="460"/>
      <c r="AH16" s="253"/>
      <c r="AX16" s="144"/>
      <c r="AY16" s="498"/>
      <c r="AZ16" s="498"/>
      <c r="BA16" s="498"/>
      <c r="BB16" s="498"/>
      <c r="BC16" s="498"/>
      <c r="BD16" s="498"/>
      <c r="BE16" s="498"/>
      <c r="BF16" s="498"/>
      <c r="BG16" s="498"/>
      <c r="BH16" s="498"/>
      <c r="BI16" s="498"/>
      <c r="BJ16" s="498"/>
      <c r="BK16" s="498"/>
      <c r="BL16" s="498"/>
      <c r="BM16" s="498"/>
      <c r="BN16" s="498"/>
      <c r="BO16" s="500"/>
      <c r="BP16" s="500"/>
    </row>
    <row r="17">
      <c r="A17" s="466"/>
      <c r="B17" s="442">
        <v>2.0</v>
      </c>
      <c r="C17" s="482" t="s">
        <v>206</v>
      </c>
      <c r="D17" s="483" t="s">
        <v>15</v>
      </c>
      <c r="E17" s="483" t="s">
        <v>33</v>
      </c>
      <c r="F17" s="484" t="s">
        <v>60</v>
      </c>
      <c r="G17" s="471">
        <v>2.0</v>
      </c>
      <c r="H17" s="485">
        <v>1.0</v>
      </c>
      <c r="I17" s="486">
        <v>1.0</v>
      </c>
      <c r="J17" s="486">
        <v>1.0</v>
      </c>
      <c r="K17" s="499" t="s">
        <v>162</v>
      </c>
      <c r="L17" s="499"/>
      <c r="M17" s="499"/>
      <c r="N17" s="499"/>
      <c r="O17" s="223" t="s">
        <v>207</v>
      </c>
      <c r="P17" s="14"/>
      <c r="Q17" s="452" t="str">
        <f>MATCH($D17,Reference!$J$5:$J$9,0)</f>
        <v>2</v>
      </c>
      <c r="R17" s="452" t="str">
        <f>MATCH($E17,Reference!$J$26:$J$32,0)</f>
        <v>2</v>
      </c>
      <c r="S17" s="452" t="str">
        <f>MATCH($F17,Reference!$J$45:$J$54,0)</f>
        <v>1</v>
      </c>
      <c r="T17" s="453" t="str">
        <f>MATCH($K17,Reference!$J$37:$J$39,0)</f>
        <v>2</v>
      </c>
      <c r="U17" s="454" t="str">
        <f t="shared" si="2"/>
        <v>2</v>
      </c>
      <c r="V17" s="454" t="str">
        <f t="shared" si="3"/>
        <v>1</v>
      </c>
      <c r="W17" s="454" t="str">
        <f t="shared" si="21"/>
        <v>50</v>
      </c>
      <c r="X17" s="454" t="str">
        <f t="shared" si="4"/>
        <v>2</v>
      </c>
      <c r="Y17" s="456" t="str">
        <f t="shared" si="5"/>
        <v>FALSE</v>
      </c>
      <c r="Z17" s="456" t="str">
        <f t="shared" si="6"/>
        <v>FALSE</v>
      </c>
      <c r="AA17" s="457" t="str">
        <f t="shared" ref="AA17:AB17" si="27">1-I17</f>
        <v>0%</v>
      </c>
      <c r="AB17" s="457" t="str">
        <f t="shared" si="27"/>
        <v>0%</v>
      </c>
      <c r="AC17" s="456" t="str">
        <f t="shared" si="8"/>
        <v>2</v>
      </c>
      <c r="AD17" s="458" t="str">
        <f t="shared" si="9"/>
        <v>1</v>
      </c>
      <c r="AE17" s="458" t="str">
        <f t="shared" si="10"/>
        <v>1</v>
      </c>
      <c r="AF17" s="459" t="str">
        <f t="shared" si="23"/>
        <v>5</v>
      </c>
      <c r="AG17" s="460"/>
      <c r="AH17" s="36"/>
      <c r="AI17" s="37"/>
      <c r="AJ17" s="37"/>
      <c r="AK17" s="37"/>
      <c r="AL17" s="37"/>
      <c r="AM17" s="37"/>
      <c r="AN17" s="37"/>
      <c r="AO17" s="37"/>
      <c r="AP17" s="37"/>
      <c r="AQ17" s="37"/>
      <c r="AR17" s="37"/>
      <c r="AS17" s="37"/>
      <c r="AT17" s="37"/>
      <c r="AU17" s="37"/>
      <c r="AV17" s="37"/>
      <c r="AW17" s="37"/>
      <c r="AX17" s="38"/>
      <c r="AY17" s="498"/>
      <c r="AZ17" s="498"/>
      <c r="BA17" s="498"/>
      <c r="BB17" s="498"/>
      <c r="BC17" s="498"/>
      <c r="BD17" s="498"/>
      <c r="BE17" s="498"/>
      <c r="BF17" s="498"/>
      <c r="BG17" s="498"/>
      <c r="BH17" s="498"/>
      <c r="BI17" s="498"/>
      <c r="BJ17" s="498"/>
      <c r="BK17" s="498"/>
      <c r="BL17" s="498"/>
      <c r="BM17" s="498"/>
      <c r="BN17" s="498"/>
      <c r="BO17" s="5"/>
      <c r="BP17" s="5"/>
    </row>
    <row r="18">
      <c r="A18" s="442"/>
      <c r="B18" s="469">
        <v>3.0</v>
      </c>
      <c r="C18" s="501" t="s">
        <v>208</v>
      </c>
      <c r="D18" s="502" t="s">
        <v>15</v>
      </c>
      <c r="E18" s="502" t="s">
        <v>47</v>
      </c>
      <c r="F18" s="503" t="s">
        <v>60</v>
      </c>
      <c r="G18" s="504" t="str">
        <f>IF(Summary!$Y$27&gt;=VLOOKUP(C18,Reference!$N$6:$O$36,2,0),2,0)</f>
        <v>2</v>
      </c>
      <c r="H18" s="504">
        <v>0.0</v>
      </c>
      <c r="I18" s="505">
        <v>1.0</v>
      </c>
      <c r="J18" s="505"/>
      <c r="K18" s="506" t="s">
        <v>188</v>
      </c>
      <c r="L18" s="506"/>
      <c r="M18" s="506">
        <v>2.0</v>
      </c>
      <c r="N18" s="506">
        <v>2.0</v>
      </c>
      <c r="O18" s="507" t="s">
        <v>209</v>
      </c>
      <c r="P18" s="14"/>
      <c r="Q18" s="452" t="str">
        <f>MATCH($D18,Reference!$J$5:$J$9,0)</f>
        <v>2</v>
      </c>
      <c r="R18" s="452" t="str">
        <f>MATCH($E18,Reference!$J$26:$J$32,0)</f>
        <v>6</v>
      </c>
      <c r="S18" s="452" t="str">
        <f>MATCH($F18,Reference!$J$45:$J$54,0)</f>
        <v>1</v>
      </c>
      <c r="T18" s="453" t="str">
        <f>MATCH($K18,Reference!$J$37:$J$39,0)</f>
        <v>3</v>
      </c>
      <c r="U18" s="454" t="str">
        <f t="shared" si="2"/>
        <v>2</v>
      </c>
      <c r="V18" s="454" t="str">
        <f t="shared" si="3"/>
        <v>1</v>
      </c>
      <c r="W18" s="454" t="str">
        <f t="shared" si="21"/>
        <v>0</v>
      </c>
      <c r="X18" s="454" t="str">
        <f t="shared" si="4"/>
        <v>2</v>
      </c>
      <c r="Y18" s="456" t="str">
        <f t="shared" si="5"/>
        <v>FALSE</v>
      </c>
      <c r="Z18" s="456" t="str">
        <f t="shared" si="6"/>
        <v>FALSE</v>
      </c>
      <c r="AA18" s="457" t="str">
        <f t="shared" ref="AA18:AB18" si="28">1-I18</f>
        <v>0%</v>
      </c>
      <c r="AB18" s="457" t="str">
        <f t="shared" si="28"/>
        <v>100%</v>
      </c>
      <c r="AC18" s="456" t="str">
        <f t="shared" si="8"/>
        <v>2</v>
      </c>
      <c r="AD18" s="458" t="str">
        <f t="shared" si="9"/>
        <v>0</v>
      </c>
      <c r="AE18" s="458" t="str">
        <f t="shared" si="10"/>
        <v>1</v>
      </c>
      <c r="AF18" s="459" t="str">
        <f t="shared" si="23"/>
        <v>0</v>
      </c>
      <c r="AG18" s="460"/>
      <c r="BO18" s="508"/>
      <c r="BP18" s="508"/>
    </row>
    <row r="19">
      <c r="A19" s="442"/>
      <c r="B19" s="509">
        <v>3.0</v>
      </c>
      <c r="C19" s="510" t="s">
        <v>210</v>
      </c>
      <c r="D19" s="511" t="s">
        <v>15</v>
      </c>
      <c r="E19" s="511" t="s">
        <v>33</v>
      </c>
      <c r="F19" s="512" t="s">
        <v>60</v>
      </c>
      <c r="G19" s="508">
        <v>2.0</v>
      </c>
      <c r="H19" s="508">
        <v>0.0</v>
      </c>
      <c r="I19" s="486">
        <v>1.0</v>
      </c>
      <c r="J19" s="486">
        <v>1.0</v>
      </c>
      <c r="K19" s="511" t="s">
        <v>162</v>
      </c>
      <c r="L19" s="511"/>
      <c r="M19" s="512"/>
      <c r="N19" s="508"/>
      <c r="O19" s="224" t="s">
        <v>211</v>
      </c>
      <c r="P19" s="14"/>
      <c r="Q19" s="452" t="str">
        <f>MATCH($D19,Reference!$J$5:$J$9,0)</f>
        <v>2</v>
      </c>
      <c r="R19" s="452" t="str">
        <f>MATCH($E19,Reference!$J$26:$J$32,0)</f>
        <v>2</v>
      </c>
      <c r="S19" s="452" t="str">
        <f>MATCH($F19,Reference!$J$45:$J$54,0)</f>
        <v>1</v>
      </c>
      <c r="T19" s="453" t="str">
        <f>MATCH($K19,Reference!$J$37:$J$39,0)</f>
        <v>2</v>
      </c>
      <c r="U19" s="454" t="str">
        <f t="shared" si="2"/>
        <v>2</v>
      </c>
      <c r="V19" s="454" t="str">
        <f t="shared" si="3"/>
        <v>1</v>
      </c>
      <c r="W19" s="454" t="str">
        <f t="shared" si="21"/>
        <v>0</v>
      </c>
      <c r="X19" s="454" t="str">
        <f t="shared" si="4"/>
        <v>2</v>
      </c>
      <c r="Y19" s="456" t="str">
        <f t="shared" si="5"/>
        <v>FALSE</v>
      </c>
      <c r="Z19" s="456" t="str">
        <f t="shared" si="6"/>
        <v>FALSE</v>
      </c>
      <c r="AA19" s="457" t="str">
        <f t="shared" ref="AA19:AB19" si="29">1-I19</f>
        <v>0%</v>
      </c>
      <c r="AB19" s="457" t="str">
        <f t="shared" si="29"/>
        <v>0%</v>
      </c>
      <c r="AC19" s="456" t="str">
        <f t="shared" si="8"/>
        <v>2</v>
      </c>
      <c r="AD19" s="458" t="str">
        <f t="shared" si="9"/>
        <v>0</v>
      </c>
      <c r="AE19" s="458" t="str">
        <f t="shared" si="10"/>
        <v>1</v>
      </c>
      <c r="AF19" s="459" t="str">
        <f t="shared" si="23"/>
        <v>0</v>
      </c>
      <c r="AG19" s="460"/>
      <c r="BO19" s="508"/>
      <c r="BP19" s="508"/>
    </row>
    <row r="20">
      <c r="A20" s="442"/>
      <c r="B20" s="513">
        <v>4.0</v>
      </c>
      <c r="C20" s="514" t="s">
        <v>212</v>
      </c>
      <c r="D20" s="515" t="s">
        <v>15</v>
      </c>
      <c r="E20" s="515" t="s">
        <v>41</v>
      </c>
      <c r="F20" s="516" t="s">
        <v>60</v>
      </c>
      <c r="G20" s="517" t="str">
        <f>IF(Summary!$Y$25&gt;=VLOOKUP(C20,Reference!$N$41:$O$70,2,0),2,0)</f>
        <v>2</v>
      </c>
      <c r="H20" s="517">
        <v>0.0</v>
      </c>
      <c r="I20" s="518">
        <v>1.0</v>
      </c>
      <c r="J20" s="518"/>
      <c r="K20" s="519" t="s">
        <v>162</v>
      </c>
      <c r="L20" s="519"/>
      <c r="M20" s="519"/>
      <c r="N20" s="519"/>
      <c r="O20" s="520" t="s">
        <v>213</v>
      </c>
      <c r="P20" s="14"/>
      <c r="Q20" s="452" t="str">
        <f>MATCH($D20,Reference!$J$5:$J$9,0)</f>
        <v>2</v>
      </c>
      <c r="R20" s="452" t="str">
        <f>MATCH($E20,Reference!$J$26:$J$32,0)</f>
        <v>4</v>
      </c>
      <c r="S20" s="452" t="str">
        <f>MATCH($F20,Reference!$J$45:$J$54,0)</f>
        <v>1</v>
      </c>
      <c r="T20" s="453" t="str">
        <f>MATCH($K20,Reference!$J$37:$J$39,0)</f>
        <v>2</v>
      </c>
      <c r="U20" s="454" t="str">
        <f t="shared" si="2"/>
        <v>2</v>
      </c>
      <c r="V20" s="454" t="str">
        <f t="shared" si="3"/>
        <v>1</v>
      </c>
      <c r="W20" s="454" t="str">
        <f t="shared" si="21"/>
        <v>0</v>
      </c>
      <c r="X20" s="454" t="str">
        <f t="shared" si="4"/>
        <v>2</v>
      </c>
      <c r="Y20" s="456" t="str">
        <f t="shared" si="5"/>
        <v>FALSE</v>
      </c>
      <c r="Z20" s="456" t="str">
        <f t="shared" si="6"/>
        <v>FALSE</v>
      </c>
      <c r="AA20" s="457" t="str">
        <f t="shared" ref="AA20:AB20" si="30">1-I20</f>
        <v>0%</v>
      </c>
      <c r="AB20" s="457" t="str">
        <f t="shared" si="30"/>
        <v>100%</v>
      </c>
      <c r="AC20" s="456" t="str">
        <f t="shared" si="8"/>
        <v>2</v>
      </c>
      <c r="AD20" s="458" t="str">
        <f t="shared" si="9"/>
        <v>0</v>
      </c>
      <c r="AE20" s="458" t="str">
        <f t="shared" si="10"/>
        <v>1</v>
      </c>
      <c r="AF20" s="459" t="str">
        <f t="shared" si="23"/>
        <v>0</v>
      </c>
      <c r="AG20" s="460"/>
      <c r="AH20" s="521" t="s">
        <v>214</v>
      </c>
      <c r="AI20" s="106"/>
      <c r="AJ20" s="106"/>
      <c r="AK20" s="106"/>
      <c r="AL20" s="106"/>
      <c r="AM20" s="106"/>
      <c r="AN20" s="106"/>
      <c r="AO20" s="106"/>
      <c r="AP20" s="106"/>
      <c r="AQ20" s="106"/>
      <c r="AR20" s="106"/>
      <c r="AS20" s="106"/>
      <c r="AT20" s="106"/>
      <c r="AU20" s="106"/>
      <c r="AV20" s="106"/>
      <c r="AW20" s="106"/>
      <c r="AX20" s="107"/>
      <c r="AY20" s="508"/>
    </row>
    <row r="21">
      <c r="A21" s="442"/>
      <c r="B21" s="509">
        <v>4.0</v>
      </c>
      <c r="C21" s="510" t="s">
        <v>215</v>
      </c>
      <c r="D21" s="511" t="s">
        <v>15</v>
      </c>
      <c r="E21" s="511" t="s">
        <v>33</v>
      </c>
      <c r="F21" s="512" t="s">
        <v>60</v>
      </c>
      <c r="G21" s="508">
        <v>2.0</v>
      </c>
      <c r="H21" s="485">
        <v>0.0</v>
      </c>
      <c r="I21" s="486">
        <v>1.0</v>
      </c>
      <c r="J21" s="486">
        <v>1.0</v>
      </c>
      <c r="K21" s="522" t="s">
        <v>162</v>
      </c>
      <c r="L21" s="522"/>
      <c r="M21" s="522"/>
      <c r="N21" s="522"/>
      <c r="O21" s="224" t="s">
        <v>216</v>
      </c>
      <c r="P21" s="14"/>
      <c r="Q21" s="452" t="str">
        <f>MATCH($D21,Reference!$J$5:$J$9,0)</f>
        <v>2</v>
      </c>
      <c r="R21" s="452" t="str">
        <f>MATCH($E21,Reference!$J$26:$J$32,0)</f>
        <v>2</v>
      </c>
      <c r="S21" s="452" t="str">
        <f>MATCH($F21,Reference!$J$45:$J$54,0)</f>
        <v>1</v>
      </c>
      <c r="T21" s="453" t="str">
        <f>MATCH($K21,Reference!$J$37:$J$39,0)</f>
        <v>2</v>
      </c>
      <c r="U21" s="454" t="str">
        <f t="shared" si="2"/>
        <v>2</v>
      </c>
      <c r="V21" s="454" t="str">
        <f t="shared" si="3"/>
        <v>1</v>
      </c>
      <c r="W21" s="454" t="str">
        <f t="shared" si="21"/>
        <v>0</v>
      </c>
      <c r="X21" s="454" t="str">
        <f t="shared" si="4"/>
        <v>2</v>
      </c>
      <c r="Y21" s="456" t="str">
        <f t="shared" si="5"/>
        <v>FALSE</v>
      </c>
      <c r="Z21" s="456" t="str">
        <f t="shared" si="6"/>
        <v>FALSE</v>
      </c>
      <c r="AA21" s="457" t="str">
        <f t="shared" ref="AA21:AB21" si="31">1-I21</f>
        <v>0%</v>
      </c>
      <c r="AB21" s="457" t="str">
        <f t="shared" si="31"/>
        <v>0%</v>
      </c>
      <c r="AC21" s="456" t="str">
        <f t="shared" si="8"/>
        <v>2</v>
      </c>
      <c r="AD21" s="458" t="str">
        <f t="shared" si="9"/>
        <v>0</v>
      </c>
      <c r="AE21" s="458" t="str">
        <f t="shared" si="10"/>
        <v>1</v>
      </c>
      <c r="AF21" s="459" t="str">
        <f t="shared" si="23"/>
        <v>0</v>
      </c>
      <c r="AG21" s="460"/>
      <c r="AH21" s="523" t="s">
        <v>141</v>
      </c>
      <c r="AI21" s="524" t="s">
        <v>24</v>
      </c>
      <c r="AJ21" s="107"/>
      <c r="AK21" s="524" t="s">
        <v>33</v>
      </c>
      <c r="AL21" s="107"/>
      <c r="AM21" s="524" t="s">
        <v>37</v>
      </c>
      <c r="AN21" s="107"/>
      <c r="AO21" s="524" t="s">
        <v>41</v>
      </c>
      <c r="AP21" s="107"/>
      <c r="AQ21" s="524" t="s">
        <v>35</v>
      </c>
      <c r="AR21" s="107"/>
      <c r="AS21" s="525" t="s">
        <v>217</v>
      </c>
      <c r="AT21" s="107"/>
      <c r="AU21" s="525" t="s">
        <v>36</v>
      </c>
      <c r="AV21" s="107"/>
      <c r="AW21" s="525" t="s">
        <v>218</v>
      </c>
      <c r="AX21" s="107"/>
      <c r="AY21" s="508"/>
    </row>
    <row r="22">
      <c r="A22" s="463"/>
      <c r="B22" s="466">
        <v>4.0</v>
      </c>
      <c r="C22" s="475" t="s">
        <v>219</v>
      </c>
      <c r="D22" s="476" t="s">
        <v>15</v>
      </c>
      <c r="E22" s="477" t="s">
        <v>36</v>
      </c>
      <c r="F22" s="476" t="s">
        <v>60</v>
      </c>
      <c r="G22" s="478">
        <v>2.0</v>
      </c>
      <c r="H22" s="478">
        <v>0.0</v>
      </c>
      <c r="I22" s="479">
        <v>1.0</v>
      </c>
      <c r="J22" s="479">
        <v>1.0</v>
      </c>
      <c r="K22" s="477" t="s">
        <v>188</v>
      </c>
      <c r="L22" s="477"/>
      <c r="M22" s="477">
        <v>4.0</v>
      </c>
      <c r="N22" s="477">
        <v>4.0</v>
      </c>
      <c r="O22" s="480" t="s">
        <v>220</v>
      </c>
      <c r="P22" s="5"/>
      <c r="Q22" s="452" t="str">
        <f>MATCH($D22,Reference!$J$5:$J$9,0)</f>
        <v>2</v>
      </c>
      <c r="R22" s="452" t="str">
        <f>MATCH($E22,Reference!$J$26:$J$32,0)</f>
        <v>7</v>
      </c>
      <c r="S22" s="452" t="str">
        <f>MATCH($F22,Reference!$J$45:$J$54,0)</f>
        <v>1</v>
      </c>
      <c r="T22" s="453" t="str">
        <f>MATCH($K22,Reference!$J$37:$J$39,0)</f>
        <v>3</v>
      </c>
      <c r="U22" s="454" t="str">
        <f t="shared" si="2"/>
        <v>2</v>
      </c>
      <c r="V22" s="454" t="str">
        <f t="shared" si="3"/>
        <v>1</v>
      </c>
      <c r="W22" s="454" t="str">
        <f t="shared" si="21"/>
        <v>0</v>
      </c>
      <c r="X22" s="454" t="str">
        <f t="shared" si="4"/>
        <v>2</v>
      </c>
      <c r="Y22" s="456" t="str">
        <f t="shared" si="5"/>
        <v>FALSE</v>
      </c>
      <c r="Z22" s="456" t="str">
        <f t="shared" si="6"/>
        <v>FALSE</v>
      </c>
      <c r="AA22" s="457" t="str">
        <f t="shared" ref="AA22:AB22" si="32">1-I22</f>
        <v>0%</v>
      </c>
      <c r="AB22" s="457" t="str">
        <f t="shared" si="32"/>
        <v>0%</v>
      </c>
      <c r="AC22" s="456" t="str">
        <f t="shared" si="8"/>
        <v>2</v>
      </c>
      <c r="AD22" s="458" t="str">
        <f t="shared" si="9"/>
        <v>0</v>
      </c>
      <c r="AE22" s="458" t="str">
        <f t="shared" si="10"/>
        <v>1</v>
      </c>
      <c r="AF22" s="459" t="str">
        <f t="shared" si="23"/>
        <v>0</v>
      </c>
      <c r="AG22" s="460"/>
      <c r="AH22" s="526" t="s">
        <v>221</v>
      </c>
      <c r="AI22" s="527"/>
      <c r="AJ22" s="528"/>
      <c r="AK22" s="527"/>
      <c r="AL22" s="528"/>
      <c r="AM22" s="529"/>
      <c r="AN22" s="528"/>
      <c r="AO22" s="527"/>
      <c r="AP22" s="528"/>
      <c r="AQ22" s="529"/>
      <c r="AR22" s="528"/>
      <c r="AS22" s="527"/>
      <c r="AT22" s="528"/>
      <c r="AU22" s="529"/>
      <c r="AV22" s="528"/>
      <c r="AW22" s="529"/>
      <c r="AX22" s="528"/>
    </row>
    <row r="23">
      <c r="A23" s="463"/>
      <c r="B23" s="509">
        <v>5.0</v>
      </c>
      <c r="C23" s="510" t="s">
        <v>222</v>
      </c>
      <c r="D23" s="511" t="s">
        <v>15</v>
      </c>
      <c r="E23" s="511" t="s">
        <v>33</v>
      </c>
      <c r="F23" s="512" t="s">
        <v>60</v>
      </c>
      <c r="G23" s="508">
        <v>2.0</v>
      </c>
      <c r="H23" s="485">
        <v>0.0</v>
      </c>
      <c r="I23" s="486">
        <v>1.0</v>
      </c>
      <c r="J23" s="530">
        <v>1.0</v>
      </c>
      <c r="K23" s="522" t="s">
        <v>188</v>
      </c>
      <c r="L23" s="531"/>
      <c r="M23" s="522">
        <v>4.0</v>
      </c>
      <c r="N23" s="522">
        <v>4.0</v>
      </c>
      <c r="O23" s="532" t="s">
        <v>223</v>
      </c>
      <c r="P23" s="14"/>
      <c r="Q23" s="452" t="str">
        <f>MATCH($D23,Reference!$J$5:$J$9,0)</f>
        <v>2</v>
      </c>
      <c r="R23" s="452" t="str">
        <f>MATCH($E23,Reference!$J$26:$J$32,0)</f>
        <v>2</v>
      </c>
      <c r="S23" s="452" t="str">
        <f>MATCH($F23,Reference!$J$45:$J$54,0)</f>
        <v>1</v>
      </c>
      <c r="T23" s="453" t="str">
        <f>MATCH($K23,Reference!$J$37:$J$39,0)</f>
        <v>3</v>
      </c>
      <c r="U23" s="454" t="str">
        <f t="shared" si="2"/>
        <v>2</v>
      </c>
      <c r="V23" s="454" t="str">
        <f t="shared" si="3"/>
        <v>1</v>
      </c>
      <c r="W23" s="454" t="str">
        <f t="shared" si="21"/>
        <v>0</v>
      </c>
      <c r="X23" s="454" t="str">
        <f t="shared" si="4"/>
        <v>2</v>
      </c>
      <c r="Y23" s="456" t="str">
        <f t="shared" si="5"/>
        <v>FALSE</v>
      </c>
      <c r="Z23" s="456" t="str">
        <f t="shared" si="6"/>
        <v>FALSE</v>
      </c>
      <c r="AA23" s="457" t="str">
        <f t="shared" ref="AA23:AB23" si="33">1-I23</f>
        <v>0%</v>
      </c>
      <c r="AB23" s="457" t="str">
        <f t="shared" si="33"/>
        <v>0%</v>
      </c>
      <c r="AC23" s="456" t="str">
        <f t="shared" si="8"/>
        <v>2</v>
      </c>
      <c r="AD23" s="458" t="str">
        <f t="shared" si="9"/>
        <v>0</v>
      </c>
      <c r="AE23" s="458" t="str">
        <f t="shared" si="10"/>
        <v>1</v>
      </c>
      <c r="AF23" s="459" t="str">
        <f t="shared" si="23"/>
        <v>0</v>
      </c>
      <c r="AG23" s="460"/>
      <c r="AH23" s="533" t="s">
        <v>10</v>
      </c>
      <c r="AI23" s="534" t="str">
        <f t="shared" ref="AI23:AJ23" si="34">SUM(AM23+AK23+AO23+AQ23+AS23+AU23)</f>
        <v>133</v>
      </c>
      <c r="AJ23" s="535" t="str">
        <f t="shared" si="34"/>
        <v>133</v>
      </c>
      <c r="AK23" s="534" t="str">
        <f>SUM(AK42+AK61+AK80+AK99+AK118+AK137+AK156+AK175+AK194+AK213)</f>
        <v>133</v>
      </c>
      <c r="AL23" s="534" t="str">
        <f>(AL42+AL61+AL80+AL99+AL118+AL137+AL156+AL175+AL194+AL213)</f>
        <v>133</v>
      </c>
      <c r="AM23" s="536"/>
      <c r="AN23" s="537"/>
      <c r="AO23" s="449"/>
      <c r="AP23" s="537"/>
      <c r="AQ23" s="536"/>
      <c r="AR23" s="537"/>
      <c r="AS23" s="449"/>
      <c r="AT23" s="537"/>
      <c r="AU23" s="536"/>
      <c r="AV23" s="537"/>
      <c r="AW23" s="536"/>
      <c r="AX23" s="537"/>
    </row>
    <row r="24">
      <c r="A24" s="442"/>
      <c r="B24" s="463">
        <v>5.0</v>
      </c>
      <c r="C24" s="538" t="s">
        <v>224</v>
      </c>
      <c r="D24" s="539" t="s">
        <v>15</v>
      </c>
      <c r="E24" s="539" t="s">
        <v>35</v>
      </c>
      <c r="F24" s="540" t="s">
        <v>60</v>
      </c>
      <c r="G24" s="541">
        <v>2.0</v>
      </c>
      <c r="H24" s="493">
        <v>0.0</v>
      </c>
      <c r="I24" s="494">
        <v>1.0</v>
      </c>
      <c r="J24" s="494">
        <v>1.0</v>
      </c>
      <c r="K24" s="542" t="s">
        <v>188</v>
      </c>
      <c r="L24" s="542"/>
      <c r="M24" s="542">
        <v>4.0</v>
      </c>
      <c r="N24" s="542">
        <v>4.0</v>
      </c>
      <c r="O24" s="543" t="s">
        <v>225</v>
      </c>
      <c r="P24" s="14"/>
      <c r="Q24" s="452" t="str">
        <f>MATCH($D24,Reference!$J$5:$J$9,0)</f>
        <v>2</v>
      </c>
      <c r="R24" s="452" t="str">
        <f>MATCH($E24,Reference!$J$26:$J$32,0)</f>
        <v>5</v>
      </c>
      <c r="S24" s="452" t="str">
        <f>MATCH($F24,Reference!$J$45:$J$54,0)</f>
        <v>1</v>
      </c>
      <c r="T24" s="453" t="str">
        <f>MATCH($K24,Reference!$J$37:$J$39,0)</f>
        <v>3</v>
      </c>
      <c r="U24" s="454" t="str">
        <f t="shared" si="2"/>
        <v>2</v>
      </c>
      <c r="V24" s="454" t="str">
        <f t="shared" si="3"/>
        <v>1</v>
      </c>
      <c r="W24" s="454" t="str">
        <f t="shared" si="21"/>
        <v>0</v>
      </c>
      <c r="X24" s="454" t="str">
        <f t="shared" si="4"/>
        <v>2</v>
      </c>
      <c r="Y24" s="456" t="str">
        <f t="shared" si="5"/>
        <v>FALSE</v>
      </c>
      <c r="Z24" s="456" t="str">
        <f t="shared" si="6"/>
        <v>FALSE</v>
      </c>
      <c r="AA24" s="457" t="str">
        <f t="shared" ref="AA24:AB24" si="35">1-I24</f>
        <v>0%</v>
      </c>
      <c r="AB24" s="457" t="str">
        <f t="shared" si="35"/>
        <v>0%</v>
      </c>
      <c r="AC24" s="456" t="str">
        <f t="shared" si="8"/>
        <v>2</v>
      </c>
      <c r="AD24" s="458" t="str">
        <f t="shared" si="9"/>
        <v>0</v>
      </c>
      <c r="AE24" s="458" t="str">
        <f t="shared" si="10"/>
        <v>1</v>
      </c>
      <c r="AF24" s="459" t="str">
        <f t="shared" si="23"/>
        <v>0</v>
      </c>
      <c r="AG24" s="460"/>
      <c r="AH24" s="405" t="s">
        <v>15</v>
      </c>
      <c r="AI24" s="522" t="str">
        <f t="shared" ref="AI24:AJ24" si="36">SUM(AM24+AK24+AO24+AQ24+AS24+AU24)</f>
        <v>215</v>
      </c>
      <c r="AJ24" s="544" t="str">
        <f t="shared" si="36"/>
        <v>216</v>
      </c>
      <c r="AK24" s="522" t="str">
        <f t="shared" ref="AK24:AX24" si="37">(AK43+AK62+AK81+AK100+AK119+AK138+AK157+AK176+AK195+AK214)</f>
        <v>93</v>
      </c>
      <c r="AL24" s="522" t="str">
        <f t="shared" si="37"/>
        <v>94</v>
      </c>
      <c r="AM24" s="545" t="str">
        <f t="shared" si="37"/>
        <v>0</v>
      </c>
      <c r="AN24" s="544" t="str">
        <f t="shared" si="37"/>
        <v>0</v>
      </c>
      <c r="AO24" s="522" t="str">
        <f t="shared" si="37"/>
        <v>18</v>
      </c>
      <c r="AP24" s="522" t="str">
        <f t="shared" si="37"/>
        <v>18</v>
      </c>
      <c r="AQ24" s="545" t="str">
        <f t="shared" si="37"/>
        <v>40</v>
      </c>
      <c r="AR24" s="544" t="str">
        <f t="shared" si="37"/>
        <v>40</v>
      </c>
      <c r="AS24" s="522" t="str">
        <f t="shared" si="37"/>
        <v>15</v>
      </c>
      <c r="AT24" s="522" t="str">
        <f t="shared" si="37"/>
        <v>15</v>
      </c>
      <c r="AU24" s="545" t="str">
        <f t="shared" si="37"/>
        <v>49</v>
      </c>
      <c r="AV24" s="544" t="str">
        <f t="shared" si="37"/>
        <v>49</v>
      </c>
      <c r="AW24" s="545" t="str">
        <f t="shared" si="37"/>
        <v>0</v>
      </c>
      <c r="AX24" s="544" t="str">
        <f t="shared" si="37"/>
        <v>0</v>
      </c>
      <c r="AY24" s="546"/>
    </row>
    <row r="25">
      <c r="A25" s="442"/>
      <c r="B25" s="547">
        <v>1.0</v>
      </c>
      <c r="C25" s="548" t="s">
        <v>226</v>
      </c>
      <c r="D25" s="549" t="s">
        <v>21</v>
      </c>
      <c r="E25" s="549" t="s">
        <v>33</v>
      </c>
      <c r="F25" s="550" t="s">
        <v>60</v>
      </c>
      <c r="G25" s="551">
        <v>2.0</v>
      </c>
      <c r="H25" s="552">
        <v>0.0</v>
      </c>
      <c r="I25" s="553">
        <v>1.0</v>
      </c>
      <c r="J25" s="553">
        <v>1.0</v>
      </c>
      <c r="K25" s="554" t="s">
        <v>162</v>
      </c>
      <c r="L25" s="554"/>
      <c r="M25" s="554"/>
      <c r="N25" s="554"/>
      <c r="O25" s="555" t="s">
        <v>227</v>
      </c>
      <c r="P25" s="14"/>
      <c r="Q25" s="452" t="str">
        <f>MATCH($D25,Reference!$J$5:$J$9,0)</f>
        <v>3</v>
      </c>
      <c r="R25" s="452" t="str">
        <f>MATCH($E25,Reference!$J$26:$J$32,0)</f>
        <v>2</v>
      </c>
      <c r="S25" s="452" t="str">
        <f>MATCH($F25,Reference!$J$45:$J$54,0)</f>
        <v>1</v>
      </c>
      <c r="T25" s="453" t="str">
        <f>MATCH($K25,Reference!$J$37:$J$39,0)</f>
        <v>2</v>
      </c>
      <c r="U25" s="454" t="str">
        <f t="shared" si="2"/>
        <v>2</v>
      </c>
      <c r="V25" s="454" t="str">
        <f t="shared" si="3"/>
        <v>1</v>
      </c>
      <c r="W25" s="454" t="str">
        <f t="shared" ref="W25:W35" si="41">(MIN(G25,2)+H25-U25)*100</f>
        <v>0</v>
      </c>
      <c r="X25" s="454" t="str">
        <f t="shared" si="4"/>
        <v>2</v>
      </c>
      <c r="Y25" s="456" t="str">
        <f t="shared" si="5"/>
        <v>FALSE</v>
      </c>
      <c r="Z25" s="456" t="str">
        <f t="shared" si="6"/>
        <v>FALSE</v>
      </c>
      <c r="AA25" s="457" t="str">
        <f t="shared" ref="AA25:AB25" si="38">1-I25</f>
        <v>0%</v>
      </c>
      <c r="AB25" s="457" t="str">
        <f t="shared" si="38"/>
        <v>0%</v>
      </c>
      <c r="AC25" s="456" t="str">
        <f t="shared" si="8"/>
        <v>2</v>
      </c>
      <c r="AD25" s="458" t="str">
        <f t="shared" si="9"/>
        <v>0</v>
      </c>
      <c r="AE25" s="458" t="str">
        <f t="shared" si="10"/>
        <v>1</v>
      </c>
      <c r="AF25" s="459" t="str">
        <f t="shared" ref="AF25:AF36" si="43">(MIN(H25,2)+G25-U25)*20</f>
        <v>0</v>
      </c>
      <c r="AG25" s="460"/>
      <c r="AH25" s="556" t="s">
        <v>21</v>
      </c>
      <c r="AI25" s="557" t="str">
        <f t="shared" ref="AI25:AJ25" si="39">SUM(AM25+AK25+AO25+AQ25+AS25+AU25)</f>
        <v>159</v>
      </c>
      <c r="AJ25" s="558" t="str">
        <f t="shared" si="39"/>
        <v>169</v>
      </c>
      <c r="AK25" s="557" t="str">
        <f t="shared" ref="AK25:AX25" si="40">(AK44+AK63+AK82+AK101+AK120+AK139+AK158+AK177+AK196+AK215)</f>
        <v>73</v>
      </c>
      <c r="AL25" s="557" t="str">
        <f t="shared" si="40"/>
        <v>81</v>
      </c>
      <c r="AM25" s="559" t="str">
        <f t="shared" si="40"/>
        <v>0</v>
      </c>
      <c r="AN25" s="558" t="str">
        <f t="shared" si="40"/>
        <v>0</v>
      </c>
      <c r="AO25" s="557" t="str">
        <f t="shared" si="40"/>
        <v>4</v>
      </c>
      <c r="AP25" s="557" t="str">
        <f t="shared" si="40"/>
        <v>4</v>
      </c>
      <c r="AQ25" s="559" t="str">
        <f t="shared" si="40"/>
        <v>35</v>
      </c>
      <c r="AR25" s="558" t="str">
        <f t="shared" si="40"/>
        <v>37</v>
      </c>
      <c r="AS25" s="557" t="str">
        <f t="shared" si="40"/>
        <v>11</v>
      </c>
      <c r="AT25" s="557" t="str">
        <f t="shared" si="40"/>
        <v>11</v>
      </c>
      <c r="AU25" s="559" t="str">
        <f t="shared" si="40"/>
        <v>36</v>
      </c>
      <c r="AV25" s="558" t="str">
        <f t="shared" si="40"/>
        <v>36</v>
      </c>
      <c r="AW25" s="559" t="str">
        <f t="shared" si="40"/>
        <v>0</v>
      </c>
      <c r="AX25" s="558" t="str">
        <f t="shared" si="40"/>
        <v>0</v>
      </c>
      <c r="AY25" s="546"/>
    </row>
    <row r="26">
      <c r="A26" s="442"/>
      <c r="B26" s="560">
        <v>2.0</v>
      </c>
      <c r="C26" s="561" t="s">
        <v>228</v>
      </c>
      <c r="D26" s="562" t="s">
        <v>21</v>
      </c>
      <c r="E26" s="563" t="s">
        <v>36</v>
      </c>
      <c r="F26" s="562" t="s">
        <v>60</v>
      </c>
      <c r="G26" s="564">
        <v>2.0</v>
      </c>
      <c r="H26" s="564">
        <v>1.0</v>
      </c>
      <c r="I26" s="565">
        <v>1.0</v>
      </c>
      <c r="J26" s="565">
        <v>1.0</v>
      </c>
      <c r="K26" s="563" t="s">
        <v>188</v>
      </c>
      <c r="L26" s="563"/>
      <c r="M26" s="563">
        <v>2.0</v>
      </c>
      <c r="N26" s="563">
        <v>3.0</v>
      </c>
      <c r="O26" s="566" t="s">
        <v>229</v>
      </c>
      <c r="P26" s="14"/>
      <c r="Q26" s="452" t="str">
        <f>MATCH($D26,Reference!$J$5:$J$9,0)</f>
        <v>3</v>
      </c>
      <c r="R26" s="452" t="str">
        <f>MATCH($E26,Reference!$J$26:$J$32,0)</f>
        <v>7</v>
      </c>
      <c r="S26" s="452" t="str">
        <f>MATCH($F26,Reference!$J$45:$J$54,0)</f>
        <v>1</v>
      </c>
      <c r="T26" s="453" t="str">
        <f>MATCH($K26,Reference!$J$37:$J$39,0)</f>
        <v>3</v>
      </c>
      <c r="U26" s="454" t="str">
        <f t="shared" si="2"/>
        <v>2</v>
      </c>
      <c r="V26" s="454" t="str">
        <f t="shared" si="3"/>
        <v>1</v>
      </c>
      <c r="W26" s="454" t="str">
        <f t="shared" si="41"/>
        <v>100</v>
      </c>
      <c r="X26" s="454" t="str">
        <f t="shared" si="4"/>
        <v>2</v>
      </c>
      <c r="Y26" s="456" t="str">
        <f t="shared" si="5"/>
        <v>FALSE</v>
      </c>
      <c r="Z26" s="456" t="str">
        <f t="shared" si="6"/>
        <v>FALSE</v>
      </c>
      <c r="AA26" s="457" t="str">
        <f t="shared" ref="AA26:AB26" si="42">1-I26</f>
        <v>0%</v>
      </c>
      <c r="AB26" s="457" t="str">
        <f t="shared" si="42"/>
        <v>0%</v>
      </c>
      <c r="AC26" s="456" t="str">
        <f t="shared" si="8"/>
        <v>2</v>
      </c>
      <c r="AD26" s="458" t="str">
        <f t="shared" si="9"/>
        <v>1</v>
      </c>
      <c r="AE26" s="458" t="str">
        <f t="shared" si="10"/>
        <v>1</v>
      </c>
      <c r="AF26" s="459" t="str">
        <f t="shared" si="43"/>
        <v>20</v>
      </c>
      <c r="AG26" s="460"/>
      <c r="AH26" s="567" t="s">
        <v>22</v>
      </c>
      <c r="AI26" s="568" t="str">
        <f t="shared" ref="AI26:AJ26" si="44">SUM(AM26+AK26+AO26+AQ26+AS26+AU26)</f>
        <v>62</v>
      </c>
      <c r="AJ26" s="569" t="str">
        <f t="shared" si="44"/>
        <v>93</v>
      </c>
      <c r="AK26" s="568" t="str">
        <f t="shared" ref="AK26:AX26" si="45">(AK45+AK64+AK83+AK102+AK121+AK140+AK159+AK178+AK197+AK216)</f>
        <v>24</v>
      </c>
      <c r="AL26" s="568" t="str">
        <f t="shared" si="45"/>
        <v>37</v>
      </c>
      <c r="AM26" s="570" t="str">
        <f t="shared" si="45"/>
        <v>0</v>
      </c>
      <c r="AN26" s="569" t="str">
        <f t="shared" si="45"/>
        <v>1</v>
      </c>
      <c r="AO26" s="568" t="str">
        <f t="shared" si="45"/>
        <v>2</v>
      </c>
      <c r="AP26" s="568" t="str">
        <f t="shared" si="45"/>
        <v>2</v>
      </c>
      <c r="AQ26" s="570" t="str">
        <f t="shared" si="45"/>
        <v>17</v>
      </c>
      <c r="AR26" s="569" t="str">
        <f t="shared" si="45"/>
        <v>26</v>
      </c>
      <c r="AS26" s="568" t="str">
        <f t="shared" si="45"/>
        <v>0</v>
      </c>
      <c r="AT26" s="568" t="str">
        <f t="shared" si="45"/>
        <v>0</v>
      </c>
      <c r="AU26" s="570" t="str">
        <f t="shared" si="45"/>
        <v>19</v>
      </c>
      <c r="AV26" s="569" t="str">
        <f t="shared" si="45"/>
        <v>27</v>
      </c>
      <c r="AW26" s="570" t="str">
        <f t="shared" si="45"/>
        <v>0</v>
      </c>
      <c r="AX26" s="569" t="str">
        <f t="shared" si="45"/>
        <v>0</v>
      </c>
      <c r="AY26" s="546"/>
    </row>
    <row r="27">
      <c r="A27" s="571"/>
      <c r="B27" s="572">
        <v>3.0</v>
      </c>
      <c r="C27" s="573" t="s">
        <v>230</v>
      </c>
      <c r="D27" s="574" t="s">
        <v>21</v>
      </c>
      <c r="E27" s="575" t="s">
        <v>35</v>
      </c>
      <c r="F27" s="576" t="s">
        <v>60</v>
      </c>
      <c r="G27" s="577">
        <v>2.0</v>
      </c>
      <c r="H27" s="578">
        <v>0.0</v>
      </c>
      <c r="I27" s="579">
        <v>1.0</v>
      </c>
      <c r="J27" s="579">
        <v>1.0</v>
      </c>
      <c r="K27" s="580" t="s">
        <v>188</v>
      </c>
      <c r="L27" s="581"/>
      <c r="M27" s="580">
        <v>2.0</v>
      </c>
      <c r="N27" s="580">
        <v>4.0</v>
      </c>
      <c r="O27" s="582" t="s">
        <v>231</v>
      </c>
      <c r="P27" s="14"/>
      <c r="Q27" s="452" t="str">
        <f>MATCH($D27,Reference!$J$5:$J$9,0)</f>
        <v>3</v>
      </c>
      <c r="R27" s="452" t="str">
        <f>MATCH($E27,Reference!$J$26:$J$32,0)</f>
        <v>5</v>
      </c>
      <c r="S27" s="452" t="str">
        <f>MATCH($F27,Reference!$J$45:$J$54,0)</f>
        <v>1</v>
      </c>
      <c r="T27" s="453" t="str">
        <f>MATCH($K27,Reference!$J$37:$J$39,0)</f>
        <v>3</v>
      </c>
      <c r="U27" s="454" t="str">
        <f t="shared" si="2"/>
        <v>2</v>
      </c>
      <c r="V27" s="454" t="str">
        <f t="shared" si="3"/>
        <v>1</v>
      </c>
      <c r="W27" s="454" t="str">
        <f t="shared" si="41"/>
        <v>0</v>
      </c>
      <c r="X27" s="454" t="str">
        <f t="shared" si="4"/>
        <v>2</v>
      </c>
      <c r="Y27" s="456" t="str">
        <f t="shared" si="5"/>
        <v>FALSE</v>
      </c>
      <c r="Z27" s="456" t="str">
        <f t="shared" si="6"/>
        <v>FALSE</v>
      </c>
      <c r="AA27" s="457" t="str">
        <f t="shared" ref="AA27:AB27" si="46">1-I27</f>
        <v>0%</v>
      </c>
      <c r="AB27" s="457" t="str">
        <f t="shared" si="46"/>
        <v>0%</v>
      </c>
      <c r="AC27" s="456" t="str">
        <f t="shared" si="8"/>
        <v>2</v>
      </c>
      <c r="AD27" s="458" t="str">
        <f t="shared" si="9"/>
        <v>0</v>
      </c>
      <c r="AE27" s="458" t="str">
        <f t="shared" si="10"/>
        <v>1</v>
      </c>
      <c r="AF27" s="459" t="str">
        <f t="shared" si="43"/>
        <v>0</v>
      </c>
      <c r="AG27" s="460"/>
      <c r="AH27" s="583" t="s">
        <v>23</v>
      </c>
      <c r="AI27" s="584" t="str">
        <f t="shared" ref="AI27:AJ27" si="47">SUM(AM27+AK27+AO27+AQ27+AS27+AU27)</f>
        <v>39</v>
      </c>
      <c r="AJ27" s="585" t="str">
        <f t="shared" si="47"/>
        <v>87</v>
      </c>
      <c r="AK27" s="584" t="str">
        <f t="shared" ref="AK27:AX27" si="48">(AK46+AK65+AK84+AK103+AK122+AK141+AK160+AK179+AK198+AK217)</f>
        <v>15</v>
      </c>
      <c r="AL27" s="584" t="str">
        <f t="shared" si="48"/>
        <v>33</v>
      </c>
      <c r="AM27" s="586" t="str">
        <f t="shared" si="48"/>
        <v>0</v>
      </c>
      <c r="AN27" s="585" t="str">
        <f t="shared" si="48"/>
        <v>3</v>
      </c>
      <c r="AO27" s="584" t="str">
        <f t="shared" si="48"/>
        <v>6</v>
      </c>
      <c r="AP27" s="584" t="str">
        <f t="shared" si="48"/>
        <v>6</v>
      </c>
      <c r="AQ27" s="586" t="str">
        <f t="shared" si="48"/>
        <v>5</v>
      </c>
      <c r="AR27" s="585" t="str">
        <f t="shared" si="48"/>
        <v>20</v>
      </c>
      <c r="AS27" s="584" t="str">
        <f t="shared" si="48"/>
        <v>5</v>
      </c>
      <c r="AT27" s="584" t="str">
        <f t="shared" si="48"/>
        <v>5</v>
      </c>
      <c r="AU27" s="586" t="str">
        <f t="shared" si="48"/>
        <v>8</v>
      </c>
      <c r="AV27" s="585" t="str">
        <f t="shared" si="48"/>
        <v>20</v>
      </c>
      <c r="AW27" s="586" t="str">
        <f t="shared" si="48"/>
        <v>0</v>
      </c>
      <c r="AX27" s="585" t="str">
        <f t="shared" si="48"/>
        <v>0</v>
      </c>
      <c r="AY27" s="546"/>
    </row>
    <row r="28">
      <c r="A28" s="442"/>
      <c r="B28" s="547">
        <v>4.0</v>
      </c>
      <c r="C28" s="548" t="s">
        <v>232</v>
      </c>
      <c r="D28" s="549" t="s">
        <v>21</v>
      </c>
      <c r="E28" s="549" t="s">
        <v>33</v>
      </c>
      <c r="F28" s="550" t="s">
        <v>60</v>
      </c>
      <c r="G28" s="551">
        <v>2.0</v>
      </c>
      <c r="H28" s="551">
        <v>0.0</v>
      </c>
      <c r="I28" s="553">
        <v>1.0</v>
      </c>
      <c r="J28" s="553">
        <v>1.0</v>
      </c>
      <c r="K28" s="554" t="s">
        <v>162</v>
      </c>
      <c r="L28" s="554"/>
      <c r="M28" s="554"/>
      <c r="N28" s="554"/>
      <c r="O28" s="555" t="s">
        <v>233</v>
      </c>
      <c r="P28" s="5"/>
      <c r="Q28" s="452" t="str">
        <f>MATCH($D28,Reference!$J$5:$J$9,0)</f>
        <v>3</v>
      </c>
      <c r="R28" s="452" t="str">
        <f>MATCH($E28,Reference!$J$26:$J$32,0)</f>
        <v>2</v>
      </c>
      <c r="S28" s="452" t="str">
        <f>MATCH($F28,Reference!$J$45:$J$54,0)</f>
        <v>1</v>
      </c>
      <c r="T28" s="453" t="str">
        <f>MATCH($K28,Reference!$J$37:$J$39,0)</f>
        <v>2</v>
      </c>
      <c r="U28" s="454" t="str">
        <f t="shared" si="2"/>
        <v>2</v>
      </c>
      <c r="V28" s="454" t="str">
        <f t="shared" si="3"/>
        <v>1</v>
      </c>
      <c r="W28" s="454" t="str">
        <f t="shared" si="41"/>
        <v>0</v>
      </c>
      <c r="X28" s="454" t="str">
        <f t="shared" si="4"/>
        <v>2</v>
      </c>
      <c r="Y28" s="456" t="str">
        <f t="shared" si="5"/>
        <v>FALSE</v>
      </c>
      <c r="Z28" s="456" t="str">
        <f t="shared" si="6"/>
        <v>FALSE</v>
      </c>
      <c r="AA28" s="457" t="str">
        <f t="shared" ref="AA28:AB28" si="49">1-I28</f>
        <v>0%</v>
      </c>
      <c r="AB28" s="457" t="str">
        <f t="shared" si="49"/>
        <v>0%</v>
      </c>
      <c r="AC28" s="456" t="str">
        <f t="shared" si="8"/>
        <v>2</v>
      </c>
      <c r="AD28" s="458" t="str">
        <f t="shared" si="9"/>
        <v>0</v>
      </c>
      <c r="AE28" s="458" t="str">
        <f t="shared" si="10"/>
        <v>1</v>
      </c>
      <c r="AF28" s="459" t="str">
        <f t="shared" si="43"/>
        <v>0</v>
      </c>
      <c r="AG28" s="460"/>
      <c r="AH28" s="587" t="s">
        <v>234</v>
      </c>
      <c r="AI28" s="499"/>
      <c r="AJ28" s="588"/>
      <c r="AK28" s="499"/>
      <c r="AL28" s="588"/>
      <c r="AM28" s="589"/>
      <c r="AN28" s="590"/>
      <c r="AO28" s="499"/>
      <c r="AP28" s="588"/>
      <c r="AQ28" s="589"/>
      <c r="AR28" s="590"/>
      <c r="AS28" s="499"/>
      <c r="AT28" s="588"/>
      <c r="AU28" s="589"/>
      <c r="AV28" s="590"/>
      <c r="AW28" s="589"/>
      <c r="AX28" s="590"/>
    </row>
    <row r="29">
      <c r="A29" s="442"/>
      <c r="B29" s="547">
        <v>4.0</v>
      </c>
      <c r="C29" s="548" t="s">
        <v>235</v>
      </c>
      <c r="D29" s="549" t="s">
        <v>21</v>
      </c>
      <c r="E29" s="549" t="s">
        <v>33</v>
      </c>
      <c r="F29" s="550" t="s">
        <v>60</v>
      </c>
      <c r="G29" s="551">
        <v>2.0</v>
      </c>
      <c r="H29" s="551">
        <v>0.0</v>
      </c>
      <c r="I29" s="553">
        <v>1.0</v>
      </c>
      <c r="J29" s="553">
        <v>1.0</v>
      </c>
      <c r="K29" s="554" t="s">
        <v>188</v>
      </c>
      <c r="L29" s="554"/>
      <c r="M29" s="554">
        <v>2.0</v>
      </c>
      <c r="N29" s="554">
        <v>4.0</v>
      </c>
      <c r="O29" s="555" t="s">
        <v>236</v>
      </c>
      <c r="P29" s="14"/>
      <c r="Q29" s="452" t="str">
        <f>MATCH($D29,Reference!$J$5:$J$9,0)</f>
        <v>3</v>
      </c>
      <c r="R29" s="452" t="str">
        <f>MATCH($E29,Reference!$J$26:$J$32,0)</f>
        <v>2</v>
      </c>
      <c r="S29" s="452" t="str">
        <f>MATCH($F29,Reference!$J$45:$J$54,0)</f>
        <v>1</v>
      </c>
      <c r="T29" s="453" t="str">
        <f>MATCH($K29,Reference!$J$37:$J$39,0)</f>
        <v>3</v>
      </c>
      <c r="U29" s="454" t="str">
        <f t="shared" si="2"/>
        <v>2</v>
      </c>
      <c r="V29" s="454" t="str">
        <f t="shared" si="3"/>
        <v>1</v>
      </c>
      <c r="W29" s="454" t="str">
        <f t="shared" si="41"/>
        <v>0</v>
      </c>
      <c r="X29" s="454" t="str">
        <f t="shared" si="4"/>
        <v>2</v>
      </c>
      <c r="Y29" s="456" t="str">
        <f t="shared" si="5"/>
        <v>FALSE</v>
      </c>
      <c r="Z29" s="456" t="str">
        <f t="shared" si="6"/>
        <v>FALSE</v>
      </c>
      <c r="AA29" s="457" t="str">
        <f t="shared" ref="AA29:AB29" si="50">1-I29</f>
        <v>0%</v>
      </c>
      <c r="AB29" s="457" t="str">
        <f t="shared" si="50"/>
        <v>0%</v>
      </c>
      <c r="AC29" s="456" t="str">
        <f t="shared" si="8"/>
        <v>2</v>
      </c>
      <c r="AD29" s="458" t="str">
        <f t="shared" si="9"/>
        <v>0</v>
      </c>
      <c r="AE29" s="458" t="str">
        <f t="shared" si="10"/>
        <v>1</v>
      </c>
      <c r="AF29" s="459" t="str">
        <f t="shared" si="43"/>
        <v>0</v>
      </c>
      <c r="AG29" s="460"/>
      <c r="AH29" s="533" t="s">
        <v>10</v>
      </c>
      <c r="AI29" s="534" t="str">
        <f t="shared" ref="AI29:AJ29" si="51">SUM(AM29+AK29+AO29+AQ29+AS29+AU29)</f>
        <v>266</v>
      </c>
      <c r="AJ29" s="535" t="str">
        <f t="shared" si="51"/>
        <v>266</v>
      </c>
      <c r="AK29" s="534" t="str">
        <f t="shared" ref="AK29:AL29" si="52">(AK48+AK67+AK86+AK105+AK124+AK143+AK162+AK181+AK200+AK219)</f>
        <v>266</v>
      </c>
      <c r="AL29" s="534" t="str">
        <f t="shared" si="52"/>
        <v>266</v>
      </c>
      <c r="AM29" s="536"/>
      <c r="AN29" s="537"/>
      <c r="AO29" s="449"/>
      <c r="AP29" s="449"/>
      <c r="AQ29" s="536"/>
      <c r="AR29" s="537"/>
      <c r="AS29" s="449"/>
      <c r="AT29" s="449"/>
      <c r="AU29" s="536"/>
      <c r="AV29" s="537"/>
      <c r="AW29" s="536"/>
      <c r="AX29" s="537"/>
    </row>
    <row r="30">
      <c r="A30" s="463"/>
      <c r="B30" s="560">
        <v>4.0</v>
      </c>
      <c r="C30" s="561" t="s">
        <v>237</v>
      </c>
      <c r="D30" s="562" t="s">
        <v>21</v>
      </c>
      <c r="E30" s="563" t="s">
        <v>36</v>
      </c>
      <c r="F30" s="562" t="s">
        <v>60</v>
      </c>
      <c r="G30" s="564">
        <v>2.0</v>
      </c>
      <c r="H30" s="564">
        <v>0.0</v>
      </c>
      <c r="I30" s="565">
        <v>1.0</v>
      </c>
      <c r="J30" s="565">
        <v>1.0</v>
      </c>
      <c r="K30" s="563" t="s">
        <v>188</v>
      </c>
      <c r="L30" s="563" t="s">
        <v>238</v>
      </c>
      <c r="M30" s="563">
        <v>5.0</v>
      </c>
      <c r="N30" s="563">
        <v>4.0</v>
      </c>
      <c r="O30" s="566" t="s">
        <v>239</v>
      </c>
      <c r="P30" s="14"/>
      <c r="Q30" s="452" t="str">
        <f>MATCH($D30,Reference!$J$5:$J$9,0)</f>
        <v>3</v>
      </c>
      <c r="R30" s="452" t="str">
        <f>MATCH($E30,Reference!$J$26:$J$32,0)</f>
        <v>7</v>
      </c>
      <c r="S30" s="452" t="str">
        <f>MATCH($F30,Reference!$J$45:$J$54,0)</f>
        <v>1</v>
      </c>
      <c r="T30" s="453" t="str">
        <f>MATCH($K30,Reference!$J$37:$J$39,0)</f>
        <v>3</v>
      </c>
      <c r="U30" s="454" t="str">
        <f t="shared" si="2"/>
        <v>2</v>
      </c>
      <c r="V30" s="454" t="str">
        <f t="shared" si="3"/>
        <v>1</v>
      </c>
      <c r="W30" s="454" t="str">
        <f t="shared" si="41"/>
        <v>0</v>
      </c>
      <c r="X30" s="454" t="str">
        <f t="shared" si="4"/>
        <v>2</v>
      </c>
      <c r="Y30" s="456" t="str">
        <f t="shared" si="5"/>
        <v>FALSE</v>
      </c>
      <c r="Z30" s="456" t="str">
        <f t="shared" si="6"/>
        <v>FALSE</v>
      </c>
      <c r="AA30" s="457" t="str">
        <f t="shared" ref="AA30:AB30" si="53">1-I30</f>
        <v>0%</v>
      </c>
      <c r="AB30" s="457" t="str">
        <f t="shared" si="53"/>
        <v>0%</v>
      </c>
      <c r="AC30" s="456" t="str">
        <f t="shared" si="8"/>
        <v>2</v>
      </c>
      <c r="AD30" s="458" t="str">
        <f t="shared" si="9"/>
        <v>0</v>
      </c>
      <c r="AE30" s="458" t="str">
        <f t="shared" si="10"/>
        <v>1</v>
      </c>
      <c r="AF30" s="459" t="str">
        <f t="shared" si="43"/>
        <v>0</v>
      </c>
      <c r="AG30" s="460"/>
      <c r="AH30" s="591" t="s">
        <v>15</v>
      </c>
      <c r="AI30" s="522" t="str">
        <f t="shared" ref="AI30:AJ30" si="54">SUM(AM30+AK30+AO30+AQ30+AS30+AU30)</f>
        <v>428</v>
      </c>
      <c r="AJ30" s="544" t="str">
        <f t="shared" si="54"/>
        <v>432</v>
      </c>
      <c r="AK30" s="522" t="str">
        <f t="shared" ref="AK30:AX30" si="55">(AK49+AK68+AK87+AK106+AK125+AK144+AK163+AK182+AK201+AK220)</f>
        <v>185</v>
      </c>
      <c r="AL30" s="522" t="str">
        <f t="shared" si="55"/>
        <v>188</v>
      </c>
      <c r="AM30" s="545" t="str">
        <f t="shared" si="55"/>
        <v>0</v>
      </c>
      <c r="AN30" s="544" t="str">
        <f t="shared" si="55"/>
        <v>0</v>
      </c>
      <c r="AO30" s="522" t="str">
        <f t="shared" si="55"/>
        <v>36</v>
      </c>
      <c r="AP30" s="522" t="str">
        <f t="shared" si="55"/>
        <v>36</v>
      </c>
      <c r="AQ30" s="545" t="str">
        <f t="shared" si="55"/>
        <v>79</v>
      </c>
      <c r="AR30" s="544" t="str">
        <f t="shared" si="55"/>
        <v>80</v>
      </c>
      <c r="AS30" s="522" t="str">
        <f t="shared" si="55"/>
        <v>30</v>
      </c>
      <c r="AT30" s="522" t="str">
        <f t="shared" si="55"/>
        <v>30</v>
      </c>
      <c r="AU30" s="545" t="str">
        <f t="shared" si="55"/>
        <v>98</v>
      </c>
      <c r="AV30" s="544" t="str">
        <f t="shared" si="55"/>
        <v>98</v>
      </c>
      <c r="AW30" s="545" t="str">
        <f t="shared" si="55"/>
        <v>0</v>
      </c>
      <c r="AX30" s="544" t="str">
        <f t="shared" si="55"/>
        <v>0</v>
      </c>
    </row>
    <row r="31">
      <c r="A31" s="442"/>
      <c r="B31" s="547">
        <v>5.0</v>
      </c>
      <c r="C31" s="548" t="s">
        <v>240</v>
      </c>
      <c r="D31" s="549" t="s">
        <v>21</v>
      </c>
      <c r="E31" s="549" t="s">
        <v>33</v>
      </c>
      <c r="F31" s="550" t="s">
        <v>60</v>
      </c>
      <c r="G31" s="551">
        <v>2.0</v>
      </c>
      <c r="H31" s="551">
        <v>0.0</v>
      </c>
      <c r="I31" s="553">
        <v>1.0</v>
      </c>
      <c r="J31" s="553">
        <v>1.0</v>
      </c>
      <c r="K31" s="554" t="s">
        <v>162</v>
      </c>
      <c r="L31" s="554"/>
      <c r="M31" s="554"/>
      <c r="N31" s="554"/>
      <c r="O31" s="555" t="s">
        <v>241</v>
      </c>
      <c r="P31" s="14"/>
      <c r="Q31" s="452" t="str">
        <f>MATCH($D31,Reference!$J$5:$J$9,0)</f>
        <v>3</v>
      </c>
      <c r="R31" s="452" t="str">
        <f>MATCH($E31,Reference!$J$26:$J$32,0)</f>
        <v>2</v>
      </c>
      <c r="S31" s="452" t="str">
        <f>MATCH($F31,Reference!$J$45:$J$54,0)</f>
        <v>1</v>
      </c>
      <c r="T31" s="453" t="str">
        <f>MATCH($K31,Reference!$J$37:$J$39,0)</f>
        <v>2</v>
      </c>
      <c r="U31" s="454" t="str">
        <f t="shared" si="2"/>
        <v>2</v>
      </c>
      <c r="V31" s="454" t="str">
        <f t="shared" si="3"/>
        <v>1</v>
      </c>
      <c r="W31" s="454" t="str">
        <f t="shared" si="41"/>
        <v>0</v>
      </c>
      <c r="X31" s="454" t="str">
        <f t="shared" si="4"/>
        <v>2</v>
      </c>
      <c r="Y31" s="456" t="str">
        <f t="shared" si="5"/>
        <v>FALSE</v>
      </c>
      <c r="Z31" s="456" t="str">
        <f t="shared" si="6"/>
        <v>FALSE</v>
      </c>
      <c r="AA31" s="457" t="str">
        <f t="shared" ref="AA31:AB31" si="56">1-I31</f>
        <v>0%</v>
      </c>
      <c r="AB31" s="457" t="str">
        <f t="shared" si="56"/>
        <v>0%</v>
      </c>
      <c r="AC31" s="456" t="str">
        <f t="shared" si="8"/>
        <v>2</v>
      </c>
      <c r="AD31" s="458" t="str">
        <f t="shared" si="9"/>
        <v>0</v>
      </c>
      <c r="AE31" s="458" t="str">
        <f t="shared" si="10"/>
        <v>1</v>
      </c>
      <c r="AF31" s="459" t="str">
        <f t="shared" si="43"/>
        <v>0</v>
      </c>
      <c r="AG31" s="460"/>
      <c r="AH31" s="592" t="s">
        <v>21</v>
      </c>
      <c r="AI31" s="557" t="str">
        <f t="shared" ref="AI31:AJ31" si="57">SUM(AM31+AK31+AO31+AQ31+AS31+AU31)</f>
        <v>299</v>
      </c>
      <c r="AJ31" s="558" t="str">
        <f t="shared" si="57"/>
        <v>338</v>
      </c>
      <c r="AK31" s="557" t="str">
        <f t="shared" ref="AK31:AX31" si="58">(AK50+AK69+AK88+AK107+AK126+AK145+AK164+AK183+AK202+AK221)</f>
        <v>139</v>
      </c>
      <c r="AL31" s="557" t="str">
        <f t="shared" si="58"/>
        <v>162</v>
      </c>
      <c r="AM31" s="559" t="str">
        <f t="shared" si="58"/>
        <v>0</v>
      </c>
      <c r="AN31" s="558" t="str">
        <f t="shared" si="58"/>
        <v>0</v>
      </c>
      <c r="AO31" s="557" t="str">
        <f t="shared" si="58"/>
        <v>8</v>
      </c>
      <c r="AP31" s="557" t="str">
        <f t="shared" si="58"/>
        <v>8</v>
      </c>
      <c r="AQ31" s="559" t="str">
        <f t="shared" si="58"/>
        <v>59</v>
      </c>
      <c r="AR31" s="558" t="str">
        <f t="shared" si="58"/>
        <v>74</v>
      </c>
      <c r="AS31" s="557" t="str">
        <f t="shared" si="58"/>
        <v>22</v>
      </c>
      <c r="AT31" s="557" t="str">
        <f t="shared" si="58"/>
        <v>22</v>
      </c>
      <c r="AU31" s="559" t="str">
        <f t="shared" si="58"/>
        <v>71</v>
      </c>
      <c r="AV31" s="558" t="str">
        <f t="shared" si="58"/>
        <v>72</v>
      </c>
      <c r="AW31" s="559" t="str">
        <f t="shared" si="58"/>
        <v>0</v>
      </c>
      <c r="AX31" s="558" t="str">
        <f t="shared" si="58"/>
        <v>0</v>
      </c>
    </row>
    <row r="32">
      <c r="A32" s="463"/>
      <c r="B32" s="547">
        <v>5.0</v>
      </c>
      <c r="C32" s="548" t="s">
        <v>242</v>
      </c>
      <c r="D32" s="549" t="s">
        <v>21</v>
      </c>
      <c r="E32" s="549" t="s">
        <v>33</v>
      </c>
      <c r="F32" s="550" t="s">
        <v>60</v>
      </c>
      <c r="G32" s="551">
        <v>2.0</v>
      </c>
      <c r="H32" s="552">
        <v>0.0</v>
      </c>
      <c r="I32" s="553">
        <v>1.0</v>
      </c>
      <c r="J32" s="553">
        <v>1.0</v>
      </c>
      <c r="K32" s="554" t="s">
        <v>162</v>
      </c>
      <c r="L32" s="554"/>
      <c r="M32" s="554"/>
      <c r="N32" s="554"/>
      <c r="O32" s="555" t="s">
        <v>243</v>
      </c>
      <c r="P32" s="14"/>
      <c r="Q32" s="452" t="str">
        <f>MATCH($D32,Reference!$J$5:$J$9,0)</f>
        <v>3</v>
      </c>
      <c r="R32" s="452" t="str">
        <f>MATCH($E32,Reference!$J$26:$J$32,0)</f>
        <v>2</v>
      </c>
      <c r="S32" s="452" t="str">
        <f>MATCH($F32,Reference!$J$45:$J$54,0)</f>
        <v>1</v>
      </c>
      <c r="T32" s="453" t="str">
        <f>MATCH($K32,Reference!$J$37:$J$39,0)</f>
        <v>2</v>
      </c>
      <c r="U32" s="454" t="str">
        <f t="shared" si="2"/>
        <v>2</v>
      </c>
      <c r="V32" s="454" t="str">
        <f t="shared" si="3"/>
        <v>1</v>
      </c>
      <c r="W32" s="454" t="str">
        <f t="shared" si="41"/>
        <v>0</v>
      </c>
      <c r="X32" s="454" t="str">
        <f t="shared" si="4"/>
        <v>2</v>
      </c>
      <c r="Y32" s="456" t="str">
        <f t="shared" si="5"/>
        <v>FALSE</v>
      </c>
      <c r="Z32" s="456" t="str">
        <f t="shared" si="6"/>
        <v>FALSE</v>
      </c>
      <c r="AA32" s="457" t="str">
        <f t="shared" ref="AA32:AB32" si="59">1-I32</f>
        <v>0%</v>
      </c>
      <c r="AB32" s="457" t="str">
        <f t="shared" si="59"/>
        <v>0%</v>
      </c>
      <c r="AC32" s="456" t="str">
        <f t="shared" si="8"/>
        <v>2</v>
      </c>
      <c r="AD32" s="458" t="str">
        <f t="shared" si="9"/>
        <v>0</v>
      </c>
      <c r="AE32" s="458" t="str">
        <f t="shared" si="10"/>
        <v>1</v>
      </c>
      <c r="AF32" s="459" t="str">
        <f t="shared" si="43"/>
        <v>0</v>
      </c>
      <c r="AG32" s="460"/>
      <c r="AH32" s="593" t="s">
        <v>22</v>
      </c>
      <c r="AI32" s="568" t="str">
        <f t="shared" ref="AI32:AJ32" si="60">SUM(AM32+AK32+AO32+AQ32+AS32+AU32)</f>
        <v>93</v>
      </c>
      <c r="AJ32" s="569" t="str">
        <f t="shared" si="60"/>
        <v>186</v>
      </c>
      <c r="AK32" s="568" t="str">
        <f t="shared" ref="AK32:AX32" si="61">(AK51+AK70+AK89+AK108+AK127+AK146+AK165+AK184+AK203+AK222)</f>
        <v>39</v>
      </c>
      <c r="AL32" s="568" t="str">
        <f t="shared" si="61"/>
        <v>74</v>
      </c>
      <c r="AM32" s="570" t="str">
        <f t="shared" si="61"/>
        <v>0</v>
      </c>
      <c r="AN32" s="569" t="str">
        <f t="shared" si="61"/>
        <v>2</v>
      </c>
      <c r="AO32" s="568" t="str">
        <f t="shared" si="61"/>
        <v>4</v>
      </c>
      <c r="AP32" s="568" t="str">
        <f t="shared" si="61"/>
        <v>4</v>
      </c>
      <c r="AQ32" s="570" t="str">
        <f t="shared" si="61"/>
        <v>23</v>
      </c>
      <c r="AR32" s="569" t="str">
        <f t="shared" si="61"/>
        <v>52</v>
      </c>
      <c r="AS32" s="568" t="str">
        <f t="shared" si="61"/>
        <v>0</v>
      </c>
      <c r="AT32" s="568" t="str">
        <f t="shared" si="61"/>
        <v>0</v>
      </c>
      <c r="AU32" s="570" t="str">
        <f t="shared" si="61"/>
        <v>27</v>
      </c>
      <c r="AV32" s="569" t="str">
        <f t="shared" si="61"/>
        <v>54</v>
      </c>
      <c r="AW32" s="570" t="str">
        <f t="shared" si="61"/>
        <v>0</v>
      </c>
      <c r="AX32" s="569" t="str">
        <f t="shared" si="61"/>
        <v>0</v>
      </c>
    </row>
    <row r="33">
      <c r="A33" s="509"/>
      <c r="B33" s="594">
        <v>6.0</v>
      </c>
      <c r="C33" s="595" t="s">
        <v>244</v>
      </c>
      <c r="D33" s="575" t="s">
        <v>21</v>
      </c>
      <c r="E33" s="575" t="s">
        <v>35</v>
      </c>
      <c r="F33" s="576" t="s">
        <v>60</v>
      </c>
      <c r="G33" s="596">
        <v>1.0</v>
      </c>
      <c r="H33" s="597">
        <v>0.0</v>
      </c>
      <c r="I33" s="598">
        <v>1.0</v>
      </c>
      <c r="J33" s="598">
        <v>1.0</v>
      </c>
      <c r="K33" s="575" t="s">
        <v>188</v>
      </c>
      <c r="L33" s="575" t="s">
        <v>198</v>
      </c>
      <c r="M33" s="576">
        <v>7.0</v>
      </c>
      <c r="N33" s="597">
        <v>6.0</v>
      </c>
      <c r="O33" s="599" t="s">
        <v>245</v>
      </c>
      <c r="P33" s="14"/>
      <c r="Q33" s="452" t="str">
        <f>MATCH($D33,Reference!$J$5:$J$9,0)</f>
        <v>3</v>
      </c>
      <c r="R33" s="452" t="str">
        <f>MATCH($E33,Reference!$J$26:$J$32,0)</f>
        <v>5</v>
      </c>
      <c r="S33" s="452" t="str">
        <f>MATCH($F33,Reference!$J$45:$J$54,0)</f>
        <v>1</v>
      </c>
      <c r="T33" s="453" t="str">
        <f>MATCH($K33,Reference!$J$37:$J$39,0)</f>
        <v>3</v>
      </c>
      <c r="U33" s="454" t="str">
        <f t="shared" si="2"/>
        <v>1</v>
      </c>
      <c r="V33" s="454" t="str">
        <f t="shared" si="3"/>
        <v>1</v>
      </c>
      <c r="W33" s="454" t="str">
        <f t="shared" si="41"/>
        <v>0</v>
      </c>
      <c r="X33" s="454" t="str">
        <f t="shared" si="4"/>
        <v>1</v>
      </c>
      <c r="Y33" s="456" t="str">
        <f t="shared" si="5"/>
        <v>FALSE</v>
      </c>
      <c r="Z33" s="456" t="str">
        <f t="shared" si="6"/>
        <v>TRUE</v>
      </c>
      <c r="AA33" s="457" t="str">
        <f t="shared" ref="AA33:AB33" si="62">1-I33</f>
        <v>0%</v>
      </c>
      <c r="AB33" s="457" t="str">
        <f t="shared" si="62"/>
        <v>0%</v>
      </c>
      <c r="AC33" s="456" t="str">
        <f t="shared" si="8"/>
        <v>1</v>
      </c>
      <c r="AD33" s="458" t="str">
        <f t="shared" si="9"/>
        <v>0</v>
      </c>
      <c r="AE33" s="458" t="str">
        <f t="shared" si="10"/>
        <v>1</v>
      </c>
      <c r="AF33" s="459" t="str">
        <f t="shared" si="43"/>
        <v>0</v>
      </c>
      <c r="AG33" s="460"/>
      <c r="AH33" s="583" t="s">
        <v>23</v>
      </c>
      <c r="AI33" s="584" t="str">
        <f t="shared" ref="AI33:AJ33" si="63">SUM(AM33+AK33+AO33+AQ33+AS33+AU33)</f>
        <v>39</v>
      </c>
      <c r="AJ33" s="585" t="str">
        <f t="shared" si="63"/>
        <v>87</v>
      </c>
      <c r="AK33" s="584" t="str">
        <f t="shared" ref="AK33:AX33" si="64">(AK52+AK71+AK90+AK109+AK128+AK147+AK166+AK185+AK204+AK223)</f>
        <v>15</v>
      </c>
      <c r="AL33" s="584" t="str">
        <f t="shared" si="64"/>
        <v>33</v>
      </c>
      <c r="AM33" s="586" t="str">
        <f t="shared" si="64"/>
        <v>0</v>
      </c>
      <c r="AN33" s="585" t="str">
        <f t="shared" si="64"/>
        <v>3</v>
      </c>
      <c r="AO33" s="584" t="str">
        <f t="shared" si="64"/>
        <v>6</v>
      </c>
      <c r="AP33" s="584" t="str">
        <f t="shared" si="64"/>
        <v>6</v>
      </c>
      <c r="AQ33" s="586" t="str">
        <f t="shared" si="64"/>
        <v>5</v>
      </c>
      <c r="AR33" s="585" t="str">
        <f t="shared" si="64"/>
        <v>20</v>
      </c>
      <c r="AS33" s="584" t="str">
        <f t="shared" si="64"/>
        <v>5</v>
      </c>
      <c r="AT33" s="584" t="str">
        <f t="shared" si="64"/>
        <v>5</v>
      </c>
      <c r="AU33" s="586" t="str">
        <f t="shared" si="64"/>
        <v>8</v>
      </c>
      <c r="AV33" s="585" t="str">
        <f t="shared" si="64"/>
        <v>20</v>
      </c>
      <c r="AW33" s="586" t="str">
        <f t="shared" si="64"/>
        <v>0</v>
      </c>
      <c r="AX33" s="585" t="str">
        <f t="shared" si="64"/>
        <v>0</v>
      </c>
    </row>
    <row r="34">
      <c r="A34" s="463"/>
      <c r="B34" s="594">
        <v>6.0</v>
      </c>
      <c r="C34" s="595" t="s">
        <v>246</v>
      </c>
      <c r="D34" s="575" t="s">
        <v>21</v>
      </c>
      <c r="E34" s="575" t="s">
        <v>35</v>
      </c>
      <c r="F34" s="576" t="s">
        <v>60</v>
      </c>
      <c r="G34" s="596">
        <v>2.0</v>
      </c>
      <c r="H34" s="596">
        <v>0.0</v>
      </c>
      <c r="I34" s="598">
        <v>1.0</v>
      </c>
      <c r="J34" s="598">
        <v>1.0</v>
      </c>
      <c r="K34" s="600" t="s">
        <v>162</v>
      </c>
      <c r="L34" s="600"/>
      <c r="M34" s="600"/>
      <c r="N34" s="600"/>
      <c r="O34" s="599" t="s">
        <v>247</v>
      </c>
      <c r="P34" s="14"/>
      <c r="Q34" s="452" t="str">
        <f>MATCH($D34,Reference!$J$5:$J$9,0)</f>
        <v>3</v>
      </c>
      <c r="R34" s="452" t="str">
        <f>MATCH($E34,Reference!$J$26:$J$32,0)</f>
        <v>5</v>
      </c>
      <c r="S34" s="452" t="str">
        <f>MATCH($F34,Reference!$J$45:$J$54,0)</f>
        <v>1</v>
      </c>
      <c r="T34" s="453" t="str">
        <f>MATCH($K34,Reference!$J$37:$J$39,0)</f>
        <v>2</v>
      </c>
      <c r="U34" s="454" t="str">
        <f t="shared" si="2"/>
        <v>2</v>
      </c>
      <c r="V34" s="454" t="str">
        <f t="shared" si="3"/>
        <v>1</v>
      </c>
      <c r="W34" s="454" t="str">
        <f t="shared" si="41"/>
        <v>0</v>
      </c>
      <c r="X34" s="454" t="str">
        <f t="shared" si="4"/>
        <v>2</v>
      </c>
      <c r="Y34" s="456" t="str">
        <f t="shared" si="5"/>
        <v>FALSE</v>
      </c>
      <c r="Z34" s="456" t="str">
        <f t="shared" si="6"/>
        <v>FALSE</v>
      </c>
      <c r="AA34" s="457" t="str">
        <f t="shared" ref="AA34:AB34" si="65">1-I34</f>
        <v>0%</v>
      </c>
      <c r="AB34" s="457" t="str">
        <f t="shared" si="65"/>
        <v>0%</v>
      </c>
      <c r="AC34" s="456" t="str">
        <f t="shared" si="8"/>
        <v>2</v>
      </c>
      <c r="AD34" s="458" t="str">
        <f t="shared" si="9"/>
        <v>0</v>
      </c>
      <c r="AE34" s="458" t="str">
        <f t="shared" si="10"/>
        <v>1</v>
      </c>
      <c r="AF34" s="459" t="str">
        <f t="shared" si="43"/>
        <v>0</v>
      </c>
      <c r="AG34" s="460"/>
      <c r="AH34" s="601" t="s">
        <v>24</v>
      </c>
      <c r="AI34" s="602"/>
      <c r="AJ34" s="603"/>
      <c r="AK34" s="602"/>
      <c r="AL34" s="603"/>
      <c r="AM34" s="602"/>
      <c r="AN34" s="603"/>
      <c r="AO34" s="602"/>
      <c r="AP34" s="603"/>
      <c r="AQ34" s="602"/>
      <c r="AR34" s="603"/>
      <c r="AS34" s="602"/>
      <c r="AT34" s="603"/>
      <c r="AU34" s="602"/>
      <c r="AV34" s="603"/>
      <c r="AW34" s="602"/>
      <c r="AX34" s="603"/>
    </row>
    <row r="35">
      <c r="A35" s="442"/>
      <c r="B35" s="560">
        <v>7.0</v>
      </c>
      <c r="C35" s="561" t="s">
        <v>248</v>
      </c>
      <c r="D35" s="562" t="s">
        <v>21</v>
      </c>
      <c r="E35" s="563" t="s">
        <v>36</v>
      </c>
      <c r="F35" s="562" t="s">
        <v>60</v>
      </c>
      <c r="G35" s="564">
        <v>2.0</v>
      </c>
      <c r="H35" s="564">
        <v>0.0</v>
      </c>
      <c r="I35" s="565">
        <v>1.0</v>
      </c>
      <c r="J35" s="565">
        <v>1.0</v>
      </c>
      <c r="K35" s="563" t="s">
        <v>188</v>
      </c>
      <c r="L35" s="563"/>
      <c r="M35" s="563">
        <v>6.0</v>
      </c>
      <c r="N35" s="563">
        <v>6.0</v>
      </c>
      <c r="O35" s="566" t="s">
        <v>249</v>
      </c>
      <c r="P35" s="14"/>
      <c r="Q35" s="452" t="str">
        <f>MATCH($D35,Reference!$J$5:$J$9,0)</f>
        <v>3</v>
      </c>
      <c r="R35" s="452" t="str">
        <f>MATCH($E35,Reference!$J$26:$J$32,0)</f>
        <v>7</v>
      </c>
      <c r="S35" s="452" t="str">
        <f>MATCH($F35,Reference!$J$45:$J$54,0)</f>
        <v>1</v>
      </c>
      <c r="T35" s="453" t="str">
        <f>MATCH($K35,Reference!$J$37:$J$39,0)</f>
        <v>3</v>
      </c>
      <c r="U35" s="454" t="str">
        <f t="shared" si="2"/>
        <v>2</v>
      </c>
      <c r="V35" s="454" t="str">
        <f t="shared" si="3"/>
        <v>1</v>
      </c>
      <c r="W35" s="454" t="str">
        <f t="shared" si="41"/>
        <v>0</v>
      </c>
      <c r="X35" s="454" t="str">
        <f t="shared" si="4"/>
        <v>2</v>
      </c>
      <c r="Y35" s="456" t="str">
        <f t="shared" si="5"/>
        <v>FALSE</v>
      </c>
      <c r="Z35" s="456" t="str">
        <f t="shared" si="6"/>
        <v>FALSE</v>
      </c>
      <c r="AA35" s="457" t="str">
        <f t="shared" ref="AA35:AB35" si="66">1-I35</f>
        <v>0%</v>
      </c>
      <c r="AB35" s="457" t="str">
        <f t="shared" si="66"/>
        <v>0%</v>
      </c>
      <c r="AC35" s="456" t="str">
        <f t="shared" si="8"/>
        <v>2</v>
      </c>
      <c r="AD35" s="458" t="str">
        <f t="shared" si="9"/>
        <v>0</v>
      </c>
      <c r="AE35" s="458" t="str">
        <f t="shared" si="10"/>
        <v>1</v>
      </c>
      <c r="AF35" s="459" t="str">
        <f t="shared" si="43"/>
        <v>0</v>
      </c>
      <c r="AG35" s="460"/>
      <c r="AH35" s="604" t="s">
        <v>221</v>
      </c>
      <c r="AI35" s="605" t="str">
        <f t="shared" ref="AI35:AN35" si="67">SUM(AI23:AI27)</f>
        <v>608</v>
      </c>
      <c r="AJ35" s="606" t="str">
        <f t="shared" si="67"/>
        <v>698</v>
      </c>
      <c r="AK35" s="605" t="str">
        <f t="shared" si="67"/>
        <v>338</v>
      </c>
      <c r="AL35" s="606" t="str">
        <f t="shared" si="67"/>
        <v>378</v>
      </c>
      <c r="AM35" s="605" t="str">
        <f t="shared" si="67"/>
        <v>0</v>
      </c>
      <c r="AN35" s="606" t="str">
        <f t="shared" si="67"/>
        <v>4</v>
      </c>
      <c r="AO35" s="605" t="str">
        <f>sum(AO23:AO27)</f>
        <v>30</v>
      </c>
      <c r="AP35" s="606" t="str">
        <f>SUM(AP23:AP27)</f>
        <v>30</v>
      </c>
      <c r="AQ35" s="605" t="str">
        <f>sum(AQ23:AQ27)</f>
        <v>97</v>
      </c>
      <c r="AR35" s="606" t="str">
        <f>SUM(AR23:AR27)</f>
        <v>123</v>
      </c>
      <c r="AS35" s="605" t="str">
        <f t="shared" ref="AS35:AX35" si="68">sum(AS23:AS27)</f>
        <v>31</v>
      </c>
      <c r="AT35" s="606" t="str">
        <f t="shared" si="68"/>
        <v>31</v>
      </c>
      <c r="AU35" s="605" t="str">
        <f t="shared" si="68"/>
        <v>112</v>
      </c>
      <c r="AV35" s="606" t="str">
        <f t="shared" si="68"/>
        <v>132</v>
      </c>
      <c r="AW35" s="605" t="str">
        <f t="shared" si="68"/>
        <v>0</v>
      </c>
      <c r="AX35" s="606" t="str">
        <f t="shared" si="68"/>
        <v>0</v>
      </c>
    </row>
    <row r="36">
      <c r="A36" s="442"/>
      <c r="B36" s="607">
        <v>9.0</v>
      </c>
      <c r="C36" s="608" t="s">
        <v>250</v>
      </c>
      <c r="D36" s="609" t="s">
        <v>21</v>
      </c>
      <c r="E36" s="609" t="s">
        <v>47</v>
      </c>
      <c r="F36" s="610" t="s">
        <v>60</v>
      </c>
      <c r="G36" s="611" t="str">
        <f>IF(Summary!$Y$27&gt;=VLOOKUP(C36,Reference!$N$6:$O$36,2,0),2,0)</f>
        <v>2</v>
      </c>
      <c r="H36" s="611">
        <v>0.0</v>
      </c>
      <c r="I36" s="612">
        <v>1.0</v>
      </c>
      <c r="J36" s="612"/>
      <c r="K36" s="613" t="s">
        <v>188</v>
      </c>
      <c r="L36" s="613"/>
      <c r="M36" s="613">
        <v>7.0</v>
      </c>
      <c r="N36" s="613">
        <v>8.0</v>
      </c>
      <c r="O36" s="614" t="s">
        <v>251</v>
      </c>
      <c r="P36" s="14"/>
      <c r="Q36" s="452" t="str">
        <f>MATCH($D36,Reference!$J$5:$J$9,0)</f>
        <v>3</v>
      </c>
      <c r="R36" s="452" t="str">
        <f>MATCH($E36,Reference!$J$26:$J$32,0)</f>
        <v>6</v>
      </c>
      <c r="S36" s="452" t="str">
        <f>MATCH($F36,Reference!$J$45:$J$54,0)</f>
        <v>1</v>
      </c>
      <c r="T36" s="453" t="str">
        <f>MATCH($K36,Reference!$J$37:$J$39,0)</f>
        <v>3</v>
      </c>
      <c r="U36" s="454" t="str">
        <f t="shared" si="2"/>
        <v>2</v>
      </c>
      <c r="V36" s="454" t="str">
        <f t="shared" si="3"/>
        <v>1</v>
      </c>
      <c r="W36" s="455">
        <v>0.0</v>
      </c>
      <c r="X36" s="454" t="str">
        <f t="shared" si="4"/>
        <v>2</v>
      </c>
      <c r="Y36" s="456" t="str">
        <f t="shared" si="5"/>
        <v>FALSE</v>
      </c>
      <c r="Z36" s="456" t="str">
        <f t="shared" si="6"/>
        <v>FALSE</v>
      </c>
      <c r="AA36" s="457" t="str">
        <f t="shared" ref="AA36:AB36" si="69">1-I36</f>
        <v>0%</v>
      </c>
      <c r="AB36" s="457" t="str">
        <f t="shared" si="69"/>
        <v>100%</v>
      </c>
      <c r="AC36" s="456" t="str">
        <f t="shared" si="8"/>
        <v>2</v>
      </c>
      <c r="AD36" s="458" t="str">
        <f t="shared" si="9"/>
        <v>0</v>
      </c>
      <c r="AE36" s="458" t="str">
        <f t="shared" si="10"/>
        <v>1</v>
      </c>
      <c r="AF36" s="459" t="str">
        <f t="shared" si="43"/>
        <v>0</v>
      </c>
      <c r="AG36" s="460"/>
      <c r="AH36" s="615" t="s">
        <v>234</v>
      </c>
      <c r="AI36" s="616" t="str">
        <f t="shared" ref="AI36:AJ36" si="70">SUM(AI29:AI33)</f>
        <v>1125</v>
      </c>
      <c r="AJ36" s="617" t="str">
        <f t="shared" si="70"/>
        <v>1309</v>
      </c>
      <c r="AK36" s="616" t="str">
        <f>sum(AK29:AK33)</f>
        <v>644</v>
      </c>
      <c r="AL36" s="617" t="str">
        <f>SUM(AL29:AL33)</f>
        <v>723</v>
      </c>
      <c r="AM36" s="616" t="str">
        <f>sum(AM29:AM33)</f>
        <v>0</v>
      </c>
      <c r="AN36" s="617" t="str">
        <f>SUM(AN29:AN33)</f>
        <v>5</v>
      </c>
      <c r="AO36" s="616" t="str">
        <f>sum(AO29:AO33)</f>
        <v>54</v>
      </c>
      <c r="AP36" s="617" t="str">
        <f>SUM(AP29:AP33)</f>
        <v>54</v>
      </c>
      <c r="AQ36" s="616" t="str">
        <f>sum(AQ30:AQ33)</f>
        <v>166</v>
      </c>
      <c r="AR36" s="617" t="str">
        <f>SUM(AR29:AR33)</f>
        <v>226</v>
      </c>
      <c r="AS36" s="616" t="str">
        <f t="shared" ref="AS36:AX36" si="71">sum(AS29:AS33)</f>
        <v>57</v>
      </c>
      <c r="AT36" s="617" t="str">
        <f t="shared" si="71"/>
        <v>57</v>
      </c>
      <c r="AU36" s="616" t="str">
        <f t="shared" si="71"/>
        <v>204</v>
      </c>
      <c r="AV36" s="617" t="str">
        <f t="shared" si="71"/>
        <v>244</v>
      </c>
      <c r="AW36" s="616" t="str">
        <f t="shared" si="71"/>
        <v>0</v>
      </c>
      <c r="AX36" s="617" t="str">
        <f t="shared" si="71"/>
        <v>0</v>
      </c>
    </row>
    <row r="37">
      <c r="A37" s="442"/>
      <c r="B37" s="618">
        <v>3.0</v>
      </c>
      <c r="C37" s="619" t="s">
        <v>252</v>
      </c>
      <c r="D37" s="620" t="s">
        <v>22</v>
      </c>
      <c r="E37" s="621" t="s">
        <v>36</v>
      </c>
      <c r="F37" s="620" t="s">
        <v>60</v>
      </c>
      <c r="G37" s="622">
        <v>1.0</v>
      </c>
      <c r="H37" s="622">
        <v>0.0</v>
      </c>
      <c r="I37" s="623">
        <v>1.0</v>
      </c>
      <c r="J37" s="623">
        <v>1.0</v>
      </c>
      <c r="K37" s="620" t="s">
        <v>162</v>
      </c>
      <c r="L37" s="621"/>
      <c r="M37" s="620"/>
      <c r="N37" s="622"/>
      <c r="O37" s="624" t="s">
        <v>253</v>
      </c>
      <c r="P37" s="14"/>
      <c r="Q37" s="452" t="str">
        <f>MATCH($D37,Reference!$J$5:$J$9,0)</f>
        <v>4</v>
      </c>
      <c r="R37" s="452" t="str">
        <f>MATCH($E37,Reference!$J$26:$J$32,0)</f>
        <v>7</v>
      </c>
      <c r="S37" s="452" t="str">
        <f>MATCH($F37,Reference!$J$45:$J$54,0)</f>
        <v>1</v>
      </c>
      <c r="T37" s="453" t="str">
        <f>MATCH($K37,Reference!$J$37:$J$39,0)</f>
        <v>2</v>
      </c>
      <c r="U37" s="454" t="str">
        <f t="shared" si="2"/>
        <v>1</v>
      </c>
      <c r="V37" s="454" t="str">
        <f t="shared" si="3"/>
        <v>1</v>
      </c>
      <c r="W37" s="454" t="str">
        <f t="shared" ref="W37:W43" si="73">(MIN(G37,2)+H37-U37)*400</f>
        <v>0</v>
      </c>
      <c r="X37" s="454" t="str">
        <f t="shared" si="4"/>
        <v>1</v>
      </c>
      <c r="Y37" s="456" t="str">
        <f t="shared" si="5"/>
        <v>FALSE</v>
      </c>
      <c r="Z37" s="456" t="str">
        <f t="shared" si="6"/>
        <v>FALSE</v>
      </c>
      <c r="AA37" s="457" t="str">
        <f t="shared" ref="AA37:AB37" si="72">1-I37</f>
        <v>0%</v>
      </c>
      <c r="AB37" s="457" t="str">
        <f t="shared" si="72"/>
        <v>0%</v>
      </c>
      <c r="AC37" s="456" t="str">
        <f t="shared" si="8"/>
        <v>1</v>
      </c>
      <c r="AD37" s="458" t="str">
        <f t="shared" si="9"/>
        <v>0</v>
      </c>
      <c r="AE37" s="458" t="str">
        <f t="shared" si="10"/>
        <v>1</v>
      </c>
      <c r="AF37" s="459" t="str">
        <f t="shared" ref="AF37:AF39" si="75">(MIN(H37,2)+G37-U37)*100</f>
        <v>0</v>
      </c>
      <c r="AG37" s="460"/>
      <c r="AH37" s="14"/>
      <c r="AI37" s="14"/>
      <c r="AJ37" s="14"/>
      <c r="AK37" s="14"/>
      <c r="AL37" s="14"/>
      <c r="AM37" s="14"/>
      <c r="AN37" s="14"/>
      <c r="AO37" s="14"/>
      <c r="AP37" s="14"/>
      <c r="AQ37" s="14"/>
      <c r="AR37" s="14"/>
      <c r="AS37" s="14"/>
      <c r="AT37" s="14"/>
    </row>
    <row r="38">
      <c r="A38" s="466"/>
      <c r="B38" s="618">
        <v>4.0</v>
      </c>
      <c r="C38" s="619" t="s">
        <v>254</v>
      </c>
      <c r="D38" s="620" t="s">
        <v>22</v>
      </c>
      <c r="E38" s="621" t="s">
        <v>36</v>
      </c>
      <c r="F38" s="620" t="s">
        <v>60</v>
      </c>
      <c r="G38" s="622">
        <v>1.0</v>
      </c>
      <c r="H38" s="622">
        <v>0.0</v>
      </c>
      <c r="I38" s="623">
        <v>1.0</v>
      </c>
      <c r="J38" s="623">
        <v>0.0</v>
      </c>
      <c r="K38" s="621" t="s">
        <v>162</v>
      </c>
      <c r="L38" s="621"/>
      <c r="M38" s="621"/>
      <c r="N38" s="621"/>
      <c r="O38" s="624" t="s">
        <v>255</v>
      </c>
      <c r="P38" s="14"/>
      <c r="Q38" s="452" t="str">
        <f>MATCH($D38,Reference!$J$5:$J$9,0)</f>
        <v>4</v>
      </c>
      <c r="R38" s="452" t="str">
        <f>MATCH($E38,Reference!$J$26:$J$32,0)</f>
        <v>7</v>
      </c>
      <c r="S38" s="452" t="str">
        <f>MATCH($F38,Reference!$J$45:$J$54,0)</f>
        <v>1</v>
      </c>
      <c r="T38" s="453" t="str">
        <f>MATCH($K38,Reference!$J$37:$J$39,0)</f>
        <v>2</v>
      </c>
      <c r="U38" s="454" t="str">
        <f t="shared" si="2"/>
        <v>1</v>
      </c>
      <c r="V38" s="454" t="str">
        <f t="shared" si="3"/>
        <v>1</v>
      </c>
      <c r="W38" s="454" t="str">
        <f t="shared" si="73"/>
        <v>0</v>
      </c>
      <c r="X38" s="454" t="str">
        <f t="shared" si="4"/>
        <v>1</v>
      </c>
      <c r="Y38" s="456" t="str">
        <f t="shared" si="5"/>
        <v>FALSE</v>
      </c>
      <c r="Z38" s="456" t="str">
        <f t="shared" si="6"/>
        <v>FALSE</v>
      </c>
      <c r="AA38" s="457" t="str">
        <f t="shared" ref="AA38:AB38" si="74">1-I38</f>
        <v>0%</v>
      </c>
      <c r="AB38" s="457" t="str">
        <f t="shared" si="74"/>
        <v>100%</v>
      </c>
      <c r="AC38" s="456" t="str">
        <f t="shared" si="8"/>
        <v>1</v>
      </c>
      <c r="AD38" s="458" t="str">
        <f t="shared" si="9"/>
        <v>0</v>
      </c>
      <c r="AE38" s="458" t="str">
        <f t="shared" si="10"/>
        <v>1</v>
      </c>
      <c r="AF38" s="459" t="str">
        <f t="shared" si="75"/>
        <v>0</v>
      </c>
      <c r="AG38" s="460"/>
    </row>
    <row r="39">
      <c r="A39" s="442"/>
      <c r="B39" s="625">
        <v>6.0</v>
      </c>
      <c r="C39" s="626" t="s">
        <v>256</v>
      </c>
      <c r="D39" s="627" t="s">
        <v>22</v>
      </c>
      <c r="E39" s="627" t="s">
        <v>35</v>
      </c>
      <c r="F39" s="628" t="s">
        <v>60</v>
      </c>
      <c r="G39" s="629">
        <v>1.0</v>
      </c>
      <c r="H39" s="630">
        <v>0.0</v>
      </c>
      <c r="I39" s="631">
        <v>1.0</v>
      </c>
      <c r="J39" s="631">
        <v>1.0</v>
      </c>
      <c r="K39" s="632" t="s">
        <v>162</v>
      </c>
      <c r="L39" s="632"/>
      <c r="M39" s="632"/>
      <c r="N39" s="632"/>
      <c r="O39" s="633" t="s">
        <v>257</v>
      </c>
      <c r="P39" s="14"/>
      <c r="Q39" s="452" t="str">
        <f>MATCH($D39,Reference!$J$5:$J$9,0)</f>
        <v>4</v>
      </c>
      <c r="R39" s="452" t="str">
        <f>MATCH($E39,Reference!$J$26:$J$32,0)</f>
        <v>5</v>
      </c>
      <c r="S39" s="452" t="str">
        <f>MATCH($F39,Reference!$J$45:$J$54,0)</f>
        <v>1</v>
      </c>
      <c r="T39" s="453" t="str">
        <f>MATCH($K39,Reference!$J$37:$J$39,0)</f>
        <v>2</v>
      </c>
      <c r="U39" s="454" t="str">
        <f t="shared" si="2"/>
        <v>1</v>
      </c>
      <c r="V39" s="454" t="str">
        <f t="shared" si="3"/>
        <v>1</v>
      </c>
      <c r="W39" s="454" t="str">
        <f t="shared" si="73"/>
        <v>0</v>
      </c>
      <c r="X39" s="454" t="str">
        <f t="shared" si="4"/>
        <v>1</v>
      </c>
      <c r="Y39" s="456" t="str">
        <f t="shared" si="5"/>
        <v>FALSE</v>
      </c>
      <c r="Z39" s="456" t="str">
        <f t="shared" si="6"/>
        <v>FALSE</v>
      </c>
      <c r="AA39" s="457" t="str">
        <f t="shared" ref="AA39:AB39" si="76">1-I39</f>
        <v>0%</v>
      </c>
      <c r="AB39" s="457" t="str">
        <f t="shared" si="76"/>
        <v>0%</v>
      </c>
      <c r="AC39" s="456" t="str">
        <f t="shared" si="8"/>
        <v>1</v>
      </c>
      <c r="AD39" s="458" t="str">
        <f t="shared" si="9"/>
        <v>0</v>
      </c>
      <c r="AE39" s="458" t="str">
        <f t="shared" si="10"/>
        <v>1</v>
      </c>
      <c r="AF39" s="459" t="str">
        <f t="shared" si="75"/>
        <v>0</v>
      </c>
      <c r="AG39" s="460"/>
      <c r="AH39" s="521" t="s">
        <v>60</v>
      </c>
      <c r="AI39" s="106"/>
      <c r="AJ39" s="106"/>
      <c r="AK39" s="106"/>
      <c r="AL39" s="106"/>
      <c r="AM39" s="106"/>
      <c r="AN39" s="106"/>
      <c r="AO39" s="106"/>
      <c r="AP39" s="106"/>
      <c r="AQ39" s="106"/>
      <c r="AR39" s="106"/>
      <c r="AS39" s="106"/>
      <c r="AT39" s="106"/>
      <c r="AU39" s="106"/>
      <c r="AV39" s="106"/>
      <c r="AW39" s="106"/>
      <c r="AX39" s="107"/>
    </row>
    <row r="40">
      <c r="A40" s="466"/>
      <c r="B40" s="634">
        <v>6.0</v>
      </c>
      <c r="C40" s="635" t="s">
        <v>258</v>
      </c>
      <c r="D40" s="636" t="s">
        <v>22</v>
      </c>
      <c r="E40" s="636" t="s">
        <v>33</v>
      </c>
      <c r="F40" s="637" t="s">
        <v>60</v>
      </c>
      <c r="G40" s="638">
        <v>2.0</v>
      </c>
      <c r="H40" s="639">
        <v>0.0</v>
      </c>
      <c r="I40" s="640">
        <v>1.0</v>
      </c>
      <c r="J40" s="640">
        <v>1.0</v>
      </c>
      <c r="K40" s="641" t="s">
        <v>162</v>
      </c>
      <c r="L40" s="641"/>
      <c r="M40" s="641"/>
      <c r="N40" s="641"/>
      <c r="O40" s="642" t="s">
        <v>259</v>
      </c>
      <c r="P40" s="14"/>
      <c r="Q40" s="452" t="str">
        <f>MATCH($D40,Reference!$J$5:$J$9,0)</f>
        <v>4</v>
      </c>
      <c r="R40" s="452" t="str">
        <f>MATCH($E40,Reference!$J$26:$J$32,0)</f>
        <v>2</v>
      </c>
      <c r="S40" s="452" t="str">
        <f>MATCH($F40,Reference!$J$45:$J$54,0)</f>
        <v>1</v>
      </c>
      <c r="T40" s="453" t="str">
        <f>MATCH($K40,Reference!$J$37:$J$39,0)</f>
        <v>2</v>
      </c>
      <c r="U40" s="454" t="str">
        <f t="shared" si="2"/>
        <v>2</v>
      </c>
      <c r="V40" s="454" t="str">
        <f t="shared" si="3"/>
        <v>1</v>
      </c>
      <c r="W40" s="454" t="str">
        <f t="shared" si="73"/>
        <v>0</v>
      </c>
      <c r="X40" s="454" t="str">
        <f t="shared" si="4"/>
        <v>2</v>
      </c>
      <c r="Y40" s="456" t="str">
        <f t="shared" si="5"/>
        <v>FALSE</v>
      </c>
      <c r="Z40" s="456" t="str">
        <f t="shared" si="6"/>
        <v>FALSE</v>
      </c>
      <c r="AA40" s="457" t="str">
        <f t="shared" ref="AA40:AB40" si="77">1-I40</f>
        <v>0%</v>
      </c>
      <c r="AB40" s="457" t="str">
        <f t="shared" si="77"/>
        <v>0%</v>
      </c>
      <c r="AC40" s="456" t="str">
        <f t="shared" si="8"/>
        <v>2</v>
      </c>
      <c r="AD40" s="458" t="str">
        <f t="shared" si="9"/>
        <v>0</v>
      </c>
      <c r="AE40" s="458" t="str">
        <f t="shared" si="10"/>
        <v>1</v>
      </c>
      <c r="AF40" s="459" t="str">
        <f>(MIN(H40,2)+G40-U40)*400</f>
        <v>0</v>
      </c>
      <c r="AG40" s="460"/>
      <c r="AH40" s="523" t="s">
        <v>141</v>
      </c>
      <c r="AI40" s="524" t="s">
        <v>24</v>
      </c>
      <c r="AJ40" s="106"/>
      <c r="AK40" s="524" t="s">
        <v>33</v>
      </c>
      <c r="AL40" s="106"/>
      <c r="AM40" s="524" t="s">
        <v>37</v>
      </c>
      <c r="AN40" s="106"/>
      <c r="AO40" s="524" t="s">
        <v>41</v>
      </c>
      <c r="AP40" s="106"/>
      <c r="AQ40" s="524" t="s">
        <v>35</v>
      </c>
      <c r="AR40" s="106"/>
      <c r="AS40" s="525" t="s">
        <v>217</v>
      </c>
      <c r="AT40" s="106"/>
      <c r="AU40" s="525" t="s">
        <v>36</v>
      </c>
      <c r="AV40" s="106"/>
      <c r="AW40" s="525" t="s">
        <v>218</v>
      </c>
      <c r="AX40" s="106"/>
    </row>
    <row r="41">
      <c r="A41" s="442"/>
      <c r="B41" s="634">
        <v>7.0</v>
      </c>
      <c r="C41" s="635" t="s">
        <v>260</v>
      </c>
      <c r="D41" s="636" t="s">
        <v>22</v>
      </c>
      <c r="E41" s="636" t="s">
        <v>33</v>
      </c>
      <c r="F41" s="637" t="s">
        <v>60</v>
      </c>
      <c r="G41" s="638">
        <v>2.0</v>
      </c>
      <c r="H41" s="638">
        <v>0.0</v>
      </c>
      <c r="I41" s="640">
        <v>1.0</v>
      </c>
      <c r="J41" s="640">
        <v>1.0</v>
      </c>
      <c r="K41" s="641" t="s">
        <v>188</v>
      </c>
      <c r="L41" s="641"/>
      <c r="M41" s="641">
        <v>5.0</v>
      </c>
      <c r="N41" s="641">
        <v>5.0</v>
      </c>
      <c r="O41" s="642" t="s">
        <v>261</v>
      </c>
      <c r="P41" s="14"/>
      <c r="Q41" s="452" t="str">
        <f>MATCH($D41,Reference!$J$5:$J$9,0)</f>
        <v>4</v>
      </c>
      <c r="R41" s="452" t="str">
        <f>MATCH($E41,Reference!$J$26:$J$32,0)</f>
        <v>2</v>
      </c>
      <c r="S41" s="452" t="str">
        <f>MATCH($F41,Reference!$J$45:$J$54,0)</f>
        <v>1</v>
      </c>
      <c r="T41" s="453" t="str">
        <f>MATCH($K41,Reference!$J$37:$J$39,0)</f>
        <v>3</v>
      </c>
      <c r="U41" s="454" t="str">
        <f t="shared" si="2"/>
        <v>2</v>
      </c>
      <c r="V41" s="454" t="str">
        <f t="shared" si="3"/>
        <v>1</v>
      </c>
      <c r="W41" s="454" t="str">
        <f t="shared" si="73"/>
        <v>0</v>
      </c>
      <c r="X41" s="454" t="str">
        <f t="shared" si="4"/>
        <v>2</v>
      </c>
      <c r="Y41" s="456" t="str">
        <f t="shared" si="5"/>
        <v>FALSE</v>
      </c>
      <c r="Z41" s="456" t="str">
        <f t="shared" si="6"/>
        <v>FALSE</v>
      </c>
      <c r="AA41" s="457" t="str">
        <f t="shared" ref="AA41:AB41" si="78">1-I41</f>
        <v>0%</v>
      </c>
      <c r="AB41" s="457" t="str">
        <f t="shared" si="78"/>
        <v>0%</v>
      </c>
      <c r="AC41" s="456" t="str">
        <f t="shared" si="8"/>
        <v>2</v>
      </c>
      <c r="AD41" s="458" t="str">
        <f t="shared" si="9"/>
        <v>0</v>
      </c>
      <c r="AE41" s="458" t="str">
        <f t="shared" si="10"/>
        <v>1</v>
      </c>
      <c r="AF41" s="459" t="str">
        <f t="shared" ref="AF41:AF43" si="80">(MIN(H41,2)+G41-U41)*100</f>
        <v>0</v>
      </c>
      <c r="AG41" s="460"/>
      <c r="AH41" s="587" t="s">
        <v>221</v>
      </c>
      <c r="AI41" s="499"/>
      <c r="AJ41" s="588"/>
      <c r="AK41" s="499"/>
      <c r="AL41" s="588"/>
      <c r="AM41" s="499"/>
      <c r="AN41" s="588"/>
      <c r="AO41" s="499"/>
      <c r="AP41" s="588"/>
      <c r="AQ41" s="499"/>
      <c r="AR41" s="588"/>
      <c r="AS41" s="499"/>
      <c r="AT41" s="588"/>
      <c r="AU41" s="499"/>
      <c r="AV41" s="588"/>
      <c r="AW41" s="499"/>
      <c r="AX41" s="588"/>
    </row>
    <row r="42">
      <c r="A42" s="442"/>
      <c r="B42" s="634">
        <v>7.0</v>
      </c>
      <c r="C42" s="635" t="s">
        <v>262</v>
      </c>
      <c r="D42" s="636" t="s">
        <v>22</v>
      </c>
      <c r="E42" s="636" t="s">
        <v>33</v>
      </c>
      <c r="F42" s="637" t="s">
        <v>60</v>
      </c>
      <c r="G42" s="638">
        <v>2.0</v>
      </c>
      <c r="H42" s="638">
        <v>0.0</v>
      </c>
      <c r="I42" s="640">
        <v>1.0</v>
      </c>
      <c r="J42" s="640">
        <v>1.0</v>
      </c>
      <c r="K42" s="641" t="s">
        <v>188</v>
      </c>
      <c r="L42" s="641"/>
      <c r="M42" s="641">
        <v>5.0</v>
      </c>
      <c r="N42" s="641">
        <v>5.0</v>
      </c>
      <c r="O42" s="642" t="s">
        <v>263</v>
      </c>
      <c r="P42" s="14"/>
      <c r="Q42" s="452" t="str">
        <f>MATCH($D42,Reference!$J$5:$J$9,0)</f>
        <v>4</v>
      </c>
      <c r="R42" s="452" t="str">
        <f>MATCH($E42,Reference!$J$26:$J$32,0)</f>
        <v>2</v>
      </c>
      <c r="S42" s="452" t="str">
        <f>MATCH($F42,Reference!$J$45:$J$54,0)</f>
        <v>1</v>
      </c>
      <c r="T42" s="453" t="str">
        <f>MATCH($K42,Reference!$J$37:$J$39,0)</f>
        <v>3</v>
      </c>
      <c r="U42" s="454" t="str">
        <f t="shared" si="2"/>
        <v>2</v>
      </c>
      <c r="V42" s="454" t="str">
        <f t="shared" si="3"/>
        <v>1</v>
      </c>
      <c r="W42" s="454" t="str">
        <f t="shared" si="73"/>
        <v>0</v>
      </c>
      <c r="X42" s="454" t="str">
        <f t="shared" si="4"/>
        <v>2</v>
      </c>
      <c r="Y42" s="456" t="str">
        <f t="shared" si="5"/>
        <v>FALSE</v>
      </c>
      <c r="Z42" s="456" t="str">
        <f t="shared" si="6"/>
        <v>FALSE</v>
      </c>
      <c r="AA42" s="457" t="str">
        <f t="shared" ref="AA42:AB42" si="79">1-I42</f>
        <v>0%</v>
      </c>
      <c r="AB42" s="457" t="str">
        <f t="shared" si="79"/>
        <v>0%</v>
      </c>
      <c r="AC42" s="456" t="str">
        <f t="shared" si="8"/>
        <v>2</v>
      </c>
      <c r="AD42" s="458" t="str">
        <f t="shared" si="9"/>
        <v>0</v>
      </c>
      <c r="AE42" s="458" t="str">
        <f t="shared" si="10"/>
        <v>1</v>
      </c>
      <c r="AF42" s="459" t="str">
        <f t="shared" si="80"/>
        <v>0</v>
      </c>
      <c r="AG42" s="460"/>
      <c r="AH42" s="643" t="s">
        <v>10</v>
      </c>
      <c r="AI42" s="534" t="str">
        <f t="shared" ref="AI42:AJ42" si="81">SUM(AM42+AK42+AO42+AQ42+AS42+AU42)</f>
        <v>10</v>
      </c>
      <c r="AJ42" s="535" t="str">
        <f t="shared" si="81"/>
        <v>10</v>
      </c>
      <c r="AK42" s="449" t="str">
        <f>sumifs($V$2:$V700, $E$2:$E700, "Basic", $F$2:F700, "Druid")</f>
        <v>10</v>
      </c>
      <c r="AL42" s="537" t="str">
        <f>COUNTIFS($E$2:$E700, "Basic", $E$2:$E700, "Basic", $F$2:F700, "Druid" )</f>
        <v>10</v>
      </c>
      <c r="AM42" s="644"/>
      <c r="AN42" s="645"/>
      <c r="AO42" s="449"/>
      <c r="AP42" s="537"/>
      <c r="AQ42" s="449"/>
      <c r="AR42" s="537"/>
      <c r="AS42" s="449"/>
      <c r="AT42" s="537"/>
      <c r="AU42" s="449"/>
      <c r="AV42" s="537"/>
      <c r="AW42" s="449"/>
      <c r="AX42" s="537"/>
    </row>
    <row r="43">
      <c r="A43" s="442"/>
      <c r="B43" s="625">
        <v>9.0</v>
      </c>
      <c r="C43" s="646" t="s">
        <v>264</v>
      </c>
      <c r="D43" s="627" t="s">
        <v>22</v>
      </c>
      <c r="E43" s="627" t="s">
        <v>35</v>
      </c>
      <c r="F43" s="628" t="s">
        <v>60</v>
      </c>
      <c r="G43" s="629">
        <v>1.0</v>
      </c>
      <c r="H43" s="630">
        <v>0.0</v>
      </c>
      <c r="I43" s="631">
        <v>1.0</v>
      </c>
      <c r="J43" s="631">
        <v>1.0</v>
      </c>
      <c r="K43" s="632" t="s">
        <v>162</v>
      </c>
      <c r="L43" s="632"/>
      <c r="M43" s="632"/>
      <c r="N43" s="632"/>
      <c r="O43" s="633" t="s">
        <v>265</v>
      </c>
      <c r="P43" s="14"/>
      <c r="Q43" s="452" t="str">
        <f>MATCH($D43,Reference!$J$5:$J$9,0)</f>
        <v>4</v>
      </c>
      <c r="R43" s="452" t="str">
        <f>MATCH($E43,Reference!$J$26:$J$32,0)</f>
        <v>5</v>
      </c>
      <c r="S43" s="452" t="str">
        <f>MATCH($F43,Reference!$J$45:$J$54,0)</f>
        <v>1</v>
      </c>
      <c r="T43" s="453" t="str">
        <f>MATCH($K43,Reference!$J$37:$J$39,0)</f>
        <v>2</v>
      </c>
      <c r="U43" s="454" t="str">
        <f t="shared" si="2"/>
        <v>1</v>
      </c>
      <c r="V43" s="454" t="str">
        <f t="shared" si="3"/>
        <v>1</v>
      </c>
      <c r="W43" s="454" t="str">
        <f t="shared" si="73"/>
        <v>0</v>
      </c>
      <c r="X43" s="454" t="str">
        <f t="shared" si="4"/>
        <v>1</v>
      </c>
      <c r="Y43" s="456" t="str">
        <f t="shared" si="5"/>
        <v>FALSE</v>
      </c>
      <c r="Z43" s="456" t="str">
        <f t="shared" si="6"/>
        <v>FALSE</v>
      </c>
      <c r="AA43" s="457" t="str">
        <f t="shared" ref="AA43:AB43" si="82">1-I43</f>
        <v>0%</v>
      </c>
      <c r="AB43" s="457" t="str">
        <f t="shared" si="82"/>
        <v>0%</v>
      </c>
      <c r="AC43" s="456" t="str">
        <f t="shared" si="8"/>
        <v>1</v>
      </c>
      <c r="AD43" s="458" t="str">
        <f t="shared" si="9"/>
        <v>0</v>
      </c>
      <c r="AE43" s="458" t="str">
        <f t="shared" si="10"/>
        <v>1</v>
      </c>
      <c r="AF43" s="459" t="str">
        <f t="shared" si="80"/>
        <v>0</v>
      </c>
      <c r="AG43" s="460"/>
      <c r="AH43" s="405" t="s">
        <v>15</v>
      </c>
      <c r="AI43" s="522" t="str">
        <f t="shared" ref="AI43:AJ43" si="83">SUM(AM43+AK43+AO43+AQ43+AS43+AU43)</f>
        <v>13</v>
      </c>
      <c r="AJ43" s="544" t="str">
        <f t="shared" si="83"/>
        <v>13</v>
      </c>
      <c r="AK43" s="499" t="str">
        <f>sumifs($V$2:$V700, $D$2:$D700, "Common", $E$2:$E700, "Classic", $F$2:F700, "Druid")</f>
        <v>6</v>
      </c>
      <c r="AL43" s="588" t="str">
        <f>COUNTIFS($D$2:$D700, "Common", $E$2:$E700, "Classic", $F$2:F700, "Druid" )</f>
        <v>6</v>
      </c>
      <c r="AM43" s="531" t="str">
        <f>sumifs($V$2:$V700, $D$2:$D700, "Common", $E$2:$E700, "Promo", $F$2:F700, "Druid")</f>
        <v>0</v>
      </c>
      <c r="AN43" s="647" t="str">
        <f>COUNTIFS($D$2:$D700, "Common", $E$2:$E700, "Promo", $F$2:F700, "Druid" )</f>
        <v>0</v>
      </c>
      <c r="AO43" s="499" t="str">
        <f>sumifs($V$2:$V700, $D$2:$D700, "Common", $E$2:$E700, "Naxx", $F$2:F700, "Druid")</f>
        <v>1</v>
      </c>
      <c r="AP43" s="588" t="str">
        <f>COUNTIFS($D$2:$D700, "Common", $E$2:$E700, "Naxx", $F$2:F700, "Druid" )</f>
        <v>1</v>
      </c>
      <c r="AQ43" s="499" t="str">
        <f>sumifs($V$2:$V700, $D$2:$D700, "Common", $E$2:$E700, "GvG", $F$2:F700, "Druid")</f>
        <v>2</v>
      </c>
      <c r="AR43" s="588" t="str">
        <f>COUNTIFS($D$2:$D700, "Common", $E$2:$E700, "GvG", $F$2:F700, "Druid" )</f>
        <v>2</v>
      </c>
      <c r="AS43" s="499" t="str">
        <f>sumifs($V$2:$V700, $D$2:$D700, "Common", $E$2:$E700, "Blackrock", $F$2:F700, "Druid")</f>
        <v>1</v>
      </c>
      <c r="AT43" s="588" t="str">
        <f>COUNTIFS($D$2:$D700, "Common", $E$2:$E700, "Blackrock", $F$2:F700, "Druid" )</f>
        <v>1</v>
      </c>
      <c r="AU43" s="499" t="str">
        <f>sumifs($V$2:$V700, $D$2:$D700, "Common", $E$2:$E700, "TGT", $F$2:F700, "Druid")</f>
        <v>3</v>
      </c>
      <c r="AV43" s="588" t="str">
        <f>COUNTIFS($D$2:$D700, "Common", $E$2:$E700, "TGT", $F$2:F700, "Druid" )</f>
        <v>3</v>
      </c>
      <c r="AW43" s="531">
        <v>0.0</v>
      </c>
      <c r="AX43" s="647">
        <v>0.0</v>
      </c>
    </row>
    <row r="44">
      <c r="A44" s="442"/>
      <c r="B44" s="648">
        <v>7.0</v>
      </c>
      <c r="C44" s="649" t="s">
        <v>266</v>
      </c>
      <c r="D44" s="650" t="s">
        <v>23</v>
      </c>
      <c r="E44" s="650" t="s">
        <v>35</v>
      </c>
      <c r="F44" s="651" t="s">
        <v>60</v>
      </c>
      <c r="G44" s="652">
        <v>0.0</v>
      </c>
      <c r="H44" s="653">
        <v>0.0</v>
      </c>
      <c r="I44" s="654">
        <v>1.0</v>
      </c>
      <c r="J44" s="654"/>
      <c r="K44" s="650" t="s">
        <v>188</v>
      </c>
      <c r="L44" s="650" t="s">
        <v>238</v>
      </c>
      <c r="M44" s="651">
        <v>9.0</v>
      </c>
      <c r="N44" s="653">
        <v>7.0</v>
      </c>
      <c r="O44" s="655" t="s">
        <v>267</v>
      </c>
      <c r="P44" s="14"/>
      <c r="Q44" s="452" t="str">
        <f>MATCH($D44,Reference!$J$5:$J$9,0)</f>
        <v>5</v>
      </c>
      <c r="R44" s="452" t="str">
        <f>MATCH($E44,Reference!$J$26:$J$32,0)</f>
        <v>5</v>
      </c>
      <c r="S44" s="452" t="str">
        <f>MATCH($F44,Reference!$J$45:$J$54,0)</f>
        <v>1</v>
      </c>
      <c r="T44" s="453" t="str">
        <f>MATCH($K44,Reference!$J$37:$J$39,0)</f>
        <v>3</v>
      </c>
      <c r="U44" s="454" t="str">
        <f t="shared" ref="U44:U46" si="85">MIN((G44+H44),1)</f>
        <v>0</v>
      </c>
      <c r="V44" s="454" t="str">
        <f t="shared" si="3"/>
        <v>0</v>
      </c>
      <c r="W44" s="454" t="str">
        <f t="shared" ref="W44:W46" si="86">(MIN(G44,2)+H44-U44)*1600</f>
        <v>0</v>
      </c>
      <c r="X44" s="454" t="str">
        <f t="shared" ref="X44:X46" si="87">MIN((G44+H44+1),2)</f>
        <v>1</v>
      </c>
      <c r="Y44" s="456" t="str">
        <f t="shared" si="5"/>
        <v>TRUE</v>
      </c>
      <c r="Z44" s="456" t="str">
        <f t="shared" si="6"/>
        <v>TRUE</v>
      </c>
      <c r="AA44" s="457" t="str">
        <f t="shared" ref="AA44:AB44" si="84">1-I44</f>
        <v>0%</v>
      </c>
      <c r="AB44" s="457" t="str">
        <f t="shared" si="84"/>
        <v>100%</v>
      </c>
      <c r="AC44" s="456" t="str">
        <f t="shared" si="8"/>
        <v>1</v>
      </c>
      <c r="AD44" s="458" t="str">
        <f t="shared" ref="AD44:AD46" si="89">MIN((H44),1)</f>
        <v>0</v>
      </c>
      <c r="AE44" s="458" t="str">
        <f t="shared" si="10"/>
        <v>0</v>
      </c>
      <c r="AF44" s="459" t="str">
        <f t="shared" ref="AF44:AF46" si="90">(MIN(H44,2)+G44-U44)*400</f>
        <v>0</v>
      </c>
      <c r="AG44" s="460"/>
      <c r="AH44" s="556" t="s">
        <v>21</v>
      </c>
      <c r="AI44" s="557" t="str">
        <f>SUM(AM45+AK44+AO44+AQ44+AS44+AU44)</f>
        <v>12</v>
      </c>
      <c r="AJ44" s="558" t="str">
        <f>SUM(AN44+AL44+AP44+AR44+AT44+AV44)</f>
        <v>12</v>
      </c>
      <c r="AK44" s="554" t="str">
        <f>sumifs($V$2:$V700, $D$2:$D700, "Rare", $E$2:$E700, "Classic", $F$2:F700, "Druid")</f>
        <v>5</v>
      </c>
      <c r="AL44" s="656" t="str">
        <f>COUNTIFS($D$2:$D700, "Rare", $E$2:$E700, "Classic", $F$2:F700, "Druid" )</f>
        <v>5</v>
      </c>
      <c r="AM44" s="657" t="str">
        <f>sumifs($V$2:$V700, $D$2:$D700, "Rare", $E$2:$E700, "Promo", $F$2:F700, "Druid")</f>
        <v>0</v>
      </c>
      <c r="AN44" s="658" t="str">
        <f>COUNTIFS($D$2:$D700, "Rare", $E$2:$E700, "Promo", $F$2:F700, "Druid" )</f>
        <v>0</v>
      </c>
      <c r="AO44" s="554" t="str">
        <f>sumifs($V$2:$V700, $D$2:$D700, "Rare", $E$2:$E700, "Naxx", $F$2:F700, "Druid")</f>
        <v>0</v>
      </c>
      <c r="AP44" s="656" t="str">
        <f>COUNTIFS($D$2:$D700, "Rare", $E$2:$E700, "Naxx", $F$2:F700, "Druid" )</f>
        <v>0</v>
      </c>
      <c r="AQ44" s="554" t="str">
        <f>sumifs($V$2:$V700, $D$2:$D700, "Rare", $E$2:$E700, "GvG", $F$2:F700, "Druid")</f>
        <v>3</v>
      </c>
      <c r="AR44" s="656" t="str">
        <f>COUNTIFS($D$2:$D700, "Rare", $E$2:$E700, "GvG", $F$2:F700, "Druid" )</f>
        <v>3</v>
      </c>
      <c r="AS44" s="554" t="str">
        <f>sumifs($V$2:$V700, $D$2:$D700, "Rare", $E$2:$E700, "Blackrock", $F$2:F700, "Druid")</f>
        <v>1</v>
      </c>
      <c r="AT44" s="656" t="str">
        <f>COUNTIFS($D$2:$D700, "Rare", $E$2:$E700, "Blackrock", $F$2:F700, "Druid" )</f>
        <v>1</v>
      </c>
      <c r="AU44" s="554" t="str">
        <f>sumifs($V$2:$V700, $D$2:$D700, "Rare", $E$2:$E700, "TGT", $F$2:F700, "Druid")</f>
        <v>3</v>
      </c>
      <c r="AV44" s="656" t="str">
        <f>COUNTIFS($D$2:$D700, "Rare", $E$2:$E700, "TGT", $F$2:F700, "Druid" )</f>
        <v>3</v>
      </c>
      <c r="AW44" s="657">
        <v>0.0</v>
      </c>
      <c r="AX44" s="658">
        <v>0.0</v>
      </c>
    </row>
    <row r="45">
      <c r="A45" s="509"/>
      <c r="B45" s="659">
        <v>9.0</v>
      </c>
      <c r="C45" s="660" t="s">
        <v>268</v>
      </c>
      <c r="D45" s="661" t="s">
        <v>23</v>
      </c>
      <c r="E45" s="662" t="s">
        <v>36</v>
      </c>
      <c r="F45" s="661" t="s">
        <v>60</v>
      </c>
      <c r="G45" s="663">
        <v>0.0</v>
      </c>
      <c r="H45" s="663">
        <v>0.0</v>
      </c>
      <c r="I45" s="664">
        <v>1.0</v>
      </c>
      <c r="J45" s="664">
        <v>1.0</v>
      </c>
      <c r="K45" s="662" t="s">
        <v>188</v>
      </c>
      <c r="L45" s="662"/>
      <c r="M45" s="662">
        <v>5.0</v>
      </c>
      <c r="N45" s="662">
        <v>5.0</v>
      </c>
      <c r="O45" s="665" t="s">
        <v>269</v>
      </c>
      <c r="P45" s="14"/>
      <c r="Q45" s="452" t="str">
        <f>MATCH($D45,Reference!$J$5:$J$9,0)</f>
        <v>5</v>
      </c>
      <c r="R45" s="452" t="str">
        <f>MATCH($E45,Reference!$J$26:$J$32,0)</f>
        <v>7</v>
      </c>
      <c r="S45" s="452" t="str">
        <f>MATCH($F45,Reference!$J$45:$J$54,0)</f>
        <v>1</v>
      </c>
      <c r="T45" s="453" t="str">
        <f>MATCH($K45,Reference!$J$37:$J$39,0)</f>
        <v>3</v>
      </c>
      <c r="U45" s="454" t="str">
        <f t="shared" si="85"/>
        <v>0</v>
      </c>
      <c r="V45" s="454" t="str">
        <f t="shared" si="3"/>
        <v>0</v>
      </c>
      <c r="W45" s="454" t="str">
        <f t="shared" si="86"/>
        <v>0</v>
      </c>
      <c r="X45" s="454" t="str">
        <f t="shared" si="87"/>
        <v>1</v>
      </c>
      <c r="Y45" s="456" t="str">
        <f t="shared" si="5"/>
        <v>TRUE</v>
      </c>
      <c r="Z45" s="456" t="str">
        <f t="shared" si="6"/>
        <v>TRUE</v>
      </c>
      <c r="AA45" s="457" t="str">
        <f t="shared" ref="AA45:AB45" si="88">1-I45</f>
        <v>0%</v>
      </c>
      <c r="AB45" s="457" t="str">
        <f t="shared" si="88"/>
        <v>0%</v>
      </c>
      <c r="AC45" s="456" t="str">
        <f t="shared" si="8"/>
        <v>0</v>
      </c>
      <c r="AD45" s="458" t="str">
        <f t="shared" si="89"/>
        <v>0</v>
      </c>
      <c r="AE45" s="458" t="str">
        <f t="shared" si="10"/>
        <v>0</v>
      </c>
      <c r="AF45" s="459" t="str">
        <f t="shared" si="90"/>
        <v>0</v>
      </c>
      <c r="AG45" s="460"/>
      <c r="AH45" s="567" t="s">
        <v>22</v>
      </c>
      <c r="AI45" s="568" t="str">
        <f t="shared" ref="AI45:AJ45" si="91">SUM(AM45+AK45+AO45+AQ45+AS45+AU45)</f>
        <v>7</v>
      </c>
      <c r="AJ45" s="569" t="str">
        <f t="shared" si="91"/>
        <v>7</v>
      </c>
      <c r="AK45" s="641" t="str">
        <f>sumifs($V$2:$V700, $D$2:$D700, "Epic", $E$2:$E700, "Classic", $F$2:F700, "Druid")</f>
        <v>3</v>
      </c>
      <c r="AL45" s="666" t="str">
        <f>COUNTIFS($D$2:$D700, "Epic", $E$2:$E700, "Classic", $F$2:F700, "Druid" )</f>
        <v>3</v>
      </c>
      <c r="AM45" s="667" t="str">
        <f>sumifs($V$2:$V700, $D$2:$D700, "Epic", $E$2:$E700, "Promo", $F$2:F700, "Druid")</f>
        <v>0</v>
      </c>
      <c r="AN45" s="668" t="str">
        <f>COUNTIFS($D$2:$D700, "Epic", $E$2:$E700, "Promo", $F$2:F700, "Druid" )</f>
        <v>0</v>
      </c>
      <c r="AO45" s="641" t="str">
        <f>sumifs($V$2:$V700, $D$2:$D700, "Epic", $E$2:$E700, "Naxx", $F$2:F700, "Druid")</f>
        <v>0</v>
      </c>
      <c r="AP45" s="666" t="str">
        <f>COUNTIFS($D$2:$D700, "Epic", $E$2:$E700, "Naxx", $F$2:F700, "Druid" )</f>
        <v>0</v>
      </c>
      <c r="AQ45" s="641" t="str">
        <f>sumifs($V$2:$V700, $D$2:$D700, "Epic", $E$2:$E700, "GvG", $F$2:F700, "Druid")</f>
        <v>2</v>
      </c>
      <c r="AR45" s="666" t="str">
        <f>COUNTIFS($D$2:$D700, "Epic", $E$2:$E700, "GvG", $F$2:F700, "Druid" )</f>
        <v>2</v>
      </c>
      <c r="AS45" s="641" t="str">
        <f>sumifs($V$2:$V700, $D$2:$D700, "Epic", $E$2:$E700, "Blackrock", $F$2:F700, "Druid")</f>
        <v>0</v>
      </c>
      <c r="AT45" s="666" t="str">
        <f>COUNTIFS($D$2:$D700, "Epic", $E$2:$E700, "Blackrock", $F$2:F700, "Druid" )</f>
        <v>0</v>
      </c>
      <c r="AU45" s="641" t="str">
        <f>sumifs($V$2:$V700, $D$2:$D700, "Epic", $E$2:$E700, "TGT", $F$2:F700, "Druid")</f>
        <v>2</v>
      </c>
      <c r="AV45" s="666" t="str">
        <f>COUNTIFS($D$2:$D700, "Epic", $E$2:$E700, "TGT", $F$2:F700, "Druid" )</f>
        <v>2</v>
      </c>
      <c r="AW45" s="667">
        <v>0.0</v>
      </c>
      <c r="AX45" s="668">
        <v>0.0</v>
      </c>
    </row>
    <row r="46">
      <c r="A46" s="466"/>
      <c r="B46" s="669">
        <v>9.0</v>
      </c>
      <c r="C46" s="670" t="s">
        <v>270</v>
      </c>
      <c r="D46" s="671" t="s">
        <v>23</v>
      </c>
      <c r="E46" s="671" t="s">
        <v>33</v>
      </c>
      <c r="F46" s="672" t="s">
        <v>60</v>
      </c>
      <c r="G46" s="673">
        <v>1.0</v>
      </c>
      <c r="H46" s="673">
        <v>0.0</v>
      </c>
      <c r="I46" s="674">
        <v>1.0</v>
      </c>
      <c r="J46" s="674"/>
      <c r="K46" s="675" t="s">
        <v>188</v>
      </c>
      <c r="L46" s="675"/>
      <c r="M46" s="675">
        <v>5.0</v>
      </c>
      <c r="N46" s="675">
        <v>8.0</v>
      </c>
      <c r="O46" s="676" t="s">
        <v>271</v>
      </c>
      <c r="P46" s="14"/>
      <c r="Q46" s="452" t="str">
        <f>MATCH($D46,Reference!$J$5:$J$9,0)</f>
        <v>5</v>
      </c>
      <c r="R46" s="452" t="str">
        <f>MATCH($E46,Reference!$J$26:$J$32,0)</f>
        <v>2</v>
      </c>
      <c r="S46" s="452" t="str">
        <f>MATCH($F46,Reference!$J$45:$J$54,0)</f>
        <v>1</v>
      </c>
      <c r="T46" s="453" t="str">
        <f>MATCH($K46,Reference!$J$37:$J$39,0)</f>
        <v>3</v>
      </c>
      <c r="U46" s="454" t="str">
        <f t="shared" si="85"/>
        <v>1</v>
      </c>
      <c r="V46" s="454" t="str">
        <f t="shared" si="3"/>
        <v>1</v>
      </c>
      <c r="W46" s="454" t="str">
        <f t="shared" si="86"/>
        <v>0</v>
      </c>
      <c r="X46" s="454" t="str">
        <f t="shared" si="87"/>
        <v>2</v>
      </c>
      <c r="Y46" s="456" t="str">
        <f t="shared" si="5"/>
        <v>FALSE</v>
      </c>
      <c r="Z46" s="456" t="str">
        <f t="shared" si="6"/>
        <v>TRUE</v>
      </c>
      <c r="AA46" s="457" t="str">
        <f t="shared" ref="AA46:AB46" si="92">1-I46</f>
        <v>0%</v>
      </c>
      <c r="AB46" s="457" t="str">
        <f t="shared" si="92"/>
        <v>100%</v>
      </c>
      <c r="AC46" s="456" t="str">
        <f t="shared" si="8"/>
        <v>2</v>
      </c>
      <c r="AD46" s="458" t="str">
        <f t="shared" si="89"/>
        <v>0</v>
      </c>
      <c r="AE46" s="458" t="str">
        <f t="shared" si="10"/>
        <v>1</v>
      </c>
      <c r="AF46" s="459" t="str">
        <f t="shared" si="90"/>
        <v>0</v>
      </c>
      <c r="AG46" s="460"/>
      <c r="AH46" s="583" t="s">
        <v>23</v>
      </c>
      <c r="AI46" s="584" t="str">
        <f t="shared" ref="AI46:AJ46" si="93">SUM(AM46+AK46+AO46+AQ46+AS46+AU46)</f>
        <v>1</v>
      </c>
      <c r="AJ46" s="585" t="str">
        <f t="shared" si="93"/>
        <v>3</v>
      </c>
      <c r="AK46" s="677" t="str">
        <f>sumifs($V$2:$V700, $D$2:$D700, "Legendary", $E$2:$E700, "Classic", $F$2:F700, "Druid")</f>
        <v>1</v>
      </c>
      <c r="AL46" s="678" t="str">
        <f>COUNTIFS($D$2:$D700, "Legendary", $E$2:$E700, "Classic", $F$2:F700, "Druid" )</f>
        <v>1</v>
      </c>
      <c r="AM46" s="679" t="str">
        <f>sumifs($V$2:$V700, $D$2:$D700, "Legendary", $E$2:$E700, "Promo", $F$2:F700, "Druid")</f>
        <v>0</v>
      </c>
      <c r="AN46" s="680" t="str">
        <f>COUNTIFS($D$2:$D700, "Legendary", $E$2:$E700, "Promo", $F$2:F700, "Druid" )</f>
        <v>0</v>
      </c>
      <c r="AO46" s="677" t="str">
        <f>sumifs($V$2:$V700, $D$2:$D700, "Legendary", $E$2:$E700, "Naxx", $F$2:F700, "Druid")</f>
        <v>0</v>
      </c>
      <c r="AP46" s="678" t="str">
        <f>COUNTIFS($D$2:$D700, "Legendary", $E$2:$E700, "Naxx", $F$2:F700, "Druid" )</f>
        <v>0</v>
      </c>
      <c r="AQ46" s="677" t="str">
        <f>sumifs($V$2:$V700, $D$2:$D700, "Legendary", $E$2:$E700, "GvG", $F$2:F700, "Druid")</f>
        <v>0</v>
      </c>
      <c r="AR46" s="678" t="str">
        <f>COUNTIFS($D$2:$D700, "Legendary", $E$2:$E700, "GvG", $F$2:F700, "Druid" )</f>
        <v>1</v>
      </c>
      <c r="AS46" s="677" t="str">
        <f>sumifs($V$2:$V700, $D$2:$D700, "Legendary", $E$2:$E700, "Blackrock", $F$2:F700, "Druid")</f>
        <v>0</v>
      </c>
      <c r="AT46" s="678" t="str">
        <f>COUNTIFS($D$2:$D700, "Legendary", $E$2:$E700, "Blackrock", $F$2:F700, "Druid" )</f>
        <v>0</v>
      </c>
      <c r="AU46" s="677" t="str">
        <f>sumifs($V$2:$V700, $D$2:$D700, "Legendary", $E$2:$E700, "TGT", $F$2:F700, "Druid")</f>
        <v>0</v>
      </c>
      <c r="AV46" s="678" t="str">
        <f>COUNTIFS($D$2:$D700, "Legendary", $E$2:$E700, "TGT", $F$2:F700, "Druid" )</f>
        <v>1</v>
      </c>
      <c r="AW46" s="679">
        <v>0.0</v>
      </c>
      <c r="AX46" s="680">
        <v>0.0</v>
      </c>
    </row>
    <row r="47">
      <c r="A47" s="466"/>
      <c r="B47" s="443">
        <v>0.0</v>
      </c>
      <c r="C47" s="444" t="s">
        <v>272</v>
      </c>
      <c r="D47" s="445" t="s">
        <v>10</v>
      </c>
      <c r="E47" s="445" t="s">
        <v>10</v>
      </c>
      <c r="F47" s="445" t="s">
        <v>63</v>
      </c>
      <c r="G47" s="446" t="str">
        <f>COUNTIFS(Reference!F:F,C47,Reference!G:G,"&lt;="&amp;VLOOKUP($F47,Summary!$N$25:$O$33,2,0))</f>
        <v>2</v>
      </c>
      <c r="H47" s="447">
        <v>0.0</v>
      </c>
      <c r="I47" s="448">
        <v>1.0</v>
      </c>
      <c r="J47" s="448">
        <v>1.0</v>
      </c>
      <c r="K47" s="449" t="s">
        <v>162</v>
      </c>
      <c r="L47" s="449"/>
      <c r="M47" s="449"/>
      <c r="N47" s="449"/>
      <c r="O47" s="450" t="s">
        <v>273</v>
      </c>
      <c r="P47" s="14"/>
      <c r="Q47" s="452" t="str">
        <f>MATCH($D47,Reference!$J$5:$J$9,0)</f>
        <v>1</v>
      </c>
      <c r="R47" s="452" t="str">
        <f>MATCH($E47,Reference!$J$26:$J$32,0)</f>
        <v>1</v>
      </c>
      <c r="S47" s="452" t="str">
        <f>MATCH($F47,Reference!$J$45:$J$54,0)</f>
        <v>2</v>
      </c>
      <c r="T47" s="453" t="str">
        <f>MATCH($K47,Reference!$J$37:$J$39,0)</f>
        <v>2</v>
      </c>
      <c r="U47" s="454" t="str">
        <f t="shared" ref="U47:U88" si="95">MIN((G47+H47),2)</f>
        <v>2</v>
      </c>
      <c r="V47" s="454" t="str">
        <f t="shared" si="3"/>
        <v>1</v>
      </c>
      <c r="W47" s="455">
        <v>0.0</v>
      </c>
      <c r="X47" s="454" t="str">
        <f t="shared" ref="X47:X88" si="96">MIN((G47+H47),2)</f>
        <v>2</v>
      </c>
      <c r="Y47" s="456" t="str">
        <f t="shared" si="5"/>
        <v>FALSE</v>
      </c>
      <c r="Z47" s="456" t="str">
        <f t="shared" si="6"/>
        <v>FALSE</v>
      </c>
      <c r="AA47" s="457" t="str">
        <f t="shared" ref="AA47:AB47" si="94">1-I47</f>
        <v>0%</v>
      </c>
      <c r="AB47" s="457" t="str">
        <f t="shared" si="94"/>
        <v>0%</v>
      </c>
      <c r="AC47" s="456" t="str">
        <f t="shared" si="8"/>
        <v>2</v>
      </c>
      <c r="AD47" s="458" t="str">
        <f t="shared" ref="AD47:AD88" si="98">MIN((H47),2)</f>
        <v>0</v>
      </c>
      <c r="AE47" s="458" t="str">
        <f t="shared" si="10"/>
        <v>1</v>
      </c>
      <c r="AF47" s="459" t="str">
        <f t="shared" ref="AF47:AF56" si="99">(MIN(H47,2)+G47-U47)*0</f>
        <v>0</v>
      </c>
      <c r="AG47" s="460"/>
      <c r="AH47" s="587" t="s">
        <v>234</v>
      </c>
      <c r="AI47" s="499"/>
      <c r="AJ47" s="588"/>
      <c r="AK47" s="499"/>
      <c r="AL47" s="588"/>
      <c r="AM47" s="499"/>
      <c r="AN47" s="588"/>
      <c r="AO47" s="499"/>
      <c r="AP47" s="588"/>
      <c r="AQ47" s="499"/>
      <c r="AR47" s="588"/>
      <c r="AS47" s="499"/>
      <c r="AT47" s="588"/>
      <c r="AU47" s="499"/>
      <c r="AV47" s="588"/>
      <c r="AW47" s="499"/>
      <c r="AX47" s="588"/>
    </row>
    <row r="48">
      <c r="A48" s="442"/>
      <c r="B48" s="443">
        <v>1.0</v>
      </c>
      <c r="C48" s="444" t="s">
        <v>274</v>
      </c>
      <c r="D48" s="445" t="s">
        <v>10</v>
      </c>
      <c r="E48" s="445" t="s">
        <v>10</v>
      </c>
      <c r="F48" s="445" t="s">
        <v>63</v>
      </c>
      <c r="G48" s="446" t="str">
        <f>COUNTIFS(Reference!F:F,C48,Reference!G:G,"&lt;="&amp;VLOOKUP($F48,Summary!$N$25:$O$33,2,0))</f>
        <v>2</v>
      </c>
      <c r="H48" s="447">
        <v>0.0</v>
      </c>
      <c r="I48" s="448">
        <v>1.0</v>
      </c>
      <c r="J48" s="448">
        <v>1.0</v>
      </c>
      <c r="K48" s="449" t="s">
        <v>162</v>
      </c>
      <c r="L48" s="449"/>
      <c r="M48" s="449"/>
      <c r="N48" s="449"/>
      <c r="O48" s="450" t="s">
        <v>275</v>
      </c>
      <c r="P48" s="14"/>
      <c r="Q48" s="452" t="str">
        <f>MATCH($D48,Reference!$J$5:$J$9,0)</f>
        <v>1</v>
      </c>
      <c r="R48" s="452" t="str">
        <f>MATCH($E48,Reference!$J$26:$J$32,0)</f>
        <v>1</v>
      </c>
      <c r="S48" s="452" t="str">
        <f>MATCH($F48,Reference!$J$45:$J$54,0)</f>
        <v>2</v>
      </c>
      <c r="T48" s="453" t="str">
        <f>MATCH($K48,Reference!$J$37:$J$39,0)</f>
        <v>2</v>
      </c>
      <c r="U48" s="454" t="str">
        <f t="shared" si="95"/>
        <v>2</v>
      </c>
      <c r="V48" s="454" t="str">
        <f t="shared" si="3"/>
        <v>1</v>
      </c>
      <c r="W48" s="455">
        <v>0.0</v>
      </c>
      <c r="X48" s="454" t="str">
        <f t="shared" si="96"/>
        <v>2</v>
      </c>
      <c r="Y48" s="456" t="str">
        <f t="shared" si="5"/>
        <v>FALSE</v>
      </c>
      <c r="Z48" s="456" t="str">
        <f t="shared" si="6"/>
        <v>FALSE</v>
      </c>
      <c r="AA48" s="457" t="str">
        <f t="shared" ref="AA48:AB48" si="97">1-I48</f>
        <v>0%</v>
      </c>
      <c r="AB48" s="457" t="str">
        <f t="shared" si="97"/>
        <v>0%</v>
      </c>
      <c r="AC48" s="456" t="str">
        <f t="shared" si="8"/>
        <v>2</v>
      </c>
      <c r="AD48" s="458" t="str">
        <f t="shared" si="98"/>
        <v>0</v>
      </c>
      <c r="AE48" s="458" t="str">
        <f t="shared" si="10"/>
        <v>1</v>
      </c>
      <c r="AF48" s="459" t="str">
        <f t="shared" si="99"/>
        <v>0</v>
      </c>
      <c r="AG48" s="460"/>
      <c r="AH48" s="643" t="s">
        <v>10</v>
      </c>
      <c r="AI48" s="534" t="str">
        <f t="shared" ref="AI48:AJ48" si="100">SUM(AM48+AK48+AO48+AQ48+AS48+AU48)</f>
        <v>20</v>
      </c>
      <c r="AJ48" s="535" t="str">
        <f t="shared" si="100"/>
        <v>20</v>
      </c>
      <c r="AK48" s="449" t="str">
        <f>sumifs($U$2:$U700, $E$2:$E700, "Basic", $F$2:F700, "Druid")</f>
        <v>20</v>
      </c>
      <c r="AL48" s="535" t="str">
        <f>COUNTIFS($E$2:$E700, "Basic", $F$2:F700, "Druid" )*2</f>
        <v>20</v>
      </c>
      <c r="AM48" s="449"/>
      <c r="AN48" s="537"/>
      <c r="AO48" s="449"/>
      <c r="AP48" s="537"/>
      <c r="AQ48" s="449"/>
      <c r="AR48" s="537"/>
      <c r="AS48" s="449"/>
      <c r="AT48" s="537"/>
      <c r="AU48" s="449"/>
      <c r="AV48" s="537"/>
      <c r="AW48" s="449"/>
      <c r="AX48" s="537"/>
    </row>
    <row r="49">
      <c r="A49" s="442"/>
      <c r="B49" s="443">
        <v>1.0</v>
      </c>
      <c r="C49" s="444" t="s">
        <v>276</v>
      </c>
      <c r="D49" s="445" t="s">
        <v>10</v>
      </c>
      <c r="E49" s="445" t="s">
        <v>10</v>
      </c>
      <c r="F49" s="445" t="s">
        <v>63</v>
      </c>
      <c r="G49" s="446" t="str">
        <f>COUNTIFS(Reference!F:F,C49,Reference!G:G,"&lt;="&amp;VLOOKUP($F49,Summary!$N$25:$O$33,2,0))</f>
        <v>2</v>
      </c>
      <c r="H49" s="447">
        <v>2.0</v>
      </c>
      <c r="I49" s="448">
        <v>1.0</v>
      </c>
      <c r="J49" s="448">
        <v>1.0</v>
      </c>
      <c r="K49" s="449" t="s">
        <v>188</v>
      </c>
      <c r="L49" s="449" t="s">
        <v>238</v>
      </c>
      <c r="M49" s="449">
        <v>1.0</v>
      </c>
      <c r="N49" s="449">
        <v>1.0</v>
      </c>
      <c r="O49" s="450" t="s">
        <v>277</v>
      </c>
      <c r="P49" s="14"/>
      <c r="Q49" s="452" t="str">
        <f>MATCH($D49,Reference!$J$5:$J$9,0)</f>
        <v>1</v>
      </c>
      <c r="R49" s="452" t="str">
        <f>MATCH($E49,Reference!$J$26:$J$32,0)</f>
        <v>1</v>
      </c>
      <c r="S49" s="452" t="str">
        <f>MATCH($F49,Reference!$J$45:$J$54,0)</f>
        <v>2</v>
      </c>
      <c r="T49" s="453" t="str">
        <f>MATCH($K49,Reference!$J$37:$J$39,0)</f>
        <v>3</v>
      </c>
      <c r="U49" s="454" t="str">
        <f t="shared" si="95"/>
        <v>2</v>
      </c>
      <c r="V49" s="454" t="str">
        <f t="shared" si="3"/>
        <v>1</v>
      </c>
      <c r="W49" s="455">
        <v>0.0</v>
      </c>
      <c r="X49" s="454" t="str">
        <f t="shared" si="96"/>
        <v>2</v>
      </c>
      <c r="Y49" s="456" t="str">
        <f t="shared" si="5"/>
        <v>FALSE</v>
      </c>
      <c r="Z49" s="456" t="str">
        <f t="shared" si="6"/>
        <v>FALSE</v>
      </c>
      <c r="AA49" s="457" t="str">
        <f t="shared" ref="AA49:AB49" si="101">1-I49</f>
        <v>0%</v>
      </c>
      <c r="AB49" s="457" t="str">
        <f t="shared" si="101"/>
        <v>0%</v>
      </c>
      <c r="AC49" s="456" t="str">
        <f t="shared" si="8"/>
        <v>2</v>
      </c>
      <c r="AD49" s="458" t="str">
        <f t="shared" si="98"/>
        <v>2</v>
      </c>
      <c r="AE49" s="458" t="str">
        <f t="shared" si="10"/>
        <v>1</v>
      </c>
      <c r="AF49" s="459" t="str">
        <f t="shared" si="99"/>
        <v>0</v>
      </c>
      <c r="AG49" s="460"/>
      <c r="AH49" s="591" t="s">
        <v>15</v>
      </c>
      <c r="AI49" s="522" t="str">
        <f t="shared" ref="AI49:AJ49" si="102">SUM(AM49+AK49+AO49+AQ49+AS49+AU49)</f>
        <v>26</v>
      </c>
      <c r="AJ49" s="544" t="str">
        <f t="shared" si="102"/>
        <v>26</v>
      </c>
      <c r="AK49" s="499" t="str">
        <f>sumifs($U$2:$U700, $D$2:$D700, "Common", $E$2:$E700, "Classic", $F$2:F700, "Druid")</f>
        <v>12</v>
      </c>
      <c r="AL49" s="544" t="str">
        <f>COUNTIFS($D$2:$D700, "Common", $E$2:$E700, "Classic", $F$2:F700, "Druid" )*2</f>
        <v>12</v>
      </c>
      <c r="AM49" s="531" t="str">
        <f>sumifs($U$2:$U700, $D$2:$D700, "Common", $E$2:$E700, "Promo", $F$2:F700, "Druid")</f>
        <v>0</v>
      </c>
      <c r="AN49" s="647" t="str">
        <f>COUNTIFS($D$2:$D700, "Common", $E$2:$E700, "Promo", $F$2:F700, "Druid" )*2</f>
        <v>0</v>
      </c>
      <c r="AO49" s="499" t="str">
        <f>sumifs($U$2:$U700, $D$2:$D700, "Common", $E$2:$E700, "Naxx", $F$2:F700, "Druid")</f>
        <v>2</v>
      </c>
      <c r="AP49" s="544" t="str">
        <f>COUNTIFS($D$2:$D700, "Common", $E$2:$E700, "Naxx", $F$2:F700, "Druid" )*2</f>
        <v>2</v>
      </c>
      <c r="AQ49" s="499" t="str">
        <f>sumifs($U$2:$U700, $D$2:$D700, "Common", $E$2:$E700, "GvG", $F$2:F700, "Druid")</f>
        <v>4</v>
      </c>
      <c r="AR49" s="544" t="str">
        <f>COUNTIFS($D$2:$D700, "Common", $E$2:$E700, "GvG", $F$2:F700, "Druid" )*2</f>
        <v>4</v>
      </c>
      <c r="AS49" s="499" t="str">
        <f>sumifs($U$2:$U700, $D$2:$D700, "Common", $E$2:$E700, "Blackrock", $F$2:F700, "Druid")</f>
        <v>2</v>
      </c>
      <c r="AT49" s="544" t="str">
        <f>COUNTIFS($D$2:$D700, "Common", $E$2:$E700, "Blackrock", $F$2:F700, "Druid" )*2</f>
        <v>2</v>
      </c>
      <c r="AU49" s="499" t="str">
        <f>sumifs($U$2:$U700, $D$2:$D700, "Common", $E$2:$E700, "TGT", $F$2:F700, "Druid")</f>
        <v>6</v>
      </c>
      <c r="AV49" s="544" t="str">
        <f>COUNTIFS($D$2:$D700, "Common", $E$2:$E700, "TGT", $F$2:F700, "Druid" )*2</f>
        <v>6</v>
      </c>
      <c r="AW49" s="531">
        <v>0.0</v>
      </c>
      <c r="AX49" s="647">
        <v>0.0</v>
      </c>
    </row>
    <row r="50">
      <c r="A50" s="466"/>
      <c r="B50" s="467">
        <v>1.0</v>
      </c>
      <c r="C50" s="468" t="s">
        <v>278</v>
      </c>
      <c r="D50" s="445" t="s">
        <v>10</v>
      </c>
      <c r="E50" s="445" t="s">
        <v>10</v>
      </c>
      <c r="F50" s="445" t="s">
        <v>63</v>
      </c>
      <c r="G50" s="446" t="str">
        <f>COUNTIFS(Reference!F:F,C50,Reference!G:G,"&lt;="&amp;VLOOKUP($F50,Summary!$N$25:$O$33,2,0))</f>
        <v>2</v>
      </c>
      <c r="H50" s="447">
        <v>2.0</v>
      </c>
      <c r="I50" s="448">
        <v>1.0</v>
      </c>
      <c r="J50" s="448">
        <v>1.0</v>
      </c>
      <c r="K50" s="449" t="s">
        <v>162</v>
      </c>
      <c r="L50" s="449"/>
      <c r="M50" s="449"/>
      <c r="N50" s="449"/>
      <c r="O50" s="450" t="s">
        <v>279</v>
      </c>
      <c r="P50" s="14"/>
      <c r="Q50" s="452" t="str">
        <f>MATCH($D50,Reference!$J$5:$J$9,0)</f>
        <v>1</v>
      </c>
      <c r="R50" s="452" t="str">
        <f>MATCH($E50,Reference!$J$26:$J$32,0)</f>
        <v>1</v>
      </c>
      <c r="S50" s="452" t="str">
        <f>MATCH($F50,Reference!$J$45:$J$54,0)</f>
        <v>2</v>
      </c>
      <c r="T50" s="453" t="str">
        <f>MATCH($K50,Reference!$J$37:$J$39,0)</f>
        <v>2</v>
      </c>
      <c r="U50" s="454" t="str">
        <f t="shared" si="95"/>
        <v>2</v>
      </c>
      <c r="V50" s="454" t="str">
        <f t="shared" si="3"/>
        <v>1</v>
      </c>
      <c r="W50" s="455">
        <v>0.0</v>
      </c>
      <c r="X50" s="454" t="str">
        <f t="shared" si="96"/>
        <v>2</v>
      </c>
      <c r="Y50" s="456" t="str">
        <f t="shared" si="5"/>
        <v>FALSE</v>
      </c>
      <c r="Z50" s="456" t="str">
        <f t="shared" si="6"/>
        <v>FALSE</v>
      </c>
      <c r="AA50" s="457" t="str">
        <f t="shared" ref="AA50:AB50" si="103">1-I50</f>
        <v>0%</v>
      </c>
      <c r="AB50" s="457" t="str">
        <f t="shared" si="103"/>
        <v>0%</v>
      </c>
      <c r="AC50" s="456" t="str">
        <f t="shared" si="8"/>
        <v>2</v>
      </c>
      <c r="AD50" s="458" t="str">
        <f t="shared" si="98"/>
        <v>2</v>
      </c>
      <c r="AE50" s="458" t="str">
        <f t="shared" si="10"/>
        <v>1</v>
      </c>
      <c r="AF50" s="459" t="str">
        <f t="shared" si="99"/>
        <v>0</v>
      </c>
      <c r="AG50" s="460"/>
      <c r="AH50" s="592" t="s">
        <v>21</v>
      </c>
      <c r="AI50" s="557" t="str">
        <f t="shared" ref="AI50:AJ50" si="104">SUM(AM50+AK50+AO50+AQ50+AS50+AU50)</f>
        <v>23</v>
      </c>
      <c r="AJ50" s="558" t="str">
        <f t="shared" si="104"/>
        <v>24</v>
      </c>
      <c r="AK50" s="554" t="str">
        <f>sumifs($U$2:$U700, $D$2:$D700, "Rare", $E$2:$E700, "Classic", $F$2:F700, "Druid")</f>
        <v>10</v>
      </c>
      <c r="AL50" s="558" t="str">
        <f>COUNTIFS($D$2:$D700, "Rare", $E$2:$E700, "Classic", $F$2:F700, "Druid" )*2</f>
        <v>10</v>
      </c>
      <c r="AM50" s="657" t="str">
        <f>sumifs($U$2:$U700, $D$2:$D700, "Rare", $E$2:$E700, "Promo", $F$2:F700, "Druid")</f>
        <v>0</v>
      </c>
      <c r="AN50" s="658" t="str">
        <f>COUNTIFS($D$2:$D700, "Rare", $E$2:$E700, "Promo", $F$2:F700, "Druid" )*2</f>
        <v>0</v>
      </c>
      <c r="AO50" s="554" t="str">
        <f>sumifs($U$2:$U700, $D$2:$D700, "Rare", $E$2:$E700, "Naxx", $F$2:F700, "Druid")</f>
        <v>0</v>
      </c>
      <c r="AP50" s="558" t="str">
        <f>COUNTIFS($D$2:$D700, "Rare", $E$2:$E700, "Naxx", $F$2:F700, "Druid" )*2</f>
        <v>0</v>
      </c>
      <c r="AQ50" s="554" t="str">
        <f>sumifs($U$2:$U700, $D$2:$D700, "Rare", $E$2:$E700, "GvG", $F$2:F700, "Druid")</f>
        <v>5</v>
      </c>
      <c r="AR50" s="558" t="str">
        <f>COUNTIFS($D$2:$D700, "Rare", $E$2:$E700, "GvG", $F$2:F700, "Druid" )*2</f>
        <v>6</v>
      </c>
      <c r="AS50" s="554" t="str">
        <f>sumifs($U$2:$U700, $D$2:$D700, "Rare", $E$2:$E700, "Blackrock", $F$2:F700, "Druid")</f>
        <v>2</v>
      </c>
      <c r="AT50" s="558" t="str">
        <f>COUNTIFS($D$2:$D700, "Rare", $E$2:$E700, "Blackrock", $F$2:F700, "Druid" )*2</f>
        <v>2</v>
      </c>
      <c r="AU50" s="554" t="str">
        <f>sumifs($U$2:$U700, $D$2:$D700, "Rare", $E$2:$E700, "TGT", $F$2:F700, "Druid")</f>
        <v>6</v>
      </c>
      <c r="AV50" s="558" t="str">
        <f>COUNTIFS($D$2:$D700, "Rare", $E$2:$E700, "TGT", $F$2:F700, "Druid" )*2</f>
        <v>6</v>
      </c>
      <c r="AW50" s="657">
        <v>0.0</v>
      </c>
      <c r="AX50" s="658">
        <v>0.0</v>
      </c>
    </row>
    <row r="51">
      <c r="A51" s="466"/>
      <c r="B51" s="443">
        <v>3.0</v>
      </c>
      <c r="C51" s="444" t="s">
        <v>280</v>
      </c>
      <c r="D51" s="445" t="s">
        <v>10</v>
      </c>
      <c r="E51" s="445" t="s">
        <v>10</v>
      </c>
      <c r="F51" s="445" t="s">
        <v>63</v>
      </c>
      <c r="G51" s="446" t="str">
        <f>COUNTIFS(Reference!F:F,C51,Reference!G:G,"&lt;="&amp;VLOOKUP($F51,Summary!$N$25:$O$33,2,0))</f>
        <v>2</v>
      </c>
      <c r="H51" s="447">
        <v>0.0</v>
      </c>
      <c r="I51" s="448">
        <v>1.0</v>
      </c>
      <c r="J51" s="448">
        <v>1.0</v>
      </c>
      <c r="K51" s="449" t="s">
        <v>162</v>
      </c>
      <c r="L51" s="449"/>
      <c r="M51" s="449"/>
      <c r="N51" s="449"/>
      <c r="O51" s="450" t="s">
        <v>281</v>
      </c>
      <c r="P51" s="681"/>
      <c r="Q51" s="452" t="str">
        <f>MATCH($D51,Reference!$J$5:$J$9,0)</f>
        <v>1</v>
      </c>
      <c r="R51" s="452" t="str">
        <f>MATCH($E51,Reference!$J$26:$J$32,0)</f>
        <v>1</v>
      </c>
      <c r="S51" s="452" t="str">
        <f>MATCH($F51,Reference!$J$45:$J$54,0)</f>
        <v>2</v>
      </c>
      <c r="T51" s="453" t="str">
        <f>MATCH($K51,Reference!$J$37:$J$39,0)</f>
        <v>2</v>
      </c>
      <c r="U51" s="454" t="str">
        <f t="shared" si="95"/>
        <v>2</v>
      </c>
      <c r="V51" s="454" t="str">
        <f t="shared" si="3"/>
        <v>1</v>
      </c>
      <c r="W51" s="455">
        <v>0.0</v>
      </c>
      <c r="X51" s="454" t="str">
        <f t="shared" si="96"/>
        <v>2</v>
      </c>
      <c r="Y51" s="456" t="str">
        <f t="shared" si="5"/>
        <v>FALSE</v>
      </c>
      <c r="Z51" s="456" t="str">
        <f t="shared" si="6"/>
        <v>FALSE</v>
      </c>
      <c r="AA51" s="457" t="str">
        <f t="shared" ref="AA51:AB51" si="105">1-I51</f>
        <v>0%</v>
      </c>
      <c r="AB51" s="457" t="str">
        <f t="shared" si="105"/>
        <v>0%</v>
      </c>
      <c r="AC51" s="456" t="str">
        <f t="shared" si="8"/>
        <v>2</v>
      </c>
      <c r="AD51" s="458" t="str">
        <f t="shared" si="98"/>
        <v>0</v>
      </c>
      <c r="AE51" s="458" t="str">
        <f t="shared" si="10"/>
        <v>1</v>
      </c>
      <c r="AF51" s="459" t="str">
        <f t="shared" si="99"/>
        <v>0</v>
      </c>
      <c r="AG51" s="460"/>
      <c r="AH51" s="593" t="s">
        <v>22</v>
      </c>
      <c r="AI51" s="568" t="str">
        <f t="shared" ref="AI51:AJ51" si="106">SUM(AM51+AK51+AO51+AQ51+AS51+AU51)</f>
        <v>10</v>
      </c>
      <c r="AJ51" s="569" t="str">
        <f t="shared" si="106"/>
        <v>14</v>
      </c>
      <c r="AK51" s="641" t="str">
        <f>sumifs($U$2:$U700, $D$2:$D700, "Epic", $E$2:$E700, "Classic", $F$2:F700, "Druid")</f>
        <v>6</v>
      </c>
      <c r="AL51" s="569" t="str">
        <f>COUNTIFS($D$2:$D700, "Epic", $E$2:$E700, "Classic", $F$2:F700, "Druid" )*2</f>
        <v>6</v>
      </c>
      <c r="AM51" s="667" t="str">
        <f>sumifs($U$2:$U700, $D$2:$D700, "Epic", $E$2:$E700, "Promo", $F$2:F700, "Druid")</f>
        <v>0</v>
      </c>
      <c r="AN51" s="668" t="str">
        <f>COUNTIFS($D$2:$D700, "Epic", $E$2:$E700, "Promo", $F$2:F700, "Druid" )*2</f>
        <v>0</v>
      </c>
      <c r="AO51" s="641" t="str">
        <f>sumifs($U$2:$U700, $D$2:$D700, "Epic", $E$2:$E700, "Naxx", $F$2:F700, "Druid")</f>
        <v>0</v>
      </c>
      <c r="AP51" s="569" t="str">
        <f>COUNTIFS($D$2:$D700, "Epic", $E$2:$E700, "Naxx", $F$2:F700, "Druid" )*2</f>
        <v>0</v>
      </c>
      <c r="AQ51" s="641" t="str">
        <f>sumifs($U$2:$U700, $D$2:$D700, "Epic", $E$2:$E700, "GvG", $F$2:F700, "Druid")</f>
        <v>2</v>
      </c>
      <c r="AR51" s="569" t="str">
        <f>COUNTIFS($D$2:$D700, "Epic", $E$2:$E700, "GvG", $F$2:F700, "Druid" )*2</f>
        <v>4</v>
      </c>
      <c r="AS51" s="641" t="str">
        <f>sumifs($U$2:$U700, $D$2:$D700, "Epic", $E$2:$E700, "Blackrock", $F$2:F700, "Druid")</f>
        <v>0</v>
      </c>
      <c r="AT51" s="569" t="str">
        <f>COUNTIFS($D$2:$D700, "Epic", $E$2:$E700, "Blackrock", $F$2:F700, "Druid" )*2</f>
        <v>0</v>
      </c>
      <c r="AU51" s="641" t="str">
        <f>sumifs($U$2:$U700, $D$2:$D700, "Epic", $E$2:$E700, "TGT", $F$2:F700, "Druid")</f>
        <v>2</v>
      </c>
      <c r="AV51" s="569" t="str">
        <f>COUNTIFS($D$2:$D700, "Epic", $E$2:$E700, "TGT", $F$2:F700, "Druid" )*2</f>
        <v>4</v>
      </c>
      <c r="AW51" s="667">
        <v>0.0</v>
      </c>
      <c r="AX51" s="668">
        <v>0.0</v>
      </c>
    </row>
    <row r="52">
      <c r="A52" s="442"/>
      <c r="B52" s="443">
        <v>3.0</v>
      </c>
      <c r="C52" s="444" t="s">
        <v>282</v>
      </c>
      <c r="D52" s="445" t="s">
        <v>10</v>
      </c>
      <c r="E52" s="445" t="s">
        <v>10</v>
      </c>
      <c r="F52" s="445" t="s">
        <v>63</v>
      </c>
      <c r="G52" s="446" t="str">
        <f>COUNTIFS(Reference!F:F,C52,Reference!G:G,"&lt;="&amp;VLOOKUP($F52,Summary!$N$25:$O$33,2,0))</f>
        <v>2</v>
      </c>
      <c r="H52" s="447">
        <v>0.0</v>
      </c>
      <c r="I52" s="448">
        <v>1.0</v>
      </c>
      <c r="J52" s="448">
        <v>1.0</v>
      </c>
      <c r="K52" s="449" t="s">
        <v>162</v>
      </c>
      <c r="L52" s="449"/>
      <c r="M52" s="449"/>
      <c r="N52" s="449"/>
      <c r="O52" s="450" t="s">
        <v>283</v>
      </c>
      <c r="P52" s="14"/>
      <c r="Q52" s="452" t="str">
        <f>MATCH($D52,Reference!$J$5:$J$9,0)</f>
        <v>1</v>
      </c>
      <c r="R52" s="452" t="str">
        <f>MATCH($E52,Reference!$J$26:$J$32,0)</f>
        <v>1</v>
      </c>
      <c r="S52" s="452" t="str">
        <f>MATCH($F52,Reference!$J$45:$J$54,0)</f>
        <v>2</v>
      </c>
      <c r="T52" s="453" t="str">
        <f>MATCH($K52,Reference!$J$37:$J$39,0)</f>
        <v>2</v>
      </c>
      <c r="U52" s="454" t="str">
        <f t="shared" si="95"/>
        <v>2</v>
      </c>
      <c r="V52" s="454" t="str">
        <f t="shared" si="3"/>
        <v>1</v>
      </c>
      <c r="W52" s="455">
        <v>0.0</v>
      </c>
      <c r="X52" s="454" t="str">
        <f t="shared" si="96"/>
        <v>2</v>
      </c>
      <c r="Y52" s="456" t="str">
        <f t="shared" si="5"/>
        <v>FALSE</v>
      </c>
      <c r="Z52" s="456" t="str">
        <f t="shared" si="6"/>
        <v>FALSE</v>
      </c>
      <c r="AA52" s="457" t="str">
        <f t="shared" ref="AA52:AB52" si="107">1-I52</f>
        <v>0%</v>
      </c>
      <c r="AB52" s="457" t="str">
        <f t="shared" si="107"/>
        <v>0%</v>
      </c>
      <c r="AC52" s="456" t="str">
        <f t="shared" si="8"/>
        <v>2</v>
      </c>
      <c r="AD52" s="458" t="str">
        <f t="shared" si="98"/>
        <v>0</v>
      </c>
      <c r="AE52" s="458" t="str">
        <f t="shared" si="10"/>
        <v>1</v>
      </c>
      <c r="AF52" s="459" t="str">
        <f t="shared" si="99"/>
        <v>0</v>
      </c>
      <c r="AG52" s="460"/>
      <c r="AH52" s="583" t="s">
        <v>23</v>
      </c>
      <c r="AI52" s="584" t="str">
        <f t="shared" ref="AI52:AJ52" si="108">SUM(AM52+AK52+AO52+AQ52+AS52+AU52)</f>
        <v>1</v>
      </c>
      <c r="AJ52" s="585" t="str">
        <f t="shared" si="108"/>
        <v>3</v>
      </c>
      <c r="AK52" s="677" t="str">
        <f>sumifs($U$2:$U700, $D$2:$D700, "Legendary", $E$2:$E700, "Classic", $F$2:F700, "Druid")</f>
        <v>1</v>
      </c>
      <c r="AL52" s="678" t="str">
        <f>COUNTIFS($D$2:$D700, "Legendary", $E$2:$E700, "Classic", $F$2:F700, "Druid" )</f>
        <v>1</v>
      </c>
      <c r="AM52" s="679" t="str">
        <f>sumifs($U$2:$U700, $D$2:$D700, "Legendary", $E$2:$E700, "Promo", $F$2:F700, "Druid")</f>
        <v>0</v>
      </c>
      <c r="AN52" s="680" t="str">
        <f>COUNTIFS($D$2:$D700, "Legendary", $E$2:$E700, "Promo", $F$2:F700, "Druid" )</f>
        <v>0</v>
      </c>
      <c r="AO52" s="677" t="str">
        <f>sumifs($U$2:$U700, $D$2:$D700, "Legendary", $E$2:$E700, "Naxx", $F$2:F700, "Druid")</f>
        <v>0</v>
      </c>
      <c r="AP52" s="678" t="str">
        <f>COUNTIFS($D$2:$D700, "Legendary", $E$2:$E700, "Naxx", $F$2:F700, "Druid" )</f>
        <v>0</v>
      </c>
      <c r="AQ52" s="677" t="str">
        <f>sumifs($U$2:$U700, $D$2:$D700, "Legendary", $E$2:$E700, "GvG", $F$2:F700, "Druid")</f>
        <v>0</v>
      </c>
      <c r="AR52" s="678" t="str">
        <f>COUNTIFS($D$2:$D700, "Legendary", $E$2:$E700, "GvG", $F$2:F700, "Druid" )</f>
        <v>1</v>
      </c>
      <c r="AS52" s="677" t="str">
        <f>sumifs($U$2:$U700, $D$2:$D700, "Legendary", $E$2:$E700, "Blackrock", $F$2:F700, "Druid")</f>
        <v>0</v>
      </c>
      <c r="AT52" s="678" t="str">
        <f>COUNTIFS($D$2:$D700, "Legendary", $E$2:$E700, "Blackrock", $F$2:F700, "Druid" )</f>
        <v>0</v>
      </c>
      <c r="AU52" s="677" t="str">
        <f>sumifs($U$2:$U700, $D$2:$D700, "Legendary", $E$2:$E700, "TGT", $F$2:F700, "Druid")</f>
        <v>0</v>
      </c>
      <c r="AV52" s="678" t="str">
        <f>COUNTIFS($D$2:$D700, "Legendary", $E$2:$E700, "TGT", $F$2:F700, "Druid" )</f>
        <v>1</v>
      </c>
      <c r="AW52" s="679">
        <v>0.0</v>
      </c>
      <c r="AX52" s="680">
        <v>0.0</v>
      </c>
    </row>
    <row r="53">
      <c r="A53" s="463"/>
      <c r="B53" s="467">
        <v>4.0</v>
      </c>
      <c r="C53" s="468" t="s">
        <v>284</v>
      </c>
      <c r="D53" s="445" t="s">
        <v>10</v>
      </c>
      <c r="E53" s="445" t="s">
        <v>10</v>
      </c>
      <c r="F53" s="445" t="s">
        <v>63</v>
      </c>
      <c r="G53" s="446" t="str">
        <f>COUNTIFS(Reference!F:F,C53,Reference!G:G,"&lt;="&amp;VLOOKUP($F53,Summary!$N$25:$O$33,2,0))</f>
        <v>2</v>
      </c>
      <c r="H53" s="447">
        <v>0.0</v>
      </c>
      <c r="I53" s="448">
        <v>1.0</v>
      </c>
      <c r="J53" s="448">
        <v>1.0</v>
      </c>
      <c r="K53" s="449" t="s">
        <v>188</v>
      </c>
      <c r="L53" s="449"/>
      <c r="M53" s="449">
        <v>4.0</v>
      </c>
      <c r="N53" s="449">
        <v>3.0</v>
      </c>
      <c r="O53" s="450" t="s">
        <v>285</v>
      </c>
      <c r="P53" s="14"/>
      <c r="Q53" s="452" t="str">
        <f>MATCH($D53,Reference!$J$5:$J$9,0)</f>
        <v>1</v>
      </c>
      <c r="R53" s="452" t="str">
        <f>MATCH($E53,Reference!$J$26:$J$32,0)</f>
        <v>1</v>
      </c>
      <c r="S53" s="452" t="str">
        <f>MATCH($F53,Reference!$J$45:$J$54,0)</f>
        <v>2</v>
      </c>
      <c r="T53" s="453" t="str">
        <f>MATCH($K53,Reference!$J$37:$J$39,0)</f>
        <v>3</v>
      </c>
      <c r="U53" s="454" t="str">
        <f t="shared" si="95"/>
        <v>2</v>
      </c>
      <c r="V53" s="454" t="str">
        <f t="shared" si="3"/>
        <v>1</v>
      </c>
      <c r="W53" s="455">
        <v>0.0</v>
      </c>
      <c r="X53" s="454" t="str">
        <f t="shared" si="96"/>
        <v>2</v>
      </c>
      <c r="Y53" s="456" t="str">
        <f t="shared" si="5"/>
        <v>FALSE</v>
      </c>
      <c r="Z53" s="456" t="str">
        <f t="shared" si="6"/>
        <v>FALSE</v>
      </c>
      <c r="AA53" s="457" t="str">
        <f t="shared" ref="AA53:AB53" si="109">1-I53</f>
        <v>0%</v>
      </c>
      <c r="AB53" s="457" t="str">
        <f t="shared" si="109"/>
        <v>0%</v>
      </c>
      <c r="AC53" s="456" t="str">
        <f t="shared" si="8"/>
        <v>2</v>
      </c>
      <c r="AD53" s="458" t="str">
        <f t="shared" si="98"/>
        <v>0</v>
      </c>
      <c r="AE53" s="458" t="str">
        <f t="shared" si="10"/>
        <v>1</v>
      </c>
      <c r="AF53" s="459" t="str">
        <f t="shared" si="99"/>
        <v>0</v>
      </c>
      <c r="AG53" s="460"/>
      <c r="AH53" s="601" t="s">
        <v>24</v>
      </c>
      <c r="AI53" s="602"/>
      <c r="AJ53" s="603"/>
      <c r="AK53" s="602"/>
      <c r="AL53" s="603"/>
      <c r="AM53" s="602"/>
      <c r="AN53" s="603"/>
      <c r="AO53" s="602"/>
      <c r="AP53" s="603"/>
      <c r="AQ53" s="602"/>
      <c r="AR53" s="603"/>
      <c r="AS53" s="602"/>
      <c r="AT53" s="603"/>
      <c r="AU53" s="602"/>
      <c r="AV53" s="603"/>
      <c r="AW53" s="602"/>
      <c r="AX53" s="603"/>
    </row>
    <row r="54">
      <c r="A54" s="463"/>
      <c r="B54" s="467">
        <v>4.0</v>
      </c>
      <c r="C54" s="468" t="s">
        <v>286</v>
      </c>
      <c r="D54" s="445" t="s">
        <v>10</v>
      </c>
      <c r="E54" s="445" t="s">
        <v>10</v>
      </c>
      <c r="F54" s="445" t="s">
        <v>63</v>
      </c>
      <c r="G54" s="446" t="str">
        <f>COUNTIFS(Reference!F:F,C54,Reference!G:G,"&lt;="&amp;VLOOKUP($F54,Summary!$N$25:$O$33,2,0))</f>
        <v>2</v>
      </c>
      <c r="H54" s="447">
        <v>0.0</v>
      </c>
      <c r="I54" s="448">
        <v>1.0</v>
      </c>
      <c r="J54" s="448">
        <v>1.0</v>
      </c>
      <c r="K54" s="445" t="s">
        <v>162</v>
      </c>
      <c r="L54" s="445"/>
      <c r="M54" s="445"/>
      <c r="N54" s="446"/>
      <c r="O54" s="450" t="s">
        <v>287</v>
      </c>
      <c r="P54" s="14"/>
      <c r="Q54" s="452" t="str">
        <f>MATCH($D54,Reference!$J$5:$J$9,0)</f>
        <v>1</v>
      </c>
      <c r="R54" s="452" t="str">
        <f>MATCH($E54,Reference!$J$26:$J$32,0)</f>
        <v>1</v>
      </c>
      <c r="S54" s="452" t="str">
        <f>MATCH($F54,Reference!$J$45:$J$54,0)</f>
        <v>2</v>
      </c>
      <c r="T54" s="453" t="str">
        <f>MATCH($K54,Reference!$J$37:$J$39,0)</f>
        <v>2</v>
      </c>
      <c r="U54" s="454" t="str">
        <f t="shared" si="95"/>
        <v>2</v>
      </c>
      <c r="V54" s="454" t="str">
        <f t="shared" si="3"/>
        <v>1</v>
      </c>
      <c r="W54" s="455">
        <v>0.0</v>
      </c>
      <c r="X54" s="454" t="str">
        <f t="shared" si="96"/>
        <v>2</v>
      </c>
      <c r="Y54" s="456" t="str">
        <f t="shared" si="5"/>
        <v>FALSE</v>
      </c>
      <c r="Z54" s="456" t="str">
        <f t="shared" si="6"/>
        <v>FALSE</v>
      </c>
      <c r="AA54" s="457" t="str">
        <f t="shared" ref="AA54:AB54" si="110">1-I54</f>
        <v>0%</v>
      </c>
      <c r="AB54" s="457" t="str">
        <f t="shared" si="110"/>
        <v>0%</v>
      </c>
      <c r="AC54" s="456" t="str">
        <f t="shared" si="8"/>
        <v>2</v>
      </c>
      <c r="AD54" s="458" t="str">
        <f t="shared" si="98"/>
        <v>0</v>
      </c>
      <c r="AE54" s="458" t="str">
        <f t="shared" si="10"/>
        <v>1</v>
      </c>
      <c r="AF54" s="459" t="str">
        <f t="shared" si="99"/>
        <v>0</v>
      </c>
      <c r="AG54" s="460"/>
      <c r="AH54" s="604" t="s">
        <v>221</v>
      </c>
      <c r="AI54" s="605" t="str">
        <f t="shared" ref="AI54:AN54" si="111">SUM(AI42:AI46)</f>
        <v>43</v>
      </c>
      <c r="AJ54" s="606" t="str">
        <f t="shared" si="111"/>
        <v>45</v>
      </c>
      <c r="AK54" s="605" t="str">
        <f t="shared" si="111"/>
        <v>25</v>
      </c>
      <c r="AL54" s="606" t="str">
        <f t="shared" si="111"/>
        <v>25</v>
      </c>
      <c r="AM54" s="605" t="str">
        <f t="shared" si="111"/>
        <v>0</v>
      </c>
      <c r="AN54" s="606" t="str">
        <f t="shared" si="111"/>
        <v>0</v>
      </c>
      <c r="AO54" s="605" t="str">
        <f>sum(AO42:AO46)</f>
        <v>1</v>
      </c>
      <c r="AP54" s="606" t="str">
        <f>SUM(AP42:AP46)</f>
        <v>1</v>
      </c>
      <c r="AQ54" s="605" t="str">
        <f>sum(AQ42:AQ46)</f>
        <v>7</v>
      </c>
      <c r="AR54" s="606" t="str">
        <f>SUM(AR42:AR46)</f>
        <v>8</v>
      </c>
      <c r="AS54" s="605" t="str">
        <f t="shared" ref="AS54:AX54" si="112">sum(AS42:AS46)</f>
        <v>2</v>
      </c>
      <c r="AT54" s="606" t="str">
        <f t="shared" si="112"/>
        <v>2</v>
      </c>
      <c r="AU54" s="605" t="str">
        <f t="shared" si="112"/>
        <v>8</v>
      </c>
      <c r="AV54" s="606" t="str">
        <f t="shared" si="112"/>
        <v>9</v>
      </c>
      <c r="AW54" s="605" t="str">
        <f t="shared" si="112"/>
        <v>0</v>
      </c>
      <c r="AX54" s="606" t="str">
        <f t="shared" si="112"/>
        <v>0</v>
      </c>
    </row>
    <row r="55">
      <c r="A55" s="509"/>
      <c r="B55" s="467">
        <v>5.0</v>
      </c>
      <c r="C55" s="468" t="s">
        <v>288</v>
      </c>
      <c r="D55" s="445" t="s">
        <v>10</v>
      </c>
      <c r="E55" s="445" t="s">
        <v>10</v>
      </c>
      <c r="F55" s="445" t="s">
        <v>63</v>
      </c>
      <c r="G55" s="446" t="str">
        <f>COUNTIFS(Reference!F:F,C55,Reference!G:G,"&lt;="&amp;VLOOKUP($F55,Summary!$N$25:$O$33,2,0))</f>
        <v>2</v>
      </c>
      <c r="H55" s="447">
        <v>0.0</v>
      </c>
      <c r="I55" s="448">
        <v>1.0</v>
      </c>
      <c r="J55" s="448">
        <v>1.0</v>
      </c>
      <c r="K55" s="449" t="s">
        <v>188</v>
      </c>
      <c r="L55" s="449" t="s">
        <v>238</v>
      </c>
      <c r="M55" s="449">
        <v>3.0</v>
      </c>
      <c r="N55" s="449">
        <v>2.0</v>
      </c>
      <c r="O55" s="450" t="s">
        <v>289</v>
      </c>
      <c r="P55" s="5"/>
      <c r="Q55" s="452" t="str">
        <f>MATCH($D55,Reference!$J$5:$J$9,0)</f>
        <v>1</v>
      </c>
      <c r="R55" s="452" t="str">
        <f>MATCH($E55,Reference!$J$26:$J$32,0)</f>
        <v>1</v>
      </c>
      <c r="S55" s="452" t="str">
        <f>MATCH($F55,Reference!$J$45:$J$54,0)</f>
        <v>2</v>
      </c>
      <c r="T55" s="453" t="str">
        <f>MATCH($K55,Reference!$J$37:$J$39,0)</f>
        <v>3</v>
      </c>
      <c r="U55" s="454" t="str">
        <f t="shared" si="95"/>
        <v>2</v>
      </c>
      <c r="V55" s="454" t="str">
        <f t="shared" si="3"/>
        <v>1</v>
      </c>
      <c r="W55" s="455">
        <v>0.0</v>
      </c>
      <c r="X55" s="454" t="str">
        <f t="shared" si="96"/>
        <v>2</v>
      </c>
      <c r="Y55" s="456" t="str">
        <f t="shared" si="5"/>
        <v>FALSE</v>
      </c>
      <c r="Z55" s="456" t="str">
        <f t="shared" si="6"/>
        <v>FALSE</v>
      </c>
      <c r="AA55" s="457" t="str">
        <f t="shared" ref="AA55:AB55" si="113">1-I55</f>
        <v>0%</v>
      </c>
      <c r="AB55" s="457" t="str">
        <f t="shared" si="113"/>
        <v>0%</v>
      </c>
      <c r="AC55" s="456" t="str">
        <f t="shared" si="8"/>
        <v>2</v>
      </c>
      <c r="AD55" s="458" t="str">
        <f t="shared" si="98"/>
        <v>0</v>
      </c>
      <c r="AE55" s="458" t="str">
        <f t="shared" si="10"/>
        <v>1</v>
      </c>
      <c r="AF55" s="459" t="str">
        <f t="shared" si="99"/>
        <v>0</v>
      </c>
      <c r="AG55" s="460"/>
      <c r="AH55" s="615" t="s">
        <v>234</v>
      </c>
      <c r="AI55" s="616" t="str">
        <f t="shared" ref="AI55:AJ55" si="114">SUM(AI48:AI52)</f>
        <v>80</v>
      </c>
      <c r="AJ55" s="617" t="str">
        <f t="shared" si="114"/>
        <v>87</v>
      </c>
      <c r="AK55" s="616" t="str">
        <f>sum(AK48:AK52)</f>
        <v>49</v>
      </c>
      <c r="AL55" s="617" t="str">
        <f>SUM(AL48:AL52)</f>
        <v>49</v>
      </c>
      <c r="AM55" s="616" t="str">
        <f>sum(AM48:AM52)</f>
        <v>0</v>
      </c>
      <c r="AN55" s="617" t="str">
        <f>SUM(AN48:AN52)</f>
        <v>0</v>
      </c>
      <c r="AO55" s="616" t="str">
        <f>sum(AO48:AO52)</f>
        <v>2</v>
      </c>
      <c r="AP55" s="617" t="str">
        <f>SUM(AP48:AP52)</f>
        <v>2</v>
      </c>
      <c r="AQ55" s="616" t="str">
        <f>sum(AQ49:AQ52)</f>
        <v>11</v>
      </c>
      <c r="AR55" s="617" t="str">
        <f>SUM(AR48:AR52)</f>
        <v>15</v>
      </c>
      <c r="AS55" s="616" t="str">
        <f t="shared" ref="AS55:AX55" si="115">sum(AS48:AS52)</f>
        <v>4</v>
      </c>
      <c r="AT55" s="617" t="str">
        <f t="shared" si="115"/>
        <v>4</v>
      </c>
      <c r="AU55" s="616" t="str">
        <f t="shared" si="115"/>
        <v>14</v>
      </c>
      <c r="AV55" s="617" t="str">
        <f t="shared" si="115"/>
        <v>17</v>
      </c>
      <c r="AW55" s="616" t="str">
        <f t="shared" si="115"/>
        <v>0</v>
      </c>
      <c r="AX55" s="617" t="str">
        <f t="shared" si="115"/>
        <v>0</v>
      </c>
    </row>
    <row r="56">
      <c r="A56" s="466"/>
      <c r="B56" s="443">
        <v>5.0</v>
      </c>
      <c r="C56" s="444" t="s">
        <v>290</v>
      </c>
      <c r="D56" s="445" t="s">
        <v>10</v>
      </c>
      <c r="E56" s="445" t="s">
        <v>10</v>
      </c>
      <c r="F56" s="445" t="s">
        <v>63</v>
      </c>
      <c r="G56" s="446" t="str">
        <f>COUNTIFS(Reference!F:F,C56,Reference!G:G,"&lt;="&amp;VLOOKUP($F56,Summary!$N$25:$O$33,2,0))</f>
        <v>2</v>
      </c>
      <c r="H56" s="447">
        <v>0.0</v>
      </c>
      <c r="I56" s="448">
        <v>1.0</v>
      </c>
      <c r="J56" s="448">
        <v>1.0</v>
      </c>
      <c r="K56" s="449" t="s">
        <v>188</v>
      </c>
      <c r="L56" s="449" t="s">
        <v>238</v>
      </c>
      <c r="M56" s="449">
        <v>2.0</v>
      </c>
      <c r="N56" s="449">
        <v>5.0</v>
      </c>
      <c r="O56" s="450" t="s">
        <v>291</v>
      </c>
      <c r="P56" s="14"/>
      <c r="Q56" s="452" t="str">
        <f>MATCH($D56,Reference!$J$5:$J$9,0)</f>
        <v>1</v>
      </c>
      <c r="R56" s="452" t="str">
        <f>MATCH($E56,Reference!$J$26:$J$32,0)</f>
        <v>1</v>
      </c>
      <c r="S56" s="452" t="str">
        <f>MATCH($F56,Reference!$J$45:$J$54,0)</f>
        <v>2</v>
      </c>
      <c r="T56" s="453" t="str">
        <f>MATCH($K56,Reference!$J$37:$J$39,0)</f>
        <v>3</v>
      </c>
      <c r="U56" s="454" t="str">
        <f t="shared" si="95"/>
        <v>2</v>
      </c>
      <c r="V56" s="454" t="str">
        <f t="shared" si="3"/>
        <v>1</v>
      </c>
      <c r="W56" s="455">
        <v>0.0</v>
      </c>
      <c r="X56" s="454" t="str">
        <f t="shared" si="96"/>
        <v>2</v>
      </c>
      <c r="Y56" s="456" t="str">
        <f t="shared" si="5"/>
        <v>FALSE</v>
      </c>
      <c r="Z56" s="456" t="str">
        <f t="shared" si="6"/>
        <v>FALSE</v>
      </c>
      <c r="AA56" s="457" t="str">
        <f t="shared" ref="AA56:AB56" si="116">1-I56</f>
        <v>0%</v>
      </c>
      <c r="AB56" s="457" t="str">
        <f t="shared" si="116"/>
        <v>0%</v>
      </c>
      <c r="AC56" s="456" t="str">
        <f t="shared" si="8"/>
        <v>2</v>
      </c>
      <c r="AD56" s="458" t="str">
        <f t="shared" si="98"/>
        <v>0</v>
      </c>
      <c r="AE56" s="458" t="str">
        <f t="shared" si="10"/>
        <v>1</v>
      </c>
      <c r="AF56" s="459" t="str">
        <f t="shared" si="99"/>
        <v>0</v>
      </c>
      <c r="AG56" s="460"/>
      <c r="AH56" s="14"/>
      <c r="AI56" s="14"/>
      <c r="AJ56" s="14"/>
      <c r="AK56" s="14"/>
      <c r="AL56" s="14"/>
      <c r="AM56" s="14"/>
      <c r="AN56" s="14"/>
      <c r="AO56" s="14"/>
      <c r="AP56" s="14"/>
      <c r="AQ56" s="14"/>
      <c r="AR56" s="14"/>
      <c r="AS56" s="14"/>
      <c r="AT56" s="14"/>
    </row>
    <row r="57">
      <c r="A57" s="442"/>
      <c r="B57" s="466">
        <v>1.0</v>
      </c>
      <c r="C57" s="475" t="s">
        <v>292</v>
      </c>
      <c r="D57" s="476" t="s">
        <v>15</v>
      </c>
      <c r="E57" s="477" t="s">
        <v>36</v>
      </c>
      <c r="F57" s="476" t="s">
        <v>63</v>
      </c>
      <c r="G57" s="478">
        <v>2.0</v>
      </c>
      <c r="H57" s="478">
        <v>1.0</v>
      </c>
      <c r="I57" s="479">
        <v>1.0</v>
      </c>
      <c r="J57" s="479">
        <v>1.0</v>
      </c>
      <c r="K57" s="477" t="s">
        <v>188</v>
      </c>
      <c r="L57" s="477"/>
      <c r="M57" s="477">
        <v>2.0</v>
      </c>
      <c r="N57" s="477">
        <v>1.0</v>
      </c>
      <c r="O57" s="480" t="s">
        <v>293</v>
      </c>
      <c r="P57" s="14"/>
      <c r="Q57" s="452" t="str">
        <f>MATCH($D57,Reference!$J$5:$J$9,0)</f>
        <v>2</v>
      </c>
      <c r="R57" s="452" t="str">
        <f>MATCH($E57,Reference!$J$26:$J$32,0)</f>
        <v>7</v>
      </c>
      <c r="S57" s="452" t="str">
        <f>MATCH($F57,Reference!$J$45:$J$54,0)</f>
        <v>2</v>
      </c>
      <c r="T57" s="453" t="str">
        <f>MATCH($K57,Reference!$J$37:$J$39,0)</f>
        <v>3</v>
      </c>
      <c r="U57" s="454" t="str">
        <f t="shared" si="95"/>
        <v>2</v>
      </c>
      <c r="V57" s="454" t="str">
        <f t="shared" si="3"/>
        <v>1</v>
      </c>
      <c r="W57" s="454" t="str">
        <f t="shared" ref="W57:W69" si="118">(MIN(G57,2)+H57-U57)*50</f>
        <v>50</v>
      </c>
      <c r="X57" s="454" t="str">
        <f t="shared" si="96"/>
        <v>2</v>
      </c>
      <c r="Y57" s="456" t="str">
        <f t="shared" si="5"/>
        <v>FALSE</v>
      </c>
      <c r="Z57" s="456" t="str">
        <f t="shared" si="6"/>
        <v>FALSE</v>
      </c>
      <c r="AA57" s="457" t="str">
        <f t="shared" ref="AA57:AB57" si="117">1-I57</f>
        <v>0%</v>
      </c>
      <c r="AB57" s="457" t="str">
        <f t="shared" si="117"/>
        <v>0%</v>
      </c>
      <c r="AC57" s="456" t="str">
        <f t="shared" si="8"/>
        <v>2</v>
      </c>
      <c r="AD57" s="458" t="str">
        <f t="shared" si="98"/>
        <v>1</v>
      </c>
      <c r="AE57" s="458" t="str">
        <f t="shared" si="10"/>
        <v>1</v>
      </c>
      <c r="AF57" s="459" t="str">
        <f t="shared" ref="AF57:AF69" si="120">(MIN(H57,2)+G57-U57)*5</f>
        <v>5</v>
      </c>
      <c r="AG57" s="460"/>
    </row>
    <row r="58">
      <c r="A58" s="472"/>
      <c r="B58" s="682">
        <v>1.0</v>
      </c>
      <c r="C58" s="683" t="s">
        <v>294</v>
      </c>
      <c r="D58" s="684" t="s">
        <v>15</v>
      </c>
      <c r="E58" s="684" t="s">
        <v>41</v>
      </c>
      <c r="F58" s="685" t="s">
        <v>63</v>
      </c>
      <c r="G58" s="686" t="str">
        <f>IF(Summary!$Y$25&gt;=VLOOKUP(C58,Reference!$N$41:$O$70,2,0),2,0)</f>
        <v>2</v>
      </c>
      <c r="H58" s="686">
        <v>0.0</v>
      </c>
      <c r="I58" s="518">
        <v>1.0</v>
      </c>
      <c r="J58" s="518"/>
      <c r="K58" s="687" t="s">
        <v>188</v>
      </c>
      <c r="L58" s="687" t="s">
        <v>238</v>
      </c>
      <c r="M58" s="687">
        <v>1.0</v>
      </c>
      <c r="N58" s="687">
        <v>1.0</v>
      </c>
      <c r="O58" s="688" t="s">
        <v>295</v>
      </c>
      <c r="P58" s="14"/>
      <c r="Q58" s="452" t="str">
        <f>MATCH($D58,Reference!$J$5:$J$9,0)</f>
        <v>2</v>
      </c>
      <c r="R58" s="452" t="str">
        <f>MATCH($E58,Reference!$J$26:$J$32,0)</f>
        <v>4</v>
      </c>
      <c r="S58" s="452" t="str">
        <f>MATCH($F58,Reference!$J$45:$J$54,0)</f>
        <v>2</v>
      </c>
      <c r="T58" s="453" t="str">
        <f>MATCH($K58,Reference!$J$37:$J$39,0)</f>
        <v>3</v>
      </c>
      <c r="U58" s="454" t="str">
        <f t="shared" si="95"/>
        <v>2</v>
      </c>
      <c r="V58" s="454" t="str">
        <f t="shared" si="3"/>
        <v>1</v>
      </c>
      <c r="W58" s="454" t="str">
        <f t="shared" si="118"/>
        <v>0</v>
      </c>
      <c r="X58" s="454" t="str">
        <f t="shared" si="96"/>
        <v>2</v>
      </c>
      <c r="Y58" s="456" t="str">
        <f t="shared" si="5"/>
        <v>FALSE</v>
      </c>
      <c r="Z58" s="456" t="str">
        <f t="shared" si="6"/>
        <v>FALSE</v>
      </c>
      <c r="AA58" s="457" t="str">
        <f t="shared" ref="AA58:AB58" si="119">1-I58</f>
        <v>0%</v>
      </c>
      <c r="AB58" s="457" t="str">
        <f t="shared" si="119"/>
        <v>100%</v>
      </c>
      <c r="AC58" s="456" t="str">
        <f t="shared" si="8"/>
        <v>2</v>
      </c>
      <c r="AD58" s="458" t="str">
        <f t="shared" si="98"/>
        <v>0</v>
      </c>
      <c r="AE58" s="458" t="str">
        <f t="shared" si="10"/>
        <v>1</v>
      </c>
      <c r="AF58" s="459" t="str">
        <f t="shared" si="120"/>
        <v>0</v>
      </c>
      <c r="AG58" s="460"/>
      <c r="AH58" s="521" t="s">
        <v>63</v>
      </c>
      <c r="AI58" s="106"/>
      <c r="AJ58" s="106"/>
      <c r="AK58" s="106"/>
      <c r="AL58" s="106"/>
      <c r="AM58" s="106"/>
      <c r="AN58" s="106"/>
      <c r="AO58" s="106"/>
      <c r="AP58" s="106"/>
      <c r="AQ58" s="106"/>
      <c r="AR58" s="106"/>
      <c r="AS58" s="106"/>
      <c r="AT58" s="106"/>
      <c r="AU58" s="106"/>
      <c r="AV58" s="106"/>
      <c r="AW58" s="106"/>
      <c r="AX58" s="106"/>
    </row>
    <row r="59">
      <c r="A59" s="463"/>
      <c r="B59" s="466">
        <v>2.0</v>
      </c>
      <c r="C59" s="475" t="s">
        <v>296</v>
      </c>
      <c r="D59" s="476" t="s">
        <v>15</v>
      </c>
      <c r="E59" s="477" t="s">
        <v>36</v>
      </c>
      <c r="F59" s="476" t="s">
        <v>63</v>
      </c>
      <c r="G59" s="478">
        <v>2.0</v>
      </c>
      <c r="H59" s="478">
        <v>0.0</v>
      </c>
      <c r="I59" s="479">
        <v>1.0</v>
      </c>
      <c r="J59" s="479">
        <v>1.0</v>
      </c>
      <c r="K59" s="477" t="s">
        <v>162</v>
      </c>
      <c r="L59" s="477"/>
      <c r="M59" s="477"/>
      <c r="N59" s="477"/>
      <c r="O59" s="480" t="s">
        <v>297</v>
      </c>
      <c r="P59" s="14"/>
      <c r="Q59" s="452" t="str">
        <f>MATCH($D59,Reference!$J$5:$J$9,0)</f>
        <v>2</v>
      </c>
      <c r="R59" s="452" t="str">
        <f>MATCH($E59,Reference!$J$26:$J$32,0)</f>
        <v>7</v>
      </c>
      <c r="S59" s="452" t="str">
        <f>MATCH($F59,Reference!$J$45:$J$54,0)</f>
        <v>2</v>
      </c>
      <c r="T59" s="453" t="str">
        <f>MATCH($K59,Reference!$J$37:$J$39,0)</f>
        <v>2</v>
      </c>
      <c r="U59" s="454" t="str">
        <f t="shared" si="95"/>
        <v>2</v>
      </c>
      <c r="V59" s="454" t="str">
        <f t="shared" si="3"/>
        <v>1</v>
      </c>
      <c r="W59" s="454" t="str">
        <f t="shared" si="118"/>
        <v>0</v>
      </c>
      <c r="X59" s="454" t="str">
        <f t="shared" si="96"/>
        <v>2</v>
      </c>
      <c r="Y59" s="456" t="str">
        <f t="shared" si="5"/>
        <v>FALSE</v>
      </c>
      <c r="Z59" s="456" t="str">
        <f t="shared" si="6"/>
        <v>FALSE</v>
      </c>
      <c r="AA59" s="457" t="str">
        <f t="shared" ref="AA59:AB59" si="121">1-I59</f>
        <v>0%</v>
      </c>
      <c r="AB59" s="457" t="str">
        <f t="shared" si="121"/>
        <v>0%</v>
      </c>
      <c r="AC59" s="456" t="str">
        <f t="shared" si="8"/>
        <v>2</v>
      </c>
      <c r="AD59" s="458" t="str">
        <f t="shared" si="98"/>
        <v>0</v>
      </c>
      <c r="AE59" s="458" t="str">
        <f t="shared" si="10"/>
        <v>1</v>
      </c>
      <c r="AF59" s="459" t="str">
        <f t="shared" si="120"/>
        <v>0</v>
      </c>
      <c r="AG59" s="460"/>
      <c r="AH59" s="523" t="s">
        <v>141</v>
      </c>
      <c r="AI59" s="524" t="s">
        <v>24</v>
      </c>
      <c r="AJ59" s="106"/>
      <c r="AK59" s="524" t="s">
        <v>33</v>
      </c>
      <c r="AL59" s="106"/>
      <c r="AM59" s="524" t="s">
        <v>37</v>
      </c>
      <c r="AN59" s="106"/>
      <c r="AO59" s="524" t="s">
        <v>41</v>
      </c>
      <c r="AP59" s="106"/>
      <c r="AQ59" s="524" t="s">
        <v>35</v>
      </c>
      <c r="AR59" s="106"/>
      <c r="AS59" s="525" t="s">
        <v>217</v>
      </c>
      <c r="AT59" s="106"/>
      <c r="AU59" s="525" t="s">
        <v>36</v>
      </c>
      <c r="AV59" s="106"/>
      <c r="AW59" s="525" t="s">
        <v>218</v>
      </c>
      <c r="AX59" s="106"/>
    </row>
    <row r="60">
      <c r="A60" s="463"/>
      <c r="B60" s="509">
        <v>2.0</v>
      </c>
      <c r="C60" s="510" t="s">
        <v>298</v>
      </c>
      <c r="D60" s="511" t="s">
        <v>15</v>
      </c>
      <c r="E60" s="511" t="s">
        <v>33</v>
      </c>
      <c r="F60" s="512" t="s">
        <v>63</v>
      </c>
      <c r="G60" s="508">
        <v>2.0</v>
      </c>
      <c r="H60" s="485">
        <v>0.0</v>
      </c>
      <c r="I60" s="486">
        <v>1.0</v>
      </c>
      <c r="J60" s="486">
        <v>1.0</v>
      </c>
      <c r="K60" s="522" t="s">
        <v>162</v>
      </c>
      <c r="L60" s="522" t="s">
        <v>299</v>
      </c>
      <c r="M60" s="522"/>
      <c r="N60" s="522"/>
      <c r="O60" s="224" t="s">
        <v>300</v>
      </c>
      <c r="P60" s="14"/>
      <c r="Q60" s="452" t="str">
        <f>MATCH($D60,Reference!$J$5:$J$9,0)</f>
        <v>2</v>
      </c>
      <c r="R60" s="452" t="str">
        <f>MATCH($E60,Reference!$J$26:$J$32,0)</f>
        <v>2</v>
      </c>
      <c r="S60" s="452" t="str">
        <f>MATCH($F60,Reference!$J$45:$J$54,0)</f>
        <v>2</v>
      </c>
      <c r="T60" s="453" t="str">
        <f>MATCH($K60,Reference!$J$37:$J$39,0)</f>
        <v>2</v>
      </c>
      <c r="U60" s="454" t="str">
        <f t="shared" si="95"/>
        <v>2</v>
      </c>
      <c r="V60" s="454" t="str">
        <f t="shared" si="3"/>
        <v>1</v>
      </c>
      <c r="W60" s="454" t="str">
        <f t="shared" si="118"/>
        <v>0</v>
      </c>
      <c r="X60" s="454" t="str">
        <f t="shared" si="96"/>
        <v>2</v>
      </c>
      <c r="Y60" s="456" t="str">
        <f t="shared" si="5"/>
        <v>FALSE</v>
      </c>
      <c r="Z60" s="456" t="str">
        <f t="shared" si="6"/>
        <v>FALSE</v>
      </c>
      <c r="AA60" s="457" t="str">
        <f t="shared" ref="AA60:AB60" si="122">1-I60</f>
        <v>0%</v>
      </c>
      <c r="AB60" s="457" t="str">
        <f t="shared" si="122"/>
        <v>0%</v>
      </c>
      <c r="AC60" s="456" t="str">
        <f t="shared" si="8"/>
        <v>2</v>
      </c>
      <c r="AD60" s="458" t="str">
        <f t="shared" si="98"/>
        <v>0</v>
      </c>
      <c r="AE60" s="458" t="str">
        <f t="shared" si="10"/>
        <v>1</v>
      </c>
      <c r="AF60" s="459" t="str">
        <f t="shared" si="120"/>
        <v>0</v>
      </c>
      <c r="AG60" s="460"/>
      <c r="AH60" s="587" t="s">
        <v>221</v>
      </c>
      <c r="AI60" s="499"/>
      <c r="AJ60" s="588"/>
      <c r="AK60" s="499"/>
      <c r="AL60" s="588"/>
      <c r="AM60" s="499"/>
      <c r="AN60" s="588"/>
      <c r="AO60" s="499"/>
      <c r="AP60" s="588"/>
      <c r="AQ60" s="499"/>
      <c r="AR60" s="588"/>
      <c r="AS60" s="499"/>
      <c r="AT60" s="588"/>
      <c r="AU60" s="499"/>
      <c r="AV60" s="588"/>
      <c r="AW60" s="499"/>
      <c r="AX60" s="588"/>
    </row>
    <row r="61">
      <c r="A61" s="442"/>
      <c r="B61" s="509">
        <v>2.0</v>
      </c>
      <c r="C61" s="510" t="s">
        <v>301</v>
      </c>
      <c r="D61" s="511" t="s">
        <v>15</v>
      </c>
      <c r="E61" s="511" t="s">
        <v>33</v>
      </c>
      <c r="F61" s="512" t="s">
        <v>63</v>
      </c>
      <c r="G61" s="508">
        <v>2.0</v>
      </c>
      <c r="H61" s="485">
        <v>0.0</v>
      </c>
      <c r="I61" s="486">
        <v>1.0</v>
      </c>
      <c r="J61" s="486">
        <v>1.0</v>
      </c>
      <c r="K61" s="522" t="s">
        <v>162</v>
      </c>
      <c r="L61" s="522" t="s">
        <v>299</v>
      </c>
      <c r="M61" s="522"/>
      <c r="N61" s="522"/>
      <c r="O61" s="224" t="s">
        <v>302</v>
      </c>
      <c r="P61" s="14"/>
      <c r="Q61" s="452" t="str">
        <f>MATCH($D61,Reference!$J$5:$J$9,0)</f>
        <v>2</v>
      </c>
      <c r="R61" s="452" t="str">
        <f>MATCH($E61,Reference!$J$26:$J$32,0)</f>
        <v>2</v>
      </c>
      <c r="S61" s="452" t="str">
        <f>MATCH($F61,Reference!$J$45:$J$54,0)</f>
        <v>2</v>
      </c>
      <c r="T61" s="453" t="str">
        <f>MATCH($K61,Reference!$J$37:$J$39,0)</f>
        <v>2</v>
      </c>
      <c r="U61" s="454" t="str">
        <f t="shared" si="95"/>
        <v>2</v>
      </c>
      <c r="V61" s="454" t="str">
        <f t="shared" si="3"/>
        <v>1</v>
      </c>
      <c r="W61" s="454" t="str">
        <f t="shared" si="118"/>
        <v>0</v>
      </c>
      <c r="X61" s="454" t="str">
        <f t="shared" si="96"/>
        <v>2</v>
      </c>
      <c r="Y61" s="456" t="str">
        <f t="shared" si="5"/>
        <v>FALSE</v>
      </c>
      <c r="Z61" s="456" t="str">
        <f t="shared" si="6"/>
        <v>FALSE</v>
      </c>
      <c r="AA61" s="457" t="str">
        <f t="shared" ref="AA61:AB61" si="123">1-I61</f>
        <v>0%</v>
      </c>
      <c r="AB61" s="457" t="str">
        <f t="shared" si="123"/>
        <v>0%</v>
      </c>
      <c r="AC61" s="456" t="str">
        <f t="shared" si="8"/>
        <v>2</v>
      </c>
      <c r="AD61" s="458" t="str">
        <f t="shared" si="98"/>
        <v>0</v>
      </c>
      <c r="AE61" s="458" t="str">
        <f t="shared" si="10"/>
        <v>1</v>
      </c>
      <c r="AF61" s="459" t="str">
        <f t="shared" si="120"/>
        <v>0</v>
      </c>
      <c r="AG61" s="460"/>
      <c r="AH61" s="643" t="s">
        <v>10</v>
      </c>
      <c r="AI61" s="534" t="str">
        <f t="shared" ref="AI61:AJ61" si="124">SUM(AM61+AK61+AO61+AQ61+AS61+AU61)</f>
        <v>10</v>
      </c>
      <c r="AJ61" s="535" t="str">
        <f t="shared" si="124"/>
        <v>10</v>
      </c>
      <c r="AK61" s="449" t="str">
        <f>sumifs($V$2:$V700, $E$2:$E700, "Basic", $F$2:F700, "Hunter")</f>
        <v>10</v>
      </c>
      <c r="AL61" s="537" t="str">
        <f>COUNTIFS($E$2:$E700, "Basic", $E$2:$E700, "Basic", $F$2:F700, "Hunter" )</f>
        <v>10</v>
      </c>
      <c r="AM61" s="644"/>
      <c r="AN61" s="645"/>
      <c r="AO61" s="449"/>
      <c r="AP61" s="537"/>
      <c r="AQ61" s="449"/>
      <c r="AR61" s="537"/>
      <c r="AS61" s="449"/>
      <c r="AT61" s="537"/>
      <c r="AU61" s="449"/>
      <c r="AV61" s="537"/>
      <c r="AW61" s="449"/>
      <c r="AX61" s="537"/>
    </row>
    <row r="62">
      <c r="A62" s="442"/>
      <c r="B62" s="472">
        <v>2.0</v>
      </c>
      <c r="C62" s="489" t="s">
        <v>303</v>
      </c>
      <c r="D62" s="490" t="s">
        <v>15</v>
      </c>
      <c r="E62" s="490" t="s">
        <v>35</v>
      </c>
      <c r="F62" s="491" t="s">
        <v>63</v>
      </c>
      <c r="G62" s="492">
        <v>2.0</v>
      </c>
      <c r="H62" s="492">
        <v>0.0</v>
      </c>
      <c r="I62" s="494">
        <v>1.0</v>
      </c>
      <c r="J62" s="494">
        <v>1.0</v>
      </c>
      <c r="K62" s="495" t="s">
        <v>304</v>
      </c>
      <c r="L62" s="495"/>
      <c r="M62" s="495">
        <v>2.0</v>
      </c>
      <c r="N62" s="495">
        <v>2.0</v>
      </c>
      <c r="O62" s="496" t="s">
        <v>305</v>
      </c>
      <c r="P62" s="14"/>
      <c r="Q62" s="452" t="str">
        <f>MATCH($D62,Reference!$J$5:$J$9,0)</f>
        <v>2</v>
      </c>
      <c r="R62" s="452" t="str">
        <f>MATCH($E62,Reference!$J$26:$J$32,0)</f>
        <v>5</v>
      </c>
      <c r="S62" s="452" t="str">
        <f>MATCH($F62,Reference!$J$45:$J$54,0)</f>
        <v>2</v>
      </c>
      <c r="T62" s="453" t="str">
        <f>MATCH($K62,Reference!$J$37:$J$39,0)</f>
        <v>1</v>
      </c>
      <c r="U62" s="454" t="str">
        <f t="shared" si="95"/>
        <v>2</v>
      </c>
      <c r="V62" s="454" t="str">
        <f t="shared" si="3"/>
        <v>1</v>
      </c>
      <c r="W62" s="454" t="str">
        <f t="shared" si="118"/>
        <v>0</v>
      </c>
      <c r="X62" s="454" t="str">
        <f t="shared" si="96"/>
        <v>2</v>
      </c>
      <c r="Y62" s="456" t="str">
        <f t="shared" si="5"/>
        <v>FALSE</v>
      </c>
      <c r="Z62" s="456" t="str">
        <f t="shared" si="6"/>
        <v>FALSE</v>
      </c>
      <c r="AA62" s="457" t="str">
        <f t="shared" ref="AA62:AB62" si="125">1-I62</f>
        <v>0%</v>
      </c>
      <c r="AB62" s="457" t="str">
        <f t="shared" si="125"/>
        <v>0%</v>
      </c>
      <c r="AC62" s="456" t="str">
        <f t="shared" si="8"/>
        <v>2</v>
      </c>
      <c r="AD62" s="458" t="str">
        <f t="shared" si="98"/>
        <v>0</v>
      </c>
      <c r="AE62" s="458" t="str">
        <f t="shared" si="10"/>
        <v>1</v>
      </c>
      <c r="AF62" s="459" t="str">
        <f t="shared" si="120"/>
        <v>0</v>
      </c>
      <c r="AG62" s="460"/>
      <c r="AH62" s="405" t="s">
        <v>15</v>
      </c>
      <c r="AI62" s="522" t="str">
        <f t="shared" ref="AI62:AJ62" si="126">SUM(AM62+AK62+AO62+AQ62+AS62+AU62)</f>
        <v>13</v>
      </c>
      <c r="AJ62" s="544" t="str">
        <f t="shared" si="126"/>
        <v>13</v>
      </c>
      <c r="AK62" s="499" t="str">
        <f>sumifs($V$2:$V700, $D$2:$D700, "Common", $E$2:$E700, "Classic", $F$2:F700, "Hunter")</f>
        <v>6</v>
      </c>
      <c r="AL62" s="588" t="str">
        <f>COUNTIFS($D$2:$D700, "Common", $E$2:$E700, "Classic", $F$2:F700, "Hunter" )</f>
        <v>6</v>
      </c>
      <c r="AM62" s="531" t="str">
        <f>sumifs($V$2:$V700, $D$2:$D700, "Common", $E$2:$E700, "Promo", $F$2:F700, "Hunter")</f>
        <v>0</v>
      </c>
      <c r="AN62" s="647" t="str">
        <f>COUNTIFS($D$2:$D700, "Common", $E$2:$E700, "Promo", $F$2:F700, "Hunter" )</f>
        <v>0</v>
      </c>
      <c r="AO62" s="499" t="str">
        <f>sumifs($V$2:$V700, $D$2:$D700, "Common", $E$2:$E700, "Naxx", $F$2:F700, "Hunter")</f>
        <v>1</v>
      </c>
      <c r="AP62" s="588" t="str">
        <f>COUNTIFS($D$2:$D700, "Common", $E$2:$E700, "Naxx", $F$2:F700, "Hunter" )</f>
        <v>1</v>
      </c>
      <c r="AQ62" s="499" t="str">
        <f>sumifs($V$2:$V700, $D$2:$D700, "Common", $E$2:$E700, "GvG", $F$2:F700, "Hunter")</f>
        <v>2</v>
      </c>
      <c r="AR62" s="588" t="str">
        <f>COUNTIFS($D$2:$D700, "Common", $E$2:$E700, "GvG", $F$2:F700, "Hunter" )</f>
        <v>2</v>
      </c>
      <c r="AS62" s="499" t="str">
        <f>sumifs($V$2:$V700, $D$2:$D700, "Common", $E$2:$E700, "Blackrock", $F$2:F700, "Hunter")</f>
        <v>1</v>
      </c>
      <c r="AT62" s="588" t="str">
        <f>COUNTIFS($D$2:$D700, "Common", $E$2:$E700, "Blackrock", $F$2:F700, "Hunter" )</f>
        <v>1</v>
      </c>
      <c r="AU62" s="499" t="str">
        <f>sumifs($V$2:$V700, $D$2:$D700, "Common", $E$2:$E700, "TGT", $F$2:F700, "Hunter")</f>
        <v>3</v>
      </c>
      <c r="AV62" s="588" t="str">
        <f>COUNTIFS($D$2:$D700, "Common", $E$2:$E700, "TGT", $F$2:F700, "Hunter" )</f>
        <v>3</v>
      </c>
      <c r="AW62" s="531">
        <v>0.0</v>
      </c>
      <c r="AX62" s="647">
        <v>0.0</v>
      </c>
    </row>
    <row r="63">
      <c r="A63" s="463"/>
      <c r="B63" s="466">
        <v>2.0</v>
      </c>
      <c r="C63" s="475" t="s">
        <v>306</v>
      </c>
      <c r="D63" s="476" t="s">
        <v>15</v>
      </c>
      <c r="E63" s="477" t="s">
        <v>36</v>
      </c>
      <c r="F63" s="476" t="s">
        <v>63</v>
      </c>
      <c r="G63" s="478">
        <v>2.0</v>
      </c>
      <c r="H63" s="478">
        <v>0.0</v>
      </c>
      <c r="I63" s="479">
        <v>1.0</v>
      </c>
      <c r="J63" s="479">
        <v>1.0</v>
      </c>
      <c r="K63" s="477" t="s">
        <v>188</v>
      </c>
      <c r="L63" s="477" t="s">
        <v>238</v>
      </c>
      <c r="M63" s="477">
        <v>3.0</v>
      </c>
      <c r="N63" s="477">
        <v>2.0</v>
      </c>
      <c r="O63" s="480" t="s">
        <v>307</v>
      </c>
      <c r="P63" s="14"/>
      <c r="Q63" s="452" t="str">
        <f>MATCH($D63,Reference!$J$5:$J$9,0)</f>
        <v>2</v>
      </c>
      <c r="R63" s="452" t="str">
        <f>MATCH($E63,Reference!$J$26:$J$32,0)</f>
        <v>7</v>
      </c>
      <c r="S63" s="452" t="str">
        <f>MATCH($F63,Reference!$J$45:$J$54,0)</f>
        <v>2</v>
      </c>
      <c r="T63" s="453" t="str">
        <f>MATCH($K63,Reference!$J$37:$J$39,0)</f>
        <v>3</v>
      </c>
      <c r="U63" s="454" t="str">
        <f t="shared" si="95"/>
        <v>2</v>
      </c>
      <c r="V63" s="454" t="str">
        <f t="shared" si="3"/>
        <v>1</v>
      </c>
      <c r="W63" s="454" t="str">
        <f t="shared" si="118"/>
        <v>0</v>
      </c>
      <c r="X63" s="454" t="str">
        <f t="shared" si="96"/>
        <v>2</v>
      </c>
      <c r="Y63" s="456" t="str">
        <f t="shared" si="5"/>
        <v>FALSE</v>
      </c>
      <c r="Z63" s="456" t="str">
        <f t="shared" si="6"/>
        <v>FALSE</v>
      </c>
      <c r="AA63" s="457" t="str">
        <f t="shared" ref="AA63:AB63" si="127">1-I63</f>
        <v>0%</v>
      </c>
      <c r="AB63" s="457" t="str">
        <f t="shared" si="127"/>
        <v>0%</v>
      </c>
      <c r="AC63" s="456" t="str">
        <f t="shared" si="8"/>
        <v>2</v>
      </c>
      <c r="AD63" s="458" t="str">
        <f t="shared" si="98"/>
        <v>0</v>
      </c>
      <c r="AE63" s="458" t="str">
        <f t="shared" si="10"/>
        <v>1</v>
      </c>
      <c r="AF63" s="459" t="str">
        <f t="shared" si="120"/>
        <v>0</v>
      </c>
      <c r="AG63" s="460"/>
      <c r="AH63" s="556" t="s">
        <v>21</v>
      </c>
      <c r="AI63" s="557" t="str">
        <f>SUM(AM64+AK63+AO63+AQ63+AS63+AU63)</f>
        <v>12</v>
      </c>
      <c r="AJ63" s="558" t="str">
        <f>SUM(AN63+AL63+AP63+AR63+AT63+AV63)</f>
        <v>12</v>
      </c>
      <c r="AK63" s="554" t="str">
        <f>sumifs($V$2:$V700, $D$2:$D700, "Rare", $E$2:$E700, "Classic", $F$2:F700, "Hunter")</f>
        <v>5</v>
      </c>
      <c r="AL63" s="656" t="str">
        <f>COUNTIFS($D$2:$D700, "Rare", $E$2:$E700, "Classic", $F$2:F700, "Hunter" )</f>
        <v>5</v>
      </c>
      <c r="AM63" s="657" t="str">
        <f>sumifs($V$2:$V700, $D$2:$D700, "Rare", $E$2:$E700, "Promo", $F$2:F700, "Hunter")</f>
        <v>0</v>
      </c>
      <c r="AN63" s="658" t="str">
        <f>COUNTIFS($D$2:$D700, "Rare", $E$2:$E700, "Promo", $F$2:F700, "Hunter" )</f>
        <v>0</v>
      </c>
      <c r="AO63" s="554" t="str">
        <f>sumifs($V$2:$V700, $D$2:$D700, "Rare", $E$2:$E700, "Naxx", $F$2:F700, "Hunter")</f>
        <v>0</v>
      </c>
      <c r="AP63" s="656" t="str">
        <f>COUNTIFS($D$2:$D700, "Rare", $E$2:$E700, "Naxx", $F$2:F700, "Hunter" )</f>
        <v>0</v>
      </c>
      <c r="AQ63" s="554" t="str">
        <f>sumifs($V$2:$V700, $D$2:$D700, "Rare", $E$2:$E700, "GvG", $F$2:F700, "Hunter")</f>
        <v>3</v>
      </c>
      <c r="AR63" s="656" t="str">
        <f>COUNTIFS($D$2:$D700, "Rare", $E$2:$E700, "GvG", $F$2:F700, "Hunter" )</f>
        <v>3</v>
      </c>
      <c r="AS63" s="554" t="str">
        <f>sumifs($V$2:$V700, $D$2:$D700, "Rare", $E$2:$E700, "Blackrock", $F$2:F700, "Hunter")</f>
        <v>1</v>
      </c>
      <c r="AT63" s="656" t="str">
        <f>COUNTIFS($D$2:$D700, "Rare", $E$2:$E700, "Blackrock", $F$2:F700, "Hunter" )</f>
        <v>1</v>
      </c>
      <c r="AU63" s="554" t="str">
        <f>sumifs($V$2:$V700, $D$2:$D700, "Rare", $E$2:$E700, "TGT", $F$2:F700, "Hunter")</f>
        <v>3</v>
      </c>
      <c r="AV63" s="656" t="str">
        <f>COUNTIFS($D$2:$D700, "Rare", $E$2:$E700, "TGT", $F$2:F700, "Hunter" )</f>
        <v>3</v>
      </c>
      <c r="AW63" s="657">
        <v>0.0</v>
      </c>
      <c r="AX63" s="658">
        <v>0.0</v>
      </c>
    </row>
    <row r="64">
      <c r="A64" s="463"/>
      <c r="B64" s="469">
        <v>2.0</v>
      </c>
      <c r="C64" s="501" t="s">
        <v>308</v>
      </c>
      <c r="D64" s="502" t="s">
        <v>15</v>
      </c>
      <c r="E64" s="502" t="s">
        <v>47</v>
      </c>
      <c r="F64" s="503" t="s">
        <v>63</v>
      </c>
      <c r="G64" s="504" t="str">
        <f>IF(Summary!$Y$27&gt;=VLOOKUP(C64,Reference!$N$6:$O$36,2,0),2,0)</f>
        <v>2</v>
      </c>
      <c r="H64" s="504">
        <v>0.0</v>
      </c>
      <c r="I64" s="505">
        <v>1.0</v>
      </c>
      <c r="J64" s="505"/>
      <c r="K64" s="506" t="s">
        <v>162</v>
      </c>
      <c r="L64" s="506"/>
      <c r="M64" s="506"/>
      <c r="N64" s="506"/>
      <c r="O64" s="507" t="s">
        <v>309</v>
      </c>
      <c r="P64" s="14"/>
      <c r="Q64" s="452" t="str">
        <f>MATCH($D64,Reference!$J$5:$J$9,0)</f>
        <v>2</v>
      </c>
      <c r="R64" s="452" t="str">
        <f>MATCH($E64,Reference!$J$26:$J$32,0)</f>
        <v>6</v>
      </c>
      <c r="S64" s="452" t="str">
        <f>MATCH($F64,Reference!$J$45:$J$54,0)</f>
        <v>2</v>
      </c>
      <c r="T64" s="453" t="str">
        <f>MATCH($K64,Reference!$J$37:$J$39,0)</f>
        <v>2</v>
      </c>
      <c r="U64" s="454" t="str">
        <f t="shared" si="95"/>
        <v>2</v>
      </c>
      <c r="V64" s="454" t="str">
        <f t="shared" si="3"/>
        <v>1</v>
      </c>
      <c r="W64" s="454" t="str">
        <f t="shared" si="118"/>
        <v>0</v>
      </c>
      <c r="X64" s="454" t="str">
        <f t="shared" si="96"/>
        <v>2</v>
      </c>
      <c r="Y64" s="456" t="str">
        <f t="shared" si="5"/>
        <v>FALSE</v>
      </c>
      <c r="Z64" s="456" t="str">
        <f t="shared" si="6"/>
        <v>FALSE</v>
      </c>
      <c r="AA64" s="457" t="str">
        <f t="shared" ref="AA64:AB64" si="128">1-I64</f>
        <v>0%</v>
      </c>
      <c r="AB64" s="457" t="str">
        <f t="shared" si="128"/>
        <v>100%</v>
      </c>
      <c r="AC64" s="456" t="str">
        <f t="shared" si="8"/>
        <v>2</v>
      </c>
      <c r="AD64" s="458" t="str">
        <f t="shared" si="98"/>
        <v>0</v>
      </c>
      <c r="AE64" s="458" t="str">
        <f t="shared" si="10"/>
        <v>1</v>
      </c>
      <c r="AF64" s="459" t="str">
        <f t="shared" si="120"/>
        <v>0</v>
      </c>
      <c r="AG64" s="460"/>
      <c r="AH64" s="567" t="s">
        <v>22</v>
      </c>
      <c r="AI64" s="568" t="str">
        <f t="shared" ref="AI64:AJ64" si="129">SUM(AM64+AK64+AO64+AQ64+AS64+AU64)</f>
        <v>5</v>
      </c>
      <c r="AJ64" s="569" t="str">
        <f t="shared" si="129"/>
        <v>7</v>
      </c>
      <c r="AK64" s="641" t="str">
        <f>sumifs($V$2:$V700, $D$2:$D700, "Epic", $E$2:$E700, "Classic", $F$2:F700, "Hunter")</f>
        <v>1</v>
      </c>
      <c r="AL64" s="666" t="str">
        <f>COUNTIFS($D$2:$D700, "Epic", $E$2:$E700, "Classic", $F$2:F700, "Hunter" )</f>
        <v>3</v>
      </c>
      <c r="AM64" s="667" t="str">
        <f>sumifs($V$2:$V700, $D$2:$D700, "Epic", $E$2:$E700, "Promo", $F$2:F700, "Hunter")</f>
        <v>0</v>
      </c>
      <c r="AN64" s="668" t="str">
        <f>COUNTIFS($D$2:$D700, "Epic", $E$2:$E700, "Promo", $F$2:F700, "Hunter" )</f>
        <v>0</v>
      </c>
      <c r="AO64" s="641" t="str">
        <f>sumifs($V$2:$V700, $D$2:$D700, "Epic", $E$2:$E700, "Naxx", $F$2:F700, "Hunter")</f>
        <v>0</v>
      </c>
      <c r="AP64" s="666" t="str">
        <f>COUNTIFS($D$2:$D700, "Epic", $E$2:$E700, "Naxx", $F$2:F700, "Hunter" )</f>
        <v>0</v>
      </c>
      <c r="AQ64" s="641" t="str">
        <f>sumifs($V$2:$V700, $D$2:$D700, "Epic", $E$2:$E700, "GvG", $F$2:F700, "Hunter")</f>
        <v>2</v>
      </c>
      <c r="AR64" s="666" t="str">
        <f>COUNTIFS($D$2:$D700, "Epic", $E$2:$E700, "GvG", $F$2:F700, "Hunter" )</f>
        <v>2</v>
      </c>
      <c r="AS64" s="641" t="str">
        <f>sumifs($V$2:$V700, $D$2:$D700, "Epic", $E$2:$E700, "Blackrock", $F$2:F700, "Hunter")</f>
        <v>0</v>
      </c>
      <c r="AT64" s="666" t="str">
        <f>COUNTIFS($D$2:$D700, "Epic", $E$2:$E700, "Blackrock", $F$2:F700, "Hunter" )</f>
        <v>0</v>
      </c>
      <c r="AU64" s="641" t="str">
        <f>sumifs($V$2:$V700, $D$2:$D700, "Epic", $E$2:$E700, "TGT", $F$2:F700, "Hunter")</f>
        <v>2</v>
      </c>
      <c r="AV64" s="666" t="str">
        <f>COUNTIFS($D$2:$D700, "Epic", $E$2:$E700, "TGT", $F$2:F700, "Hunter" )</f>
        <v>2</v>
      </c>
      <c r="AW64" s="667">
        <v>0.0</v>
      </c>
      <c r="AX64" s="668">
        <v>0.0</v>
      </c>
    </row>
    <row r="65">
      <c r="A65" s="442"/>
      <c r="B65" s="442">
        <v>2.0</v>
      </c>
      <c r="C65" s="482" t="s">
        <v>310</v>
      </c>
      <c r="D65" s="483" t="s">
        <v>15</v>
      </c>
      <c r="E65" s="483" t="s">
        <v>33</v>
      </c>
      <c r="F65" s="484" t="s">
        <v>63</v>
      </c>
      <c r="G65" s="471">
        <v>2.0</v>
      </c>
      <c r="H65" s="485">
        <v>0.0</v>
      </c>
      <c r="I65" s="486">
        <v>1.0</v>
      </c>
      <c r="J65" s="486">
        <v>1.0</v>
      </c>
      <c r="K65" s="499" t="s">
        <v>188</v>
      </c>
      <c r="L65" s="499" t="s">
        <v>238</v>
      </c>
      <c r="M65" s="499">
        <v>2.0</v>
      </c>
      <c r="N65" s="499">
        <v>2.0</v>
      </c>
      <c r="O65" s="223" t="s">
        <v>311</v>
      </c>
      <c r="P65" s="14"/>
      <c r="Q65" s="452" t="str">
        <f>MATCH($D65,Reference!$J$5:$J$9,0)</f>
        <v>2</v>
      </c>
      <c r="R65" s="452" t="str">
        <f>MATCH($E65,Reference!$J$26:$J$32,0)</f>
        <v>2</v>
      </c>
      <c r="S65" s="452" t="str">
        <f>MATCH($F65,Reference!$J$45:$J$54,0)</f>
        <v>2</v>
      </c>
      <c r="T65" s="453" t="str">
        <f>MATCH($K65,Reference!$J$37:$J$39,0)</f>
        <v>3</v>
      </c>
      <c r="U65" s="454" t="str">
        <f t="shared" si="95"/>
        <v>2</v>
      </c>
      <c r="V65" s="454" t="str">
        <f t="shared" si="3"/>
        <v>1</v>
      </c>
      <c r="W65" s="454" t="str">
        <f t="shared" si="118"/>
        <v>0</v>
      </c>
      <c r="X65" s="454" t="str">
        <f t="shared" si="96"/>
        <v>2</v>
      </c>
      <c r="Y65" s="456" t="str">
        <f t="shared" si="5"/>
        <v>FALSE</v>
      </c>
      <c r="Z65" s="456" t="str">
        <f t="shared" si="6"/>
        <v>FALSE</v>
      </c>
      <c r="AA65" s="457" t="str">
        <f t="shared" ref="AA65:AB65" si="130">1-I65</f>
        <v>0%</v>
      </c>
      <c r="AB65" s="457" t="str">
        <f t="shared" si="130"/>
        <v>0%</v>
      </c>
      <c r="AC65" s="456" t="str">
        <f t="shared" si="8"/>
        <v>2</v>
      </c>
      <c r="AD65" s="458" t="str">
        <f t="shared" si="98"/>
        <v>0</v>
      </c>
      <c r="AE65" s="458" t="str">
        <f t="shared" si="10"/>
        <v>1</v>
      </c>
      <c r="AF65" s="459" t="str">
        <f t="shared" si="120"/>
        <v>0</v>
      </c>
      <c r="AG65" s="460"/>
      <c r="AH65" s="583" t="s">
        <v>23</v>
      </c>
      <c r="AI65" s="584" t="str">
        <f t="shared" ref="AI65:AJ65" si="131">SUM(AM65+AK65+AO65+AQ65+AS65+AU65)</f>
        <v>1</v>
      </c>
      <c r="AJ65" s="585" t="str">
        <f t="shared" si="131"/>
        <v>4</v>
      </c>
      <c r="AK65" s="677" t="str">
        <f>sumifs($V$2:$V700, $D$2:$D700, "Legendary", $E$2:$E700, "Classic", $F$2:F700, "Hunter")</f>
        <v>0</v>
      </c>
      <c r="AL65" s="678" t="str">
        <f>COUNTIFS($D$2:$D700, "Legendary", $E$2:$E700, "Classic", $F$2:F700, "Hunter" )</f>
        <v>1</v>
      </c>
      <c r="AM65" s="679" t="str">
        <f>sumifs($V$2:$V700, $D$2:$D700, "Legendary", $E$2:$E700, "Promo", $F$2:F700, "Hunter")</f>
        <v>0</v>
      </c>
      <c r="AN65" s="680" t="str">
        <f>COUNTIFS($D$2:$D700, "Legendary", $E$2:$E700, "Promo", $F$2:F700, "Hunter" )</f>
        <v>0</v>
      </c>
      <c r="AO65" s="677" t="str">
        <f>sumifs($V$2:$V700, $D$2:$D700, "Legendary", $E$2:$E700, "Naxx", $F$2:F700, "Hunter")</f>
        <v>0</v>
      </c>
      <c r="AP65" s="678" t="str">
        <f>COUNTIFS($D$2:$D700, "Legendary", $E$2:$E700, "Naxx", $F$2:F700, "Hunter" )</f>
        <v>0</v>
      </c>
      <c r="AQ65" s="677" t="str">
        <f>sumifs($V$2:$V700, $D$2:$D700, "Legendary", $E$2:$E700, "GvG", $F$2:F700, "Hunter")</f>
        <v>0</v>
      </c>
      <c r="AR65" s="678" t="str">
        <f>COUNTIFS($D$2:$D700, "Legendary", $E$2:$E700, "GvG", $F$2:F700, "Hunter" )</f>
        <v>1</v>
      </c>
      <c r="AS65" s="677" t="str">
        <f>sumifs($V$2:$V700, $D$2:$D700, "Legendary", $E$2:$E700, "Blackrock", $F$2:F700, "Hunter")</f>
        <v>0</v>
      </c>
      <c r="AT65" s="678" t="str">
        <f>COUNTIFS($D$2:$D700, "Legendary", $E$2:$E700, "Blackrock", $F$2:F700, "Hunter" )</f>
        <v>0</v>
      </c>
      <c r="AU65" s="677" t="str">
        <f>sumifs($V$2:$V700, $D$2:$D700, "Legendary", $E$2:$E700, "TGT", $F$2:F700, "Hunter")</f>
        <v>1</v>
      </c>
      <c r="AV65" s="678" t="str">
        <f>COUNTIFS($D$2:$D700, "Legendary", $E$2:$E700, "TGT", $F$2:F700, "Hunter" )</f>
        <v>2</v>
      </c>
      <c r="AW65" s="679">
        <v>0.0</v>
      </c>
      <c r="AX65" s="680">
        <v>0.0</v>
      </c>
    </row>
    <row r="66">
      <c r="A66" s="509"/>
      <c r="B66" s="509">
        <v>2.0</v>
      </c>
      <c r="C66" s="510" t="s">
        <v>312</v>
      </c>
      <c r="D66" s="511" t="s">
        <v>15</v>
      </c>
      <c r="E66" s="511" t="s">
        <v>33</v>
      </c>
      <c r="F66" s="512" t="s">
        <v>63</v>
      </c>
      <c r="G66" s="508">
        <v>2.0</v>
      </c>
      <c r="H66" s="508">
        <v>0.0</v>
      </c>
      <c r="I66" s="486">
        <v>1.0</v>
      </c>
      <c r="J66" s="486">
        <v>1.0</v>
      </c>
      <c r="K66" s="522" t="s">
        <v>162</v>
      </c>
      <c r="L66" s="522"/>
      <c r="M66" s="522"/>
      <c r="N66" s="522"/>
      <c r="O66" s="224" t="s">
        <v>313</v>
      </c>
      <c r="P66" s="14"/>
      <c r="Q66" s="452" t="str">
        <f>MATCH($D66,Reference!$J$5:$J$9,0)</f>
        <v>2</v>
      </c>
      <c r="R66" s="452" t="str">
        <f>MATCH($E66,Reference!$J$26:$J$32,0)</f>
        <v>2</v>
      </c>
      <c r="S66" s="452" t="str">
        <f>MATCH($F66,Reference!$J$45:$J$54,0)</f>
        <v>2</v>
      </c>
      <c r="T66" s="453" t="str">
        <f>MATCH($K66,Reference!$J$37:$J$39,0)</f>
        <v>2</v>
      </c>
      <c r="U66" s="454" t="str">
        <f t="shared" si="95"/>
        <v>2</v>
      </c>
      <c r="V66" s="454" t="str">
        <f t="shared" si="3"/>
        <v>1</v>
      </c>
      <c r="W66" s="454" t="str">
        <f t="shared" si="118"/>
        <v>0</v>
      </c>
      <c r="X66" s="454" t="str">
        <f t="shared" si="96"/>
        <v>2</v>
      </c>
      <c r="Y66" s="456" t="str">
        <f t="shared" si="5"/>
        <v>FALSE</v>
      </c>
      <c r="Z66" s="456" t="str">
        <f t="shared" si="6"/>
        <v>FALSE</v>
      </c>
      <c r="AA66" s="457" t="str">
        <f t="shared" ref="AA66:AB66" si="132">1-I66</f>
        <v>0%</v>
      </c>
      <c r="AB66" s="457" t="str">
        <f t="shared" si="132"/>
        <v>0%</v>
      </c>
      <c r="AC66" s="456" t="str">
        <f t="shared" si="8"/>
        <v>2</v>
      </c>
      <c r="AD66" s="458" t="str">
        <f t="shared" si="98"/>
        <v>0</v>
      </c>
      <c r="AE66" s="458" t="str">
        <f t="shared" si="10"/>
        <v>1</v>
      </c>
      <c r="AF66" s="459" t="str">
        <f t="shared" si="120"/>
        <v>0</v>
      </c>
      <c r="AG66" s="460"/>
      <c r="AH66" s="587" t="s">
        <v>234</v>
      </c>
      <c r="AI66" s="499"/>
      <c r="AJ66" s="588"/>
      <c r="AK66" s="499"/>
      <c r="AL66" s="588"/>
      <c r="AM66" s="499"/>
      <c r="AN66" s="588"/>
      <c r="AO66" s="499"/>
      <c r="AP66" s="588"/>
      <c r="AQ66" s="499"/>
      <c r="AR66" s="588"/>
      <c r="AS66" s="499"/>
      <c r="AT66" s="588"/>
      <c r="AU66" s="499"/>
      <c r="AV66" s="588"/>
      <c r="AW66" s="499"/>
      <c r="AX66" s="588"/>
    </row>
    <row r="67">
      <c r="A67" s="442"/>
      <c r="B67" s="509">
        <v>3.0</v>
      </c>
      <c r="C67" s="510" t="s">
        <v>314</v>
      </c>
      <c r="D67" s="511" t="s">
        <v>15</v>
      </c>
      <c r="E67" s="511" t="s">
        <v>33</v>
      </c>
      <c r="F67" s="512" t="s">
        <v>63</v>
      </c>
      <c r="G67" s="508">
        <v>2.0</v>
      </c>
      <c r="H67" s="485">
        <v>0.0</v>
      </c>
      <c r="I67" s="486">
        <v>1.0</v>
      </c>
      <c r="J67" s="486">
        <v>1.0</v>
      </c>
      <c r="K67" s="522" t="s">
        <v>162</v>
      </c>
      <c r="L67" s="522"/>
      <c r="M67" s="522"/>
      <c r="N67" s="522"/>
      <c r="O67" s="224" t="s">
        <v>315</v>
      </c>
      <c r="P67" s="14"/>
      <c r="Q67" s="452" t="str">
        <f>MATCH($D67,Reference!$J$5:$J$9,0)</f>
        <v>2</v>
      </c>
      <c r="R67" s="452" t="str">
        <f>MATCH($E67,Reference!$J$26:$J$32,0)</f>
        <v>2</v>
      </c>
      <c r="S67" s="452" t="str">
        <f>MATCH($F67,Reference!$J$45:$J$54,0)</f>
        <v>2</v>
      </c>
      <c r="T67" s="453" t="str">
        <f>MATCH($K67,Reference!$J$37:$J$39,0)</f>
        <v>2</v>
      </c>
      <c r="U67" s="454" t="str">
        <f t="shared" si="95"/>
        <v>2</v>
      </c>
      <c r="V67" s="454" t="str">
        <f t="shared" si="3"/>
        <v>1</v>
      </c>
      <c r="W67" s="454" t="str">
        <f t="shared" si="118"/>
        <v>0</v>
      </c>
      <c r="X67" s="454" t="str">
        <f t="shared" si="96"/>
        <v>2</v>
      </c>
      <c r="Y67" s="456" t="str">
        <f t="shared" si="5"/>
        <v>FALSE</v>
      </c>
      <c r="Z67" s="456" t="str">
        <f t="shared" si="6"/>
        <v>FALSE</v>
      </c>
      <c r="AA67" s="457" t="str">
        <f t="shared" ref="AA67:AB67" si="133">1-I67</f>
        <v>0%</v>
      </c>
      <c r="AB67" s="457" t="str">
        <f t="shared" si="133"/>
        <v>0%</v>
      </c>
      <c r="AC67" s="456" t="str">
        <f t="shared" si="8"/>
        <v>2</v>
      </c>
      <c r="AD67" s="458" t="str">
        <f t="shared" si="98"/>
        <v>0</v>
      </c>
      <c r="AE67" s="458" t="str">
        <f t="shared" si="10"/>
        <v>1</v>
      </c>
      <c r="AF67" s="459" t="str">
        <f t="shared" si="120"/>
        <v>0</v>
      </c>
      <c r="AG67" s="460"/>
      <c r="AH67" s="643" t="s">
        <v>10</v>
      </c>
      <c r="AI67" s="534" t="str">
        <f t="shared" ref="AI67:AJ67" si="134">SUM(AM67+AK67+AO67+AQ67+AS67+AU67)</f>
        <v>20</v>
      </c>
      <c r="AJ67" s="535" t="str">
        <f t="shared" si="134"/>
        <v>20</v>
      </c>
      <c r="AK67" s="449" t="str">
        <f>sumifs($U$2:$U700, $E$2:$E700, "Basic", $F$2:F700, "Hunter")</f>
        <v>20</v>
      </c>
      <c r="AL67" s="535" t="str">
        <f>COUNTIFS($E$2:$E700, "Basic", $F$2:F700, "Hunter" )*2</f>
        <v>20</v>
      </c>
      <c r="AM67" s="449"/>
      <c r="AN67" s="537"/>
      <c r="AO67" s="449"/>
      <c r="AP67" s="537"/>
      <c r="AQ67" s="449"/>
      <c r="AR67" s="537"/>
      <c r="AS67" s="449"/>
      <c r="AT67" s="537"/>
      <c r="AU67" s="449"/>
      <c r="AV67" s="537"/>
      <c r="AW67" s="449"/>
      <c r="AX67" s="537"/>
    </row>
    <row r="68">
      <c r="A68" s="509"/>
      <c r="B68" s="509">
        <v>3.0</v>
      </c>
      <c r="C68" s="510" t="s">
        <v>316</v>
      </c>
      <c r="D68" s="511" t="s">
        <v>15</v>
      </c>
      <c r="E68" s="511" t="s">
        <v>33</v>
      </c>
      <c r="F68" s="512" t="s">
        <v>63</v>
      </c>
      <c r="G68" s="508">
        <v>2.0</v>
      </c>
      <c r="H68" s="485">
        <v>0.0</v>
      </c>
      <c r="I68" s="486">
        <v>1.0</v>
      </c>
      <c r="J68" s="486">
        <v>1.0</v>
      </c>
      <c r="K68" s="522" t="s">
        <v>162</v>
      </c>
      <c r="L68" s="522"/>
      <c r="M68" s="522"/>
      <c r="N68" s="522"/>
      <c r="O68" s="224" t="s">
        <v>317</v>
      </c>
      <c r="P68" s="14"/>
      <c r="Q68" s="452" t="str">
        <f>MATCH($D68,Reference!$J$5:$J$9,0)</f>
        <v>2</v>
      </c>
      <c r="R68" s="452" t="str">
        <f>MATCH($E68,Reference!$J$26:$J$32,0)</f>
        <v>2</v>
      </c>
      <c r="S68" s="452" t="str">
        <f>MATCH($F68,Reference!$J$45:$J$54,0)</f>
        <v>2</v>
      </c>
      <c r="T68" s="453" t="str">
        <f>MATCH($K68,Reference!$J$37:$J$39,0)</f>
        <v>2</v>
      </c>
      <c r="U68" s="454" t="str">
        <f t="shared" si="95"/>
        <v>2</v>
      </c>
      <c r="V68" s="454" t="str">
        <f t="shared" si="3"/>
        <v>1</v>
      </c>
      <c r="W68" s="454" t="str">
        <f t="shared" si="118"/>
        <v>0</v>
      </c>
      <c r="X68" s="454" t="str">
        <f t="shared" si="96"/>
        <v>2</v>
      </c>
      <c r="Y68" s="456" t="str">
        <f t="shared" si="5"/>
        <v>FALSE</v>
      </c>
      <c r="Z68" s="456" t="str">
        <f t="shared" si="6"/>
        <v>FALSE</v>
      </c>
      <c r="AA68" s="457" t="str">
        <f t="shared" ref="AA68:AB68" si="135">1-I68</f>
        <v>0%</v>
      </c>
      <c r="AB68" s="457" t="str">
        <f t="shared" si="135"/>
        <v>0%</v>
      </c>
      <c r="AC68" s="456" t="str">
        <f t="shared" si="8"/>
        <v>2</v>
      </c>
      <c r="AD68" s="458" t="str">
        <f t="shared" si="98"/>
        <v>0</v>
      </c>
      <c r="AE68" s="458" t="str">
        <f t="shared" si="10"/>
        <v>1</v>
      </c>
      <c r="AF68" s="459" t="str">
        <f t="shared" si="120"/>
        <v>0</v>
      </c>
      <c r="AG68" s="460"/>
      <c r="AH68" s="591" t="s">
        <v>15</v>
      </c>
      <c r="AI68" s="522" t="str">
        <f t="shared" ref="AI68:AJ68" si="136">SUM(AM68+AK68+AO68+AQ68+AS68+AU68)</f>
        <v>26</v>
      </c>
      <c r="AJ68" s="544" t="str">
        <f t="shared" si="136"/>
        <v>26</v>
      </c>
      <c r="AK68" s="499" t="str">
        <f>sumifs($U$2:$U700, $D$2:$D700, "Common", $E$2:$E700, "Classic", $F$2:F700, "Hunter")</f>
        <v>12</v>
      </c>
      <c r="AL68" s="544" t="str">
        <f>COUNTIFS($D$2:$D700, "Common", $E$2:$E700, "Classic", $F$2:F700, "Hunter" )*2</f>
        <v>12</v>
      </c>
      <c r="AM68" s="531" t="str">
        <f>sumifs($U$2:$U700, $D$2:$D700, "Common", $E$2:$E700, "Promo", $F$2:F700, "Hunter")</f>
        <v>0</v>
      </c>
      <c r="AN68" s="647" t="str">
        <f>COUNTIFS($D$2:$D700, "Common", $E$2:$E700, "Promo", $F$2:F700, "Hunter" )*2</f>
        <v>0</v>
      </c>
      <c r="AO68" s="499" t="str">
        <f>sumifs($U$2:$U700, $D$2:$D700, "Common", $E$2:$E700, "Naxx", $F$2:F700, "Hunter")</f>
        <v>2</v>
      </c>
      <c r="AP68" s="544" t="str">
        <f>COUNTIFS($D$2:$D700, "Common", $E$2:$E700, "Naxx", $F$2:F700, "Hunter" )*2</f>
        <v>2</v>
      </c>
      <c r="AQ68" s="499" t="str">
        <f>sumifs($U$2:$U700, $D$2:$D700, "Common", $E$2:$E700, "GvG", $F$2:F700, "Hunter")</f>
        <v>4</v>
      </c>
      <c r="AR68" s="544" t="str">
        <f>COUNTIFS($D$2:$D700, "Common", $E$2:$E700, "GvG", $F$2:F700, "Hunter" )*2</f>
        <v>4</v>
      </c>
      <c r="AS68" s="499" t="str">
        <f>sumifs($U$2:$U700, $D$2:$D700, "Common", $E$2:$E700, "Blackrock", $F$2:F700, "Hunter")</f>
        <v>2</v>
      </c>
      <c r="AT68" s="544" t="str">
        <f>COUNTIFS($D$2:$D700, "Common", $E$2:$E700, "Blackrock", $F$2:F700, "Hunter" )*2</f>
        <v>2</v>
      </c>
      <c r="AU68" s="499" t="str">
        <f>sumifs($U$2:$U700, $D$2:$D700, "Common", $E$2:$E700, "TGT", $F$2:F700, "Hunter")</f>
        <v>6</v>
      </c>
      <c r="AV68" s="544" t="str">
        <f>COUNTIFS($D$2:$D700, "Common", $E$2:$E700, "TGT", $F$2:F700, "Hunter" )*2</f>
        <v>6</v>
      </c>
      <c r="AW68" s="531">
        <v>0.0</v>
      </c>
      <c r="AX68" s="647">
        <v>0.0</v>
      </c>
    </row>
    <row r="69">
      <c r="A69" s="442"/>
      <c r="B69" s="463">
        <v>5.0</v>
      </c>
      <c r="C69" s="538" t="s">
        <v>318</v>
      </c>
      <c r="D69" s="539" t="s">
        <v>15</v>
      </c>
      <c r="E69" s="539" t="s">
        <v>35</v>
      </c>
      <c r="F69" s="540" t="s">
        <v>63</v>
      </c>
      <c r="G69" s="541">
        <v>2.0</v>
      </c>
      <c r="H69" s="493">
        <v>0.0</v>
      </c>
      <c r="I69" s="494">
        <v>1.0</v>
      </c>
      <c r="J69" s="494">
        <v>1.0</v>
      </c>
      <c r="K69" s="542" t="s">
        <v>162</v>
      </c>
      <c r="L69" s="542"/>
      <c r="M69" s="542"/>
      <c r="N69" s="542"/>
      <c r="O69" s="543" t="s">
        <v>319</v>
      </c>
      <c r="P69" s="14"/>
      <c r="Q69" s="452" t="str">
        <f>MATCH($D69,Reference!$J$5:$J$9,0)</f>
        <v>2</v>
      </c>
      <c r="R69" s="452" t="str">
        <f>MATCH($E69,Reference!$J$26:$J$32,0)</f>
        <v>5</v>
      </c>
      <c r="S69" s="452" t="str">
        <f>MATCH($F69,Reference!$J$45:$J$54,0)</f>
        <v>2</v>
      </c>
      <c r="T69" s="453" t="str">
        <f>MATCH($K69,Reference!$J$37:$J$39,0)</f>
        <v>2</v>
      </c>
      <c r="U69" s="454" t="str">
        <f t="shared" si="95"/>
        <v>2</v>
      </c>
      <c r="V69" s="454" t="str">
        <f t="shared" si="3"/>
        <v>1</v>
      </c>
      <c r="W69" s="454" t="str">
        <f t="shared" si="118"/>
        <v>0</v>
      </c>
      <c r="X69" s="454" t="str">
        <f t="shared" si="96"/>
        <v>2</v>
      </c>
      <c r="Y69" s="456" t="str">
        <f t="shared" si="5"/>
        <v>FALSE</v>
      </c>
      <c r="Z69" s="456" t="str">
        <f t="shared" si="6"/>
        <v>FALSE</v>
      </c>
      <c r="AA69" s="457" t="str">
        <f t="shared" ref="AA69:AB69" si="137">1-I69</f>
        <v>0%</v>
      </c>
      <c r="AB69" s="457" t="str">
        <f t="shared" si="137"/>
        <v>0%</v>
      </c>
      <c r="AC69" s="456" t="str">
        <f t="shared" si="8"/>
        <v>2</v>
      </c>
      <c r="AD69" s="458" t="str">
        <f t="shared" si="98"/>
        <v>0</v>
      </c>
      <c r="AE69" s="458" t="str">
        <f t="shared" si="10"/>
        <v>1</v>
      </c>
      <c r="AF69" s="459" t="str">
        <f t="shared" si="120"/>
        <v>0</v>
      </c>
      <c r="AG69" s="460"/>
      <c r="AH69" s="592" t="s">
        <v>21</v>
      </c>
      <c r="AI69" s="557" t="str">
        <f t="shared" ref="AI69:AJ69" si="138">SUM(AM69+AK69+AO69+AQ69+AS69+AU69)</f>
        <v>22</v>
      </c>
      <c r="AJ69" s="558" t="str">
        <f t="shared" si="138"/>
        <v>24</v>
      </c>
      <c r="AK69" s="554" t="str">
        <f>sumifs($U$2:$U700, $D$2:$D700, "Rare", $E$2:$E700, "Classic", $F$2:F700, "Hunter")</f>
        <v>9</v>
      </c>
      <c r="AL69" s="558" t="str">
        <f>COUNTIFS($D$2:$D700, "Rare", $E$2:$E700, "Classic", $F$2:F700, "Hunter" )*2</f>
        <v>10</v>
      </c>
      <c r="AM69" s="657" t="str">
        <f>sumifs($U$2:$U700, $D$2:$D700, "Rare", $E$2:$E700, "Promo", $F$2:F700, "Hunter")</f>
        <v>0</v>
      </c>
      <c r="AN69" s="658" t="str">
        <f>COUNTIFS($D$2:$D700, "Rare", $E$2:$E700, "Promo", $F$2:F700, "Hunter" )*2</f>
        <v>0</v>
      </c>
      <c r="AO69" s="554" t="str">
        <f>sumifs($U$2:$U700, $D$2:$D700, "Rare", $E$2:$E700, "Naxx", $F$2:F700, "Hunter")</f>
        <v>0</v>
      </c>
      <c r="AP69" s="558" t="str">
        <f>COUNTIFS($D$2:$D700, "Rare", $E$2:$E700, "Naxx", $F$2:F700, "Hunter" )*2</f>
        <v>0</v>
      </c>
      <c r="AQ69" s="554" t="str">
        <f>sumifs($U$2:$U700, $D$2:$D700, "Rare", $E$2:$E700, "GvG", $F$2:F700, "Hunter")</f>
        <v>5</v>
      </c>
      <c r="AR69" s="558" t="str">
        <f>COUNTIFS($D$2:$D700, "Rare", $E$2:$E700, "GvG", $F$2:F700, "Hunter" )*2</f>
        <v>6</v>
      </c>
      <c r="AS69" s="554" t="str">
        <f>sumifs($U$2:$U700, $D$2:$D700, "Rare", $E$2:$E700, "Blackrock", $F$2:F700, "Hunter")</f>
        <v>2</v>
      </c>
      <c r="AT69" s="558" t="str">
        <f>COUNTIFS($D$2:$D700, "Rare", $E$2:$E700, "Blackrock", $F$2:F700, "Hunter" )*2</f>
        <v>2</v>
      </c>
      <c r="AU69" s="554" t="str">
        <f>sumifs($U$2:$U700, $D$2:$D700, "Rare", $E$2:$E700, "TGT", $F$2:F700, "Hunter")</f>
        <v>6</v>
      </c>
      <c r="AV69" s="558" t="str">
        <f>COUNTIFS($D$2:$D700, "Rare", $E$2:$E700, "TGT", $F$2:F700, "Hunter" )*2</f>
        <v>6</v>
      </c>
      <c r="AW69" s="657">
        <v>0.0</v>
      </c>
      <c r="AX69" s="658">
        <v>0.0</v>
      </c>
    </row>
    <row r="70">
      <c r="A70" s="442"/>
      <c r="B70" s="572">
        <v>2.0</v>
      </c>
      <c r="C70" s="573" t="s">
        <v>320</v>
      </c>
      <c r="D70" s="574" t="s">
        <v>21</v>
      </c>
      <c r="E70" s="574" t="s">
        <v>35</v>
      </c>
      <c r="F70" s="689" t="s">
        <v>63</v>
      </c>
      <c r="G70" s="577">
        <v>2.0</v>
      </c>
      <c r="H70" s="577">
        <v>0.0</v>
      </c>
      <c r="I70" s="579">
        <v>1.0</v>
      </c>
      <c r="J70" s="579">
        <v>1.0</v>
      </c>
      <c r="K70" s="580" t="s">
        <v>162</v>
      </c>
      <c r="L70" s="580"/>
      <c r="M70" s="580"/>
      <c r="N70" s="580"/>
      <c r="O70" s="690" t="s">
        <v>321</v>
      </c>
      <c r="P70" s="14"/>
      <c r="Q70" s="452" t="str">
        <f>MATCH($D70,Reference!$J$5:$J$9,0)</f>
        <v>3</v>
      </c>
      <c r="R70" s="452" t="str">
        <f>MATCH($E70,Reference!$J$26:$J$32,0)</f>
        <v>5</v>
      </c>
      <c r="S70" s="452" t="str">
        <f>MATCH($F70,Reference!$J$45:$J$54,0)</f>
        <v>2</v>
      </c>
      <c r="T70" s="453" t="str">
        <f>MATCH($K70,Reference!$J$37:$J$39,0)</f>
        <v>2</v>
      </c>
      <c r="U70" s="454" t="str">
        <f t="shared" si="95"/>
        <v>2</v>
      </c>
      <c r="V70" s="454" t="str">
        <f t="shared" si="3"/>
        <v>1</v>
      </c>
      <c r="W70" s="454" t="str">
        <f t="shared" ref="W70:W75" si="141">(MIN(G70,2)+H70-U70)*100</f>
        <v>0</v>
      </c>
      <c r="X70" s="454" t="str">
        <f t="shared" si="96"/>
        <v>2</v>
      </c>
      <c r="Y70" s="456" t="str">
        <f t="shared" si="5"/>
        <v>FALSE</v>
      </c>
      <c r="Z70" s="456" t="str">
        <f t="shared" si="6"/>
        <v>FALSE</v>
      </c>
      <c r="AA70" s="457" t="str">
        <f t="shared" ref="AA70:AB70" si="139">1-I70</f>
        <v>0%</v>
      </c>
      <c r="AB70" s="457" t="str">
        <f t="shared" si="139"/>
        <v>0%</v>
      </c>
      <c r="AC70" s="456" t="str">
        <f t="shared" si="8"/>
        <v>2</v>
      </c>
      <c r="AD70" s="458" t="str">
        <f t="shared" si="98"/>
        <v>0</v>
      </c>
      <c r="AE70" s="458" t="str">
        <f t="shared" si="10"/>
        <v>1</v>
      </c>
      <c r="AF70" s="459" t="str">
        <f t="shared" ref="AF70:AF81" si="143">(MIN(H70,2)+G70-U70)*20</f>
        <v>0</v>
      </c>
      <c r="AG70" s="460"/>
      <c r="AH70" s="593" t="s">
        <v>22</v>
      </c>
      <c r="AI70" s="568" t="str">
        <f t="shared" ref="AI70:AJ70" si="140">SUM(AM70+AK70+AO70+AQ70+AS70+AU70)</f>
        <v>8</v>
      </c>
      <c r="AJ70" s="569" t="str">
        <f t="shared" si="140"/>
        <v>14</v>
      </c>
      <c r="AK70" s="641" t="str">
        <f>sumifs($U$2:$U700, $D$2:$D700, "Epic", $E$2:$E700, "Classic", $F$2:F700, "Hunter")</f>
        <v>1</v>
      </c>
      <c r="AL70" s="569" t="str">
        <f>COUNTIFS($D$2:$D700, "Epic", $E$2:$E700, "Classic", $F$2:F700, "Hunter" )*2</f>
        <v>6</v>
      </c>
      <c r="AM70" s="667" t="str">
        <f>sumifs($U$2:$U700, $D$2:$D700, "Epic", $E$2:$E700, "Promo", $F$2:F700, "Hunter")</f>
        <v>0</v>
      </c>
      <c r="AN70" s="668" t="str">
        <f>COUNTIFS($D$2:$D700, "Epic", $E$2:$E700, "Promo", $F$2:F700, "Hunter" )*2</f>
        <v>0</v>
      </c>
      <c r="AO70" s="641" t="str">
        <f>sumifs($U$2:$U700, $D$2:$D700, "Epic", $E$2:$E700, "Naxx", $F$2:F700, "Hunter")</f>
        <v>0</v>
      </c>
      <c r="AP70" s="569" t="str">
        <f>COUNTIFS($D$2:$D700, "Epic", $E$2:$E700, "Naxx", $F$2:F700, "Hunter" )*2</f>
        <v>0</v>
      </c>
      <c r="AQ70" s="641" t="str">
        <f>sumifs($U$2:$U700, $D$2:$D700, "Epic", $E$2:$E700, "GvG", $F$2:F700, "Hunter")</f>
        <v>3</v>
      </c>
      <c r="AR70" s="569" t="str">
        <f>COUNTIFS($D$2:$D700, "Epic", $E$2:$E700, "GvG", $F$2:F700, "Hunter" )*2</f>
        <v>4</v>
      </c>
      <c r="AS70" s="641" t="str">
        <f>sumifs($U$2:$U700, $D$2:$D700, "Epic", $E$2:$E700, "Blackrock", $F$2:F700, "Hunter")</f>
        <v>0</v>
      </c>
      <c r="AT70" s="569" t="str">
        <f>COUNTIFS($D$2:$D700, "Epic", $E$2:$E700, "Blackrock", $F$2:F700, "Hunter" )*2</f>
        <v>0</v>
      </c>
      <c r="AU70" s="641" t="str">
        <f>sumifs($U$2:$U700, $D$2:$D700, "Epic", $E$2:$E700, "TGT", $F$2:F700, "Hunter")</f>
        <v>4</v>
      </c>
      <c r="AV70" s="569" t="str">
        <f>COUNTIFS($D$2:$D700, "Epic", $E$2:$E700, "TGT", $F$2:F700, "Hunter" )*2</f>
        <v>4</v>
      </c>
      <c r="AW70" s="667">
        <v>0.0</v>
      </c>
      <c r="AX70" s="668">
        <v>0.0</v>
      </c>
    </row>
    <row r="71">
      <c r="A71" s="442"/>
      <c r="B71" s="691">
        <v>2.0</v>
      </c>
      <c r="C71" s="692" t="s">
        <v>322</v>
      </c>
      <c r="D71" s="693" t="s">
        <v>21</v>
      </c>
      <c r="E71" s="693" t="s">
        <v>33</v>
      </c>
      <c r="F71" s="694" t="s">
        <v>63</v>
      </c>
      <c r="G71" s="695">
        <v>1.0</v>
      </c>
      <c r="H71" s="696">
        <v>0.0</v>
      </c>
      <c r="I71" s="697">
        <v>1.0</v>
      </c>
      <c r="J71" s="697">
        <v>1.0</v>
      </c>
      <c r="K71" s="698" t="s">
        <v>162</v>
      </c>
      <c r="L71" s="698"/>
      <c r="M71" s="698"/>
      <c r="N71" s="698"/>
      <c r="O71" s="699" t="s">
        <v>323</v>
      </c>
      <c r="P71" s="14"/>
      <c r="Q71" s="452" t="str">
        <f>MATCH($D71,Reference!$J$5:$J$9,0)</f>
        <v>3</v>
      </c>
      <c r="R71" s="452" t="str">
        <f>MATCH($E71,Reference!$J$26:$J$32,0)</f>
        <v>2</v>
      </c>
      <c r="S71" s="452" t="str">
        <f>MATCH($F71,Reference!$J$45:$J$54,0)</f>
        <v>2</v>
      </c>
      <c r="T71" s="453" t="str">
        <f>MATCH($K71,Reference!$J$37:$J$39,0)</f>
        <v>2</v>
      </c>
      <c r="U71" s="454" t="str">
        <f t="shared" si="95"/>
        <v>1</v>
      </c>
      <c r="V71" s="454" t="str">
        <f t="shared" si="3"/>
        <v>1</v>
      </c>
      <c r="W71" s="454" t="str">
        <f t="shared" si="141"/>
        <v>0</v>
      </c>
      <c r="X71" s="454" t="str">
        <f t="shared" si="96"/>
        <v>1</v>
      </c>
      <c r="Y71" s="456" t="str">
        <f t="shared" si="5"/>
        <v>FALSE</v>
      </c>
      <c r="Z71" s="456" t="str">
        <f t="shared" si="6"/>
        <v>TRUE</v>
      </c>
      <c r="AA71" s="457" t="str">
        <f t="shared" ref="AA71:AB71" si="142">1-I71</f>
        <v>0%</v>
      </c>
      <c r="AB71" s="457" t="str">
        <f t="shared" si="142"/>
        <v>0%</v>
      </c>
      <c r="AC71" s="456" t="str">
        <f t="shared" si="8"/>
        <v>1</v>
      </c>
      <c r="AD71" s="458" t="str">
        <f t="shared" si="98"/>
        <v>0</v>
      </c>
      <c r="AE71" s="458" t="str">
        <f t="shared" si="10"/>
        <v>1</v>
      </c>
      <c r="AF71" s="459" t="str">
        <f t="shared" si="143"/>
        <v>0</v>
      </c>
      <c r="AG71" s="460"/>
      <c r="AH71" s="583" t="s">
        <v>23</v>
      </c>
      <c r="AI71" s="584" t="str">
        <f t="shared" ref="AI71:AJ71" si="144">SUM(AM71+AK71+AO71+AQ71+AS71+AU71)</f>
        <v>1</v>
      </c>
      <c r="AJ71" s="585" t="str">
        <f t="shared" si="144"/>
        <v>4</v>
      </c>
      <c r="AK71" s="677" t="str">
        <f>sumifs($U$2:$U700, $D$2:$D700, "Legendary", $E$2:$E700, "Classic", $F$2:F700, "Hunter")</f>
        <v>0</v>
      </c>
      <c r="AL71" s="678" t="str">
        <f>COUNTIFS($D$2:$D700, "Legendary", $E$2:$E700, "Classic", $F$2:F700, "Hunter" )</f>
        <v>1</v>
      </c>
      <c r="AM71" s="679" t="str">
        <f>sumifs($U$2:$U700, $D$2:$D700, "Legendary", $E$2:$E700, "Promo", $F$2:F700, "Hunter")</f>
        <v>0</v>
      </c>
      <c r="AN71" s="680" t="str">
        <f>COUNTIFS($D$2:$D700, "Legendary", $E$2:$E700, "Promo", $F$2:F700, "Hunter" )</f>
        <v>0</v>
      </c>
      <c r="AO71" s="677" t="str">
        <f>sumifs($U$2:$U700, $D$2:$D700, "Legendary", $E$2:$E700, "Naxx", $F$2:F700, "Hunter")</f>
        <v>0</v>
      </c>
      <c r="AP71" s="678" t="str">
        <f>COUNTIFS($D$2:$D700, "Legendary", $E$2:$E700, "Naxx", $F$2:F700, "Hunter" )</f>
        <v>0</v>
      </c>
      <c r="AQ71" s="677" t="str">
        <f>sumifs($U$2:$U700, $D$2:$D700, "Legendary", $E$2:$E700, "GvG", $F$2:F700, "Hunter")</f>
        <v>0</v>
      </c>
      <c r="AR71" s="678" t="str">
        <f>COUNTIFS($D$2:$D700, "Legendary", $E$2:$E700, "GvG", $F$2:F700, "Hunter" )</f>
        <v>1</v>
      </c>
      <c r="AS71" s="677" t="str">
        <f>sumifs($U$2:$U700, $D$2:$D700, "Legendary", $E$2:$E700, "Blackrock", $F$2:F700, "Hunter")</f>
        <v>0</v>
      </c>
      <c r="AT71" s="678" t="str">
        <f>COUNTIFS($D$2:$D700, "Legendary", $E$2:$E700, "Blackrock", $F$2:F700, "Hunter" )</f>
        <v>0</v>
      </c>
      <c r="AU71" s="677" t="str">
        <f>sumifs($U$2:$U700, $D$2:$D700, "Legendary", $E$2:$E700, "TGT", $F$2:F700, "Hunter")</f>
        <v>1</v>
      </c>
      <c r="AV71" s="678" t="str">
        <f>COUNTIFS($D$2:$D700, "Legendary", $E$2:$E700, "TGT", $F$2:F700, "Hunter" )</f>
        <v>2</v>
      </c>
      <c r="AW71" s="679">
        <v>0.0</v>
      </c>
      <c r="AX71" s="680">
        <v>0.0</v>
      </c>
    </row>
    <row r="72">
      <c r="A72" s="509"/>
      <c r="B72" s="547">
        <v>2.0</v>
      </c>
      <c r="C72" s="548" t="s">
        <v>324</v>
      </c>
      <c r="D72" s="549" t="s">
        <v>21</v>
      </c>
      <c r="E72" s="549" t="s">
        <v>33</v>
      </c>
      <c r="F72" s="550" t="s">
        <v>63</v>
      </c>
      <c r="G72" s="551">
        <v>2.0</v>
      </c>
      <c r="H72" s="551">
        <v>0.0</v>
      </c>
      <c r="I72" s="553">
        <v>1.0</v>
      </c>
      <c r="J72" s="553">
        <v>1.0</v>
      </c>
      <c r="K72" s="549" t="s">
        <v>162</v>
      </c>
      <c r="L72" s="549" t="s">
        <v>299</v>
      </c>
      <c r="M72" s="550"/>
      <c r="N72" s="551"/>
      <c r="O72" s="555" t="s">
        <v>325</v>
      </c>
      <c r="P72" s="14"/>
      <c r="Q72" s="452" t="str">
        <f>MATCH($D72,Reference!$J$5:$J$9,0)</f>
        <v>3</v>
      </c>
      <c r="R72" s="452" t="str">
        <f>MATCH($E72,Reference!$J$26:$J$32,0)</f>
        <v>2</v>
      </c>
      <c r="S72" s="452" t="str">
        <f>MATCH($F72,Reference!$J$45:$J$54,0)</f>
        <v>2</v>
      </c>
      <c r="T72" s="453" t="str">
        <f>MATCH($K72,Reference!$J$37:$J$39,0)</f>
        <v>2</v>
      </c>
      <c r="U72" s="454" t="str">
        <f t="shared" si="95"/>
        <v>2</v>
      </c>
      <c r="V72" s="454" t="str">
        <f t="shared" si="3"/>
        <v>1</v>
      </c>
      <c r="W72" s="454" t="str">
        <f t="shared" si="141"/>
        <v>0</v>
      </c>
      <c r="X72" s="454" t="str">
        <f t="shared" si="96"/>
        <v>2</v>
      </c>
      <c r="Y72" s="456" t="str">
        <f t="shared" si="5"/>
        <v>FALSE</v>
      </c>
      <c r="Z72" s="456" t="str">
        <f t="shared" si="6"/>
        <v>FALSE</v>
      </c>
      <c r="AA72" s="457" t="str">
        <f t="shared" ref="AA72:AB72" si="145">1-I72</f>
        <v>0%</v>
      </c>
      <c r="AB72" s="457" t="str">
        <f t="shared" si="145"/>
        <v>0%</v>
      </c>
      <c r="AC72" s="456" t="str">
        <f t="shared" si="8"/>
        <v>2</v>
      </c>
      <c r="AD72" s="458" t="str">
        <f t="shared" si="98"/>
        <v>0</v>
      </c>
      <c r="AE72" s="458" t="str">
        <f t="shared" si="10"/>
        <v>1</v>
      </c>
      <c r="AF72" s="459" t="str">
        <f t="shared" si="143"/>
        <v>0</v>
      </c>
      <c r="AG72" s="460"/>
      <c r="AH72" s="601" t="s">
        <v>24</v>
      </c>
      <c r="AI72" s="602"/>
      <c r="AJ72" s="603"/>
      <c r="AK72" s="602"/>
      <c r="AL72" s="603"/>
      <c r="AM72" s="602"/>
      <c r="AN72" s="603"/>
      <c r="AO72" s="602"/>
      <c r="AP72" s="603"/>
      <c r="AQ72" s="602"/>
      <c r="AR72" s="603"/>
      <c r="AS72" s="602"/>
      <c r="AT72" s="603"/>
      <c r="AU72" s="602"/>
      <c r="AV72" s="603"/>
      <c r="AW72" s="602"/>
      <c r="AX72" s="603"/>
    </row>
    <row r="73">
      <c r="A73" s="442"/>
      <c r="B73" s="547">
        <v>3.0</v>
      </c>
      <c r="C73" s="548" t="s">
        <v>326</v>
      </c>
      <c r="D73" s="549" t="s">
        <v>21</v>
      </c>
      <c r="E73" s="549" t="s">
        <v>33</v>
      </c>
      <c r="F73" s="550" t="s">
        <v>63</v>
      </c>
      <c r="G73" s="551">
        <v>2.0</v>
      </c>
      <c r="H73" s="551">
        <v>0.0</v>
      </c>
      <c r="I73" s="553">
        <v>1.0</v>
      </c>
      <c r="J73" s="553">
        <v>1.0</v>
      </c>
      <c r="K73" s="554" t="s">
        <v>304</v>
      </c>
      <c r="L73" s="554"/>
      <c r="M73" s="554">
        <v>3.0</v>
      </c>
      <c r="N73" s="554">
        <v>2.0</v>
      </c>
      <c r="O73" s="555" t="s">
        <v>327</v>
      </c>
      <c r="P73" s="14"/>
      <c r="Q73" s="452" t="str">
        <f>MATCH($D73,Reference!$J$5:$J$9,0)</f>
        <v>3</v>
      </c>
      <c r="R73" s="452" t="str">
        <f>MATCH($E73,Reference!$J$26:$J$32,0)</f>
        <v>2</v>
      </c>
      <c r="S73" s="452" t="str">
        <f>MATCH($F73,Reference!$J$45:$J$54,0)</f>
        <v>2</v>
      </c>
      <c r="T73" s="453" t="str">
        <f>MATCH($K73,Reference!$J$37:$J$39,0)</f>
        <v>1</v>
      </c>
      <c r="U73" s="454" t="str">
        <f t="shared" si="95"/>
        <v>2</v>
      </c>
      <c r="V73" s="454" t="str">
        <f t="shared" si="3"/>
        <v>1</v>
      </c>
      <c r="W73" s="454" t="str">
        <f t="shared" si="141"/>
        <v>0</v>
      </c>
      <c r="X73" s="454" t="str">
        <f t="shared" si="96"/>
        <v>2</v>
      </c>
      <c r="Y73" s="456" t="str">
        <f t="shared" si="5"/>
        <v>FALSE</v>
      </c>
      <c r="Z73" s="456" t="str">
        <f t="shared" si="6"/>
        <v>FALSE</v>
      </c>
      <c r="AA73" s="457" t="str">
        <f t="shared" ref="AA73:AB73" si="146">1-I73</f>
        <v>0%</v>
      </c>
      <c r="AB73" s="457" t="str">
        <f t="shared" si="146"/>
        <v>0%</v>
      </c>
      <c r="AC73" s="456" t="str">
        <f t="shared" si="8"/>
        <v>2</v>
      </c>
      <c r="AD73" s="458" t="str">
        <f t="shared" si="98"/>
        <v>0</v>
      </c>
      <c r="AE73" s="458" t="str">
        <f t="shared" si="10"/>
        <v>1</v>
      </c>
      <c r="AF73" s="459" t="str">
        <f t="shared" si="143"/>
        <v>0</v>
      </c>
      <c r="AG73" s="460"/>
      <c r="AH73" s="604" t="s">
        <v>221</v>
      </c>
      <c r="AI73" s="605" t="str">
        <f t="shared" ref="AI73:AN73" si="147">SUM(AI61:AI65)</f>
        <v>41</v>
      </c>
      <c r="AJ73" s="606" t="str">
        <f t="shared" si="147"/>
        <v>46</v>
      </c>
      <c r="AK73" s="605" t="str">
        <f t="shared" si="147"/>
        <v>22</v>
      </c>
      <c r="AL73" s="606" t="str">
        <f t="shared" si="147"/>
        <v>25</v>
      </c>
      <c r="AM73" s="605" t="str">
        <f t="shared" si="147"/>
        <v>0</v>
      </c>
      <c r="AN73" s="606" t="str">
        <f t="shared" si="147"/>
        <v>0</v>
      </c>
      <c r="AO73" s="605" t="str">
        <f>sum(AO61:AO65)</f>
        <v>1</v>
      </c>
      <c r="AP73" s="606" t="str">
        <f>SUM(AP61:AP65)</f>
        <v>1</v>
      </c>
      <c r="AQ73" s="605" t="str">
        <f>sum(AQ61:AQ65)</f>
        <v>7</v>
      </c>
      <c r="AR73" s="606" t="str">
        <f>SUM(AR61:AR65)</f>
        <v>8</v>
      </c>
      <c r="AS73" s="605" t="str">
        <f t="shared" ref="AS73:AX73" si="148">sum(AS61:AS65)</f>
        <v>2</v>
      </c>
      <c r="AT73" s="606" t="str">
        <f t="shared" si="148"/>
        <v>2</v>
      </c>
      <c r="AU73" s="605" t="str">
        <f t="shared" si="148"/>
        <v>9</v>
      </c>
      <c r="AV73" s="606" t="str">
        <f t="shared" si="148"/>
        <v>10</v>
      </c>
      <c r="AW73" s="605" t="str">
        <f t="shared" si="148"/>
        <v>0</v>
      </c>
      <c r="AX73" s="606" t="str">
        <f t="shared" si="148"/>
        <v>0</v>
      </c>
    </row>
    <row r="74">
      <c r="A74" s="463"/>
      <c r="B74" s="594">
        <v>3.0</v>
      </c>
      <c r="C74" s="595" t="s">
        <v>328</v>
      </c>
      <c r="D74" s="575" t="s">
        <v>21</v>
      </c>
      <c r="E74" s="575" t="s">
        <v>35</v>
      </c>
      <c r="F74" s="576" t="s">
        <v>63</v>
      </c>
      <c r="G74" s="597">
        <v>2.0</v>
      </c>
      <c r="H74" s="597">
        <v>0.0</v>
      </c>
      <c r="I74" s="598">
        <v>1.0</v>
      </c>
      <c r="J74" s="598">
        <v>1.0</v>
      </c>
      <c r="K74" s="575" t="s">
        <v>188</v>
      </c>
      <c r="L74" s="575" t="s">
        <v>198</v>
      </c>
      <c r="M74" s="576">
        <v>3.0</v>
      </c>
      <c r="N74" s="597">
        <v>3.0</v>
      </c>
      <c r="O74" s="599" t="s">
        <v>329</v>
      </c>
      <c r="P74" s="5"/>
      <c r="Q74" s="452" t="str">
        <f>MATCH($D74,Reference!$J$5:$J$9,0)</f>
        <v>3</v>
      </c>
      <c r="R74" s="452" t="str">
        <f>MATCH($E74,Reference!$J$26:$J$32,0)</f>
        <v>5</v>
      </c>
      <c r="S74" s="452" t="str">
        <f>MATCH($F74,Reference!$J$45:$J$54,0)</f>
        <v>2</v>
      </c>
      <c r="T74" s="453" t="str">
        <f>MATCH($K74,Reference!$J$37:$J$39,0)</f>
        <v>3</v>
      </c>
      <c r="U74" s="454" t="str">
        <f t="shared" si="95"/>
        <v>2</v>
      </c>
      <c r="V74" s="454" t="str">
        <f t="shared" si="3"/>
        <v>1</v>
      </c>
      <c r="W74" s="454" t="str">
        <f t="shared" si="141"/>
        <v>0</v>
      </c>
      <c r="X74" s="454" t="str">
        <f t="shared" si="96"/>
        <v>2</v>
      </c>
      <c r="Y74" s="456" t="str">
        <f t="shared" si="5"/>
        <v>FALSE</v>
      </c>
      <c r="Z74" s="456" t="str">
        <f t="shared" si="6"/>
        <v>FALSE</v>
      </c>
      <c r="AA74" s="457" t="str">
        <f t="shared" ref="AA74:AB74" si="149">1-I74</f>
        <v>0%</v>
      </c>
      <c r="AB74" s="457" t="str">
        <f t="shared" si="149"/>
        <v>0%</v>
      </c>
      <c r="AC74" s="456" t="str">
        <f t="shared" si="8"/>
        <v>2</v>
      </c>
      <c r="AD74" s="458" t="str">
        <f t="shared" si="98"/>
        <v>0</v>
      </c>
      <c r="AE74" s="458" t="str">
        <f t="shared" si="10"/>
        <v>1</v>
      </c>
      <c r="AF74" s="459" t="str">
        <f t="shared" si="143"/>
        <v>0</v>
      </c>
      <c r="AG74" s="460"/>
      <c r="AH74" s="615" t="s">
        <v>234</v>
      </c>
      <c r="AI74" s="616" t="str">
        <f t="shared" ref="AI74:AJ74" si="150">SUM(AI67:AI71)</f>
        <v>77</v>
      </c>
      <c r="AJ74" s="617" t="str">
        <f t="shared" si="150"/>
        <v>88</v>
      </c>
      <c r="AK74" s="616" t="str">
        <f>sum(AK67:AK71)</f>
        <v>42</v>
      </c>
      <c r="AL74" s="617" t="str">
        <f>SUM(AL67:AL71)</f>
        <v>49</v>
      </c>
      <c r="AM74" s="616" t="str">
        <f>sum(AM67:AM71)</f>
        <v>0</v>
      </c>
      <c r="AN74" s="617" t="str">
        <f>SUM(AN67:AN71)</f>
        <v>0</v>
      </c>
      <c r="AO74" s="616" t="str">
        <f>sum(AO67:AO71)</f>
        <v>2</v>
      </c>
      <c r="AP74" s="617" t="str">
        <f>SUM(AP67:AP71)</f>
        <v>2</v>
      </c>
      <c r="AQ74" s="616" t="str">
        <f>sum(AQ68:AQ71)</f>
        <v>12</v>
      </c>
      <c r="AR74" s="617" t="str">
        <f>SUM(AR67:AR71)</f>
        <v>15</v>
      </c>
      <c r="AS74" s="616" t="str">
        <f t="shared" ref="AS74:AX74" si="151">sum(AS67:AS71)</f>
        <v>4</v>
      </c>
      <c r="AT74" s="617" t="str">
        <f t="shared" si="151"/>
        <v>4</v>
      </c>
      <c r="AU74" s="616" t="str">
        <f t="shared" si="151"/>
        <v>17</v>
      </c>
      <c r="AV74" s="617" t="str">
        <f t="shared" si="151"/>
        <v>18</v>
      </c>
      <c r="AW74" s="616" t="str">
        <f t="shared" si="151"/>
        <v>0</v>
      </c>
      <c r="AX74" s="617" t="str">
        <f t="shared" si="151"/>
        <v>0</v>
      </c>
    </row>
    <row r="75">
      <c r="A75" s="466"/>
      <c r="B75" s="560">
        <v>3.0</v>
      </c>
      <c r="C75" s="561" t="s">
        <v>330</v>
      </c>
      <c r="D75" s="562" t="s">
        <v>21</v>
      </c>
      <c r="E75" s="563" t="s">
        <v>36</v>
      </c>
      <c r="F75" s="562" t="s">
        <v>63</v>
      </c>
      <c r="G75" s="564">
        <v>2.0</v>
      </c>
      <c r="H75" s="564">
        <v>0.0</v>
      </c>
      <c r="I75" s="565">
        <v>1.0</v>
      </c>
      <c r="J75" s="565">
        <v>1.0</v>
      </c>
      <c r="K75" s="563" t="s">
        <v>162</v>
      </c>
      <c r="L75" s="563"/>
      <c r="M75" s="563"/>
      <c r="N75" s="563"/>
      <c r="O75" s="566" t="s">
        <v>331</v>
      </c>
      <c r="P75" s="14"/>
      <c r="Q75" s="452" t="str">
        <f>MATCH($D75,Reference!$J$5:$J$9,0)</f>
        <v>3</v>
      </c>
      <c r="R75" s="452" t="str">
        <f>MATCH($E75,Reference!$J$26:$J$32,0)</f>
        <v>7</v>
      </c>
      <c r="S75" s="452" t="str">
        <f>MATCH($F75,Reference!$J$45:$J$54,0)</f>
        <v>2</v>
      </c>
      <c r="T75" s="453" t="str">
        <f>MATCH($K75,Reference!$J$37:$J$39,0)</f>
        <v>2</v>
      </c>
      <c r="U75" s="454" t="str">
        <f t="shared" si="95"/>
        <v>2</v>
      </c>
      <c r="V75" s="454" t="str">
        <f t="shared" si="3"/>
        <v>1</v>
      </c>
      <c r="W75" s="454" t="str">
        <f t="shared" si="141"/>
        <v>0</v>
      </c>
      <c r="X75" s="454" t="str">
        <f t="shared" si="96"/>
        <v>2</v>
      </c>
      <c r="Y75" s="456" t="str">
        <f t="shared" si="5"/>
        <v>FALSE</v>
      </c>
      <c r="Z75" s="456" t="str">
        <f t="shared" si="6"/>
        <v>FALSE</v>
      </c>
      <c r="AA75" s="457" t="str">
        <f t="shared" ref="AA75:AB75" si="152">1-I75</f>
        <v>0%</v>
      </c>
      <c r="AB75" s="457" t="str">
        <f t="shared" si="152"/>
        <v>0%</v>
      </c>
      <c r="AC75" s="456" t="str">
        <f t="shared" si="8"/>
        <v>2</v>
      </c>
      <c r="AD75" s="458" t="str">
        <f t="shared" si="98"/>
        <v>0</v>
      </c>
      <c r="AE75" s="458" t="str">
        <f t="shared" si="10"/>
        <v>1</v>
      </c>
      <c r="AF75" s="459" t="str">
        <f t="shared" si="143"/>
        <v>0</v>
      </c>
      <c r="AG75" s="460"/>
      <c r="AH75" s="14"/>
      <c r="AI75" s="14"/>
      <c r="AJ75" s="14"/>
      <c r="AK75" s="14"/>
      <c r="AL75" s="14"/>
      <c r="AM75" s="14"/>
      <c r="AN75" s="14"/>
      <c r="AO75" s="14"/>
      <c r="AP75" s="14"/>
      <c r="AQ75" s="14"/>
      <c r="AR75" s="14"/>
      <c r="AS75" s="14"/>
      <c r="AT75" s="14"/>
    </row>
    <row r="76">
      <c r="A76" s="442"/>
      <c r="B76" s="607">
        <v>4.0</v>
      </c>
      <c r="C76" s="608" t="s">
        <v>332</v>
      </c>
      <c r="D76" s="609" t="s">
        <v>21</v>
      </c>
      <c r="E76" s="609" t="s">
        <v>47</v>
      </c>
      <c r="F76" s="610" t="s">
        <v>63</v>
      </c>
      <c r="G76" s="611" t="str">
        <f>IF(Summary!$Y$27&gt;=VLOOKUP(C76,Reference!$N$6:$O$36,2,0),2,0)</f>
        <v>2</v>
      </c>
      <c r="H76" s="611">
        <v>0.0</v>
      </c>
      <c r="I76" s="612">
        <v>1.0</v>
      </c>
      <c r="J76" s="612"/>
      <c r="K76" s="613" t="s">
        <v>188</v>
      </c>
      <c r="L76" s="613"/>
      <c r="M76" s="613">
        <v>4.0</v>
      </c>
      <c r="N76" s="613">
        <v>4.0</v>
      </c>
      <c r="O76" s="614" t="s">
        <v>333</v>
      </c>
      <c r="P76" s="14"/>
      <c r="Q76" s="452" t="str">
        <f>MATCH($D76,Reference!$J$5:$J$9,0)</f>
        <v>3</v>
      </c>
      <c r="R76" s="452" t="str">
        <f>MATCH($E76,Reference!$J$26:$J$32,0)</f>
        <v>6</v>
      </c>
      <c r="S76" s="452" t="str">
        <f>MATCH($F76,Reference!$J$45:$J$54,0)</f>
        <v>2</v>
      </c>
      <c r="T76" s="453" t="str">
        <f>MATCH($K76,Reference!$J$37:$J$39,0)</f>
        <v>3</v>
      </c>
      <c r="U76" s="454" t="str">
        <f t="shared" si="95"/>
        <v>2</v>
      </c>
      <c r="V76" s="454" t="str">
        <f t="shared" si="3"/>
        <v>1</v>
      </c>
      <c r="W76" s="455">
        <v>0.0</v>
      </c>
      <c r="X76" s="454" t="str">
        <f t="shared" si="96"/>
        <v>2</v>
      </c>
      <c r="Y76" s="456" t="str">
        <f t="shared" si="5"/>
        <v>FALSE</v>
      </c>
      <c r="Z76" s="456" t="str">
        <f t="shared" si="6"/>
        <v>FALSE</v>
      </c>
      <c r="AA76" s="457" t="str">
        <f t="shared" ref="AA76:AB76" si="153">1-I76</f>
        <v>0%</v>
      </c>
      <c r="AB76" s="457" t="str">
        <f t="shared" si="153"/>
        <v>100%</v>
      </c>
      <c r="AC76" s="456" t="str">
        <f t="shared" si="8"/>
        <v>2</v>
      </c>
      <c r="AD76" s="458" t="str">
        <f t="shared" si="98"/>
        <v>0</v>
      </c>
      <c r="AE76" s="458" t="str">
        <f t="shared" si="10"/>
        <v>1</v>
      </c>
      <c r="AF76" s="459" t="str">
        <f t="shared" si="143"/>
        <v>0</v>
      </c>
      <c r="AG76" s="460"/>
    </row>
    <row r="77">
      <c r="A77" s="466"/>
      <c r="B77" s="547">
        <v>5.0</v>
      </c>
      <c r="C77" s="548" t="s">
        <v>334</v>
      </c>
      <c r="D77" s="549" t="s">
        <v>21</v>
      </c>
      <c r="E77" s="549" t="s">
        <v>33</v>
      </c>
      <c r="F77" s="550" t="s">
        <v>63</v>
      </c>
      <c r="G77" s="551">
        <v>2.0</v>
      </c>
      <c r="H77" s="551">
        <v>0.0</v>
      </c>
      <c r="I77" s="553">
        <v>1.0</v>
      </c>
      <c r="J77" s="553">
        <v>1.0</v>
      </c>
      <c r="K77" s="554" t="s">
        <v>162</v>
      </c>
      <c r="L77" s="554"/>
      <c r="M77" s="554"/>
      <c r="N77" s="554"/>
      <c r="O77" s="555" t="s">
        <v>335</v>
      </c>
      <c r="P77" s="14"/>
      <c r="Q77" s="452" t="str">
        <f>MATCH($D77,Reference!$J$5:$J$9,0)</f>
        <v>3</v>
      </c>
      <c r="R77" s="452" t="str">
        <f>MATCH($E77,Reference!$J$26:$J$32,0)</f>
        <v>2</v>
      </c>
      <c r="S77" s="452" t="str">
        <f>MATCH($F77,Reference!$J$45:$J$54,0)</f>
        <v>2</v>
      </c>
      <c r="T77" s="453" t="str">
        <f>MATCH($K77,Reference!$J$37:$J$39,0)</f>
        <v>2</v>
      </c>
      <c r="U77" s="454" t="str">
        <f t="shared" si="95"/>
        <v>2</v>
      </c>
      <c r="V77" s="454" t="str">
        <f t="shared" si="3"/>
        <v>1</v>
      </c>
      <c r="W77" s="454" t="str">
        <f t="shared" ref="W77:W81" si="155">(MIN(G77,2)+H77-U77)*100</f>
        <v>0</v>
      </c>
      <c r="X77" s="454" t="str">
        <f t="shared" si="96"/>
        <v>2</v>
      </c>
      <c r="Y77" s="456" t="str">
        <f t="shared" si="5"/>
        <v>FALSE</v>
      </c>
      <c r="Z77" s="456" t="str">
        <f t="shared" si="6"/>
        <v>FALSE</v>
      </c>
      <c r="AA77" s="457" t="str">
        <f t="shared" ref="AA77:AB77" si="154">1-I77</f>
        <v>0%</v>
      </c>
      <c r="AB77" s="457" t="str">
        <f t="shared" si="154"/>
        <v>0%</v>
      </c>
      <c r="AC77" s="456" t="str">
        <f t="shared" si="8"/>
        <v>2</v>
      </c>
      <c r="AD77" s="458" t="str">
        <f t="shared" si="98"/>
        <v>0</v>
      </c>
      <c r="AE77" s="458" t="str">
        <f t="shared" si="10"/>
        <v>1</v>
      </c>
      <c r="AF77" s="459" t="str">
        <f t="shared" si="143"/>
        <v>0</v>
      </c>
      <c r="AG77" s="460"/>
      <c r="AH77" s="521" t="s">
        <v>65</v>
      </c>
      <c r="AI77" s="106"/>
      <c r="AJ77" s="106"/>
      <c r="AK77" s="106"/>
      <c r="AL77" s="106"/>
      <c r="AM77" s="106"/>
      <c r="AN77" s="106"/>
      <c r="AO77" s="106"/>
      <c r="AP77" s="106"/>
      <c r="AQ77" s="106"/>
      <c r="AR77" s="106"/>
      <c r="AS77" s="106"/>
      <c r="AT77" s="106"/>
      <c r="AU77" s="106"/>
      <c r="AV77" s="106"/>
      <c r="AW77" s="106"/>
      <c r="AX77" s="106"/>
    </row>
    <row r="78">
      <c r="A78" s="682"/>
      <c r="B78" s="594">
        <v>5.0</v>
      </c>
      <c r="C78" s="595" t="s">
        <v>336</v>
      </c>
      <c r="D78" s="575" t="s">
        <v>21</v>
      </c>
      <c r="E78" s="575" t="s">
        <v>35</v>
      </c>
      <c r="F78" s="576" t="s">
        <v>63</v>
      </c>
      <c r="G78" s="596">
        <v>1.0</v>
      </c>
      <c r="H78" s="597">
        <v>0.0</v>
      </c>
      <c r="I78" s="598">
        <v>1.0</v>
      </c>
      <c r="J78" s="598">
        <v>1.0</v>
      </c>
      <c r="K78" s="600" t="s">
        <v>188</v>
      </c>
      <c r="L78" s="600" t="s">
        <v>238</v>
      </c>
      <c r="M78" s="600">
        <v>2.0</v>
      </c>
      <c r="N78" s="600">
        <v>6.0</v>
      </c>
      <c r="O78" s="599" t="s">
        <v>337</v>
      </c>
      <c r="P78" s="14"/>
      <c r="Q78" s="452" t="str">
        <f>MATCH($D78,Reference!$J$5:$J$9,0)</f>
        <v>3</v>
      </c>
      <c r="R78" s="452" t="str">
        <f>MATCH($E78,Reference!$J$26:$J$32,0)</f>
        <v>5</v>
      </c>
      <c r="S78" s="452" t="str">
        <f>MATCH($F78,Reference!$J$45:$J$54,0)</f>
        <v>2</v>
      </c>
      <c r="T78" s="453" t="str">
        <f>MATCH($K78,Reference!$J$37:$J$39,0)</f>
        <v>3</v>
      </c>
      <c r="U78" s="454" t="str">
        <f t="shared" si="95"/>
        <v>1</v>
      </c>
      <c r="V78" s="454" t="str">
        <f t="shared" si="3"/>
        <v>1</v>
      </c>
      <c r="W78" s="454" t="str">
        <f t="shared" si="155"/>
        <v>0</v>
      </c>
      <c r="X78" s="454" t="str">
        <f t="shared" si="96"/>
        <v>1</v>
      </c>
      <c r="Y78" s="456" t="str">
        <f t="shared" si="5"/>
        <v>FALSE</v>
      </c>
      <c r="Z78" s="456" t="str">
        <f t="shared" si="6"/>
        <v>TRUE</v>
      </c>
      <c r="AA78" s="457" t="str">
        <f t="shared" ref="AA78:AB78" si="156">1-I78</f>
        <v>0%</v>
      </c>
      <c r="AB78" s="457" t="str">
        <f t="shared" si="156"/>
        <v>0%</v>
      </c>
      <c r="AC78" s="456" t="str">
        <f t="shared" si="8"/>
        <v>1</v>
      </c>
      <c r="AD78" s="458" t="str">
        <f t="shared" si="98"/>
        <v>0</v>
      </c>
      <c r="AE78" s="458" t="str">
        <f t="shared" si="10"/>
        <v>1</v>
      </c>
      <c r="AF78" s="459" t="str">
        <f t="shared" si="143"/>
        <v>0</v>
      </c>
      <c r="AG78" s="460"/>
      <c r="AH78" s="523" t="s">
        <v>141</v>
      </c>
      <c r="AI78" s="524" t="s">
        <v>24</v>
      </c>
      <c r="AJ78" s="106"/>
      <c r="AK78" s="524" t="s">
        <v>33</v>
      </c>
      <c r="AL78" s="106"/>
      <c r="AM78" s="524" t="s">
        <v>37</v>
      </c>
      <c r="AN78" s="106"/>
      <c r="AO78" s="524" t="s">
        <v>41</v>
      </c>
      <c r="AP78" s="106"/>
      <c r="AQ78" s="524" t="s">
        <v>35</v>
      </c>
      <c r="AR78" s="106"/>
      <c r="AS78" s="525" t="s">
        <v>217</v>
      </c>
      <c r="AT78" s="106"/>
      <c r="AU78" s="525" t="s">
        <v>36</v>
      </c>
      <c r="AV78" s="106"/>
      <c r="AW78" s="525" t="s">
        <v>218</v>
      </c>
      <c r="AX78" s="106"/>
    </row>
    <row r="79">
      <c r="A79" s="682"/>
      <c r="B79" s="560">
        <v>5.0</v>
      </c>
      <c r="C79" s="561" t="s">
        <v>338</v>
      </c>
      <c r="D79" s="562" t="s">
        <v>21</v>
      </c>
      <c r="E79" s="563" t="s">
        <v>36</v>
      </c>
      <c r="F79" s="562" t="s">
        <v>63</v>
      </c>
      <c r="G79" s="564">
        <v>2.0</v>
      </c>
      <c r="H79" s="564">
        <v>0.0</v>
      </c>
      <c r="I79" s="565">
        <v>1.0</v>
      </c>
      <c r="J79" s="565">
        <v>1.0</v>
      </c>
      <c r="K79" s="563" t="s">
        <v>188</v>
      </c>
      <c r="L79" s="563"/>
      <c r="M79" s="563">
        <v>3.0</v>
      </c>
      <c r="N79" s="563">
        <v>3.0</v>
      </c>
      <c r="O79" s="566" t="s">
        <v>339</v>
      </c>
      <c r="P79" s="14"/>
      <c r="Q79" s="452" t="str">
        <f>MATCH($D79,Reference!$J$5:$J$9,0)</f>
        <v>3</v>
      </c>
      <c r="R79" s="452" t="str">
        <f>MATCH($E79,Reference!$J$26:$J$32,0)</f>
        <v>7</v>
      </c>
      <c r="S79" s="452" t="str">
        <f>MATCH($F79,Reference!$J$45:$J$54,0)</f>
        <v>2</v>
      </c>
      <c r="T79" s="453" t="str">
        <f>MATCH($K79,Reference!$J$37:$J$39,0)</f>
        <v>3</v>
      </c>
      <c r="U79" s="454" t="str">
        <f t="shared" si="95"/>
        <v>2</v>
      </c>
      <c r="V79" s="454" t="str">
        <f t="shared" si="3"/>
        <v>1</v>
      </c>
      <c r="W79" s="454" t="str">
        <f t="shared" si="155"/>
        <v>0</v>
      </c>
      <c r="X79" s="454" t="str">
        <f t="shared" si="96"/>
        <v>2</v>
      </c>
      <c r="Y79" s="456" t="str">
        <f t="shared" si="5"/>
        <v>FALSE</v>
      </c>
      <c r="Z79" s="456" t="str">
        <f t="shared" si="6"/>
        <v>FALSE</v>
      </c>
      <c r="AA79" s="457" t="str">
        <f t="shared" ref="AA79:AB79" si="157">1-I79</f>
        <v>0%</v>
      </c>
      <c r="AB79" s="457" t="str">
        <f t="shared" si="157"/>
        <v>0%</v>
      </c>
      <c r="AC79" s="456" t="str">
        <f t="shared" si="8"/>
        <v>2</v>
      </c>
      <c r="AD79" s="458" t="str">
        <f t="shared" si="98"/>
        <v>0</v>
      </c>
      <c r="AE79" s="458" t="str">
        <f t="shared" si="10"/>
        <v>1</v>
      </c>
      <c r="AF79" s="459" t="str">
        <f t="shared" si="143"/>
        <v>0</v>
      </c>
      <c r="AG79" s="460"/>
      <c r="AH79" s="587" t="s">
        <v>221</v>
      </c>
      <c r="AI79" s="499"/>
      <c r="AJ79" s="588"/>
      <c r="AK79" s="499"/>
      <c r="AL79" s="588"/>
      <c r="AM79" s="499"/>
      <c r="AN79" s="588"/>
      <c r="AO79" s="499"/>
      <c r="AP79" s="588"/>
      <c r="AQ79" s="499"/>
      <c r="AR79" s="588"/>
      <c r="AS79" s="499"/>
      <c r="AT79" s="588"/>
      <c r="AU79" s="499"/>
      <c r="AV79" s="588"/>
      <c r="AW79" s="499"/>
      <c r="AX79" s="588"/>
    </row>
    <row r="80">
      <c r="A80" s="466"/>
      <c r="B80" s="560">
        <v>6.0</v>
      </c>
      <c r="C80" s="561" t="s">
        <v>340</v>
      </c>
      <c r="D80" s="562" t="s">
        <v>21</v>
      </c>
      <c r="E80" s="563" t="s">
        <v>36</v>
      </c>
      <c r="F80" s="562" t="s">
        <v>63</v>
      </c>
      <c r="G80" s="564">
        <v>2.0</v>
      </c>
      <c r="H80" s="564">
        <v>0.0</v>
      </c>
      <c r="I80" s="565">
        <v>1.0</v>
      </c>
      <c r="J80" s="565">
        <v>1.0</v>
      </c>
      <c r="K80" s="563" t="s">
        <v>162</v>
      </c>
      <c r="L80" s="563"/>
      <c r="M80" s="563"/>
      <c r="N80" s="563"/>
      <c r="O80" s="566" t="s">
        <v>341</v>
      </c>
      <c r="P80" s="14"/>
      <c r="Q80" s="452" t="str">
        <f>MATCH($D80,Reference!$J$5:$J$9,0)</f>
        <v>3</v>
      </c>
      <c r="R80" s="452" t="str">
        <f>MATCH($E80,Reference!$J$26:$J$32,0)</f>
        <v>7</v>
      </c>
      <c r="S80" s="452" t="str">
        <f>MATCH($F80,Reference!$J$45:$J$54,0)</f>
        <v>2</v>
      </c>
      <c r="T80" s="453" t="str">
        <f>MATCH($K80,Reference!$J$37:$J$39,0)</f>
        <v>2</v>
      </c>
      <c r="U80" s="454" t="str">
        <f t="shared" si="95"/>
        <v>2</v>
      </c>
      <c r="V80" s="454" t="str">
        <f t="shared" si="3"/>
        <v>1</v>
      </c>
      <c r="W80" s="454" t="str">
        <f t="shared" si="155"/>
        <v>0</v>
      </c>
      <c r="X80" s="454" t="str">
        <f t="shared" si="96"/>
        <v>2</v>
      </c>
      <c r="Y80" s="456" t="str">
        <f t="shared" si="5"/>
        <v>FALSE</v>
      </c>
      <c r="Z80" s="456" t="str">
        <f t="shared" si="6"/>
        <v>FALSE</v>
      </c>
      <c r="AA80" s="457" t="str">
        <f t="shared" ref="AA80:AB80" si="158">1-I80</f>
        <v>0%</v>
      </c>
      <c r="AB80" s="457" t="str">
        <f t="shared" si="158"/>
        <v>0%</v>
      </c>
      <c r="AC80" s="456" t="str">
        <f t="shared" si="8"/>
        <v>2</v>
      </c>
      <c r="AD80" s="458" t="str">
        <f t="shared" si="98"/>
        <v>0</v>
      </c>
      <c r="AE80" s="458" t="str">
        <f t="shared" si="10"/>
        <v>1</v>
      </c>
      <c r="AF80" s="459" t="str">
        <f t="shared" si="143"/>
        <v>0</v>
      </c>
      <c r="AG80" s="460"/>
      <c r="AH80" s="643" t="s">
        <v>10</v>
      </c>
      <c r="AI80" s="534" t="str">
        <f t="shared" ref="AI80:AJ80" si="159">SUM(AM80+AK80+AO80+AQ80+AS80+AU80)</f>
        <v>10</v>
      </c>
      <c r="AJ80" s="535" t="str">
        <f t="shared" si="159"/>
        <v>10</v>
      </c>
      <c r="AK80" s="449" t="str">
        <f>sumifs($V$2:$V700, $E$2:$E700, "Basic", $F$2:F700, "Mage")</f>
        <v>10</v>
      </c>
      <c r="AL80" s="537" t="str">
        <f>COUNTIFS($E$2:$E700, "Basic", $E$2:$E700, "Basic", $F$2:F700, "Mage" )</f>
        <v>10</v>
      </c>
      <c r="AM80" s="644"/>
      <c r="AN80" s="645"/>
      <c r="AO80" s="449"/>
      <c r="AP80" s="537"/>
      <c r="AQ80" s="449"/>
      <c r="AR80" s="537"/>
      <c r="AS80" s="449"/>
      <c r="AT80" s="537"/>
      <c r="AU80" s="449"/>
      <c r="AV80" s="537"/>
      <c r="AW80" s="449"/>
      <c r="AX80" s="537"/>
    </row>
    <row r="81">
      <c r="A81" s="442"/>
      <c r="B81" s="547">
        <v>6.0</v>
      </c>
      <c r="C81" s="548" t="s">
        <v>342</v>
      </c>
      <c r="D81" s="549" t="s">
        <v>21</v>
      </c>
      <c r="E81" s="549" t="s">
        <v>33</v>
      </c>
      <c r="F81" s="550" t="s">
        <v>63</v>
      </c>
      <c r="G81" s="551">
        <v>2.0</v>
      </c>
      <c r="H81" s="551">
        <v>0.0</v>
      </c>
      <c r="I81" s="553">
        <v>1.0</v>
      </c>
      <c r="J81" s="553">
        <v>1.0</v>
      </c>
      <c r="K81" s="554" t="s">
        <v>188</v>
      </c>
      <c r="L81" s="554" t="s">
        <v>238</v>
      </c>
      <c r="M81" s="554">
        <v>6.0</v>
      </c>
      <c r="N81" s="554">
        <v>5.0</v>
      </c>
      <c r="O81" s="555" t="s">
        <v>343</v>
      </c>
      <c r="P81" s="14"/>
      <c r="Q81" s="452" t="str">
        <f>MATCH($D81,Reference!$J$5:$J$9,0)</f>
        <v>3</v>
      </c>
      <c r="R81" s="452" t="str">
        <f>MATCH($E81,Reference!$J$26:$J$32,0)</f>
        <v>2</v>
      </c>
      <c r="S81" s="452" t="str">
        <f>MATCH($F81,Reference!$J$45:$J$54,0)</f>
        <v>2</v>
      </c>
      <c r="T81" s="453" t="str">
        <f>MATCH($K81,Reference!$J$37:$J$39,0)</f>
        <v>3</v>
      </c>
      <c r="U81" s="454" t="str">
        <f t="shared" si="95"/>
        <v>2</v>
      </c>
      <c r="V81" s="454" t="str">
        <f t="shared" si="3"/>
        <v>1</v>
      </c>
      <c r="W81" s="454" t="str">
        <f t="shared" si="155"/>
        <v>0</v>
      </c>
      <c r="X81" s="454" t="str">
        <f t="shared" si="96"/>
        <v>2</v>
      </c>
      <c r="Y81" s="456" t="str">
        <f t="shared" si="5"/>
        <v>FALSE</v>
      </c>
      <c r="Z81" s="456" t="str">
        <f t="shared" si="6"/>
        <v>FALSE</v>
      </c>
      <c r="AA81" s="457" t="str">
        <f t="shared" ref="AA81:AB81" si="160">1-I81</f>
        <v>0%</v>
      </c>
      <c r="AB81" s="457" t="str">
        <f t="shared" si="160"/>
        <v>0%</v>
      </c>
      <c r="AC81" s="456" t="str">
        <f t="shared" si="8"/>
        <v>2</v>
      </c>
      <c r="AD81" s="458" t="str">
        <f t="shared" si="98"/>
        <v>0</v>
      </c>
      <c r="AE81" s="458" t="str">
        <f t="shared" si="10"/>
        <v>1</v>
      </c>
      <c r="AF81" s="459" t="str">
        <f t="shared" si="143"/>
        <v>0</v>
      </c>
      <c r="AG81" s="460"/>
      <c r="AH81" s="405" t="s">
        <v>15</v>
      </c>
      <c r="AI81" s="522" t="str">
        <f t="shared" ref="AI81:AJ81" si="161">SUM(AM81+AK81+AO81+AQ81+AS81+AU81)</f>
        <v>13</v>
      </c>
      <c r="AJ81" s="544" t="str">
        <f t="shared" si="161"/>
        <v>13</v>
      </c>
      <c r="AK81" s="499" t="str">
        <f>sumifs($V$2:$V700, $D$2:$D700, "Common", $E$2:$E700, "Classic", $F$2:F700, "Mage")</f>
        <v>6</v>
      </c>
      <c r="AL81" s="588" t="str">
        <f>COUNTIFS($D$2:$D700, "Common", $E$2:$E700, "Classic", $F$2:F700, "Mage" )</f>
        <v>6</v>
      </c>
      <c r="AM81" s="531" t="str">
        <f>sumifs($V$2:$V700, $D$2:$D700, "Common", $E$2:$E700, "Promo", $F$2:F700, "Mage")</f>
        <v>0</v>
      </c>
      <c r="AN81" s="647" t="str">
        <f>COUNTIFS($D$2:$D700, "Common", $E$2:$E700, "Promo", $F$2:F700, "Mage" )</f>
        <v>0</v>
      </c>
      <c r="AO81" s="499" t="str">
        <f>sumifs($V$2:$V700, $D$2:$D700, "Common", $E$2:$E700, "Naxx", $F$2:F700, "Mage")</f>
        <v>1</v>
      </c>
      <c r="AP81" s="588" t="str">
        <f>COUNTIFS($D$2:$D700, "Common", $E$2:$E700, "Naxx", $F$2:F700, "Mage" )</f>
        <v>1</v>
      </c>
      <c r="AQ81" s="499" t="str">
        <f>sumifs($V$2:$V700, $D$2:$D700, "Common", $E$2:$E700, "GvG", $F$2:F700, "Mage")</f>
        <v>2</v>
      </c>
      <c r="AR81" s="588" t="str">
        <f>COUNTIFS($D$2:$D700, "Common", $E$2:$E700, "GvG", $F$2:F700, "Mage" )</f>
        <v>2</v>
      </c>
      <c r="AS81" s="499" t="str">
        <f>sumifs($V$2:$V700, $D$2:$D700, "Common", $E$2:$E700, "Blackrock", $F$2:F700, "Mage")</f>
        <v>1</v>
      </c>
      <c r="AT81" s="588" t="str">
        <f>COUNTIFS($D$2:$D700, "Common", $E$2:$E700, "Blackrock", $F$2:F700, "Mage" )</f>
        <v>1</v>
      </c>
      <c r="AU81" s="499" t="str">
        <f>sumifs($V$2:$V700, $D$2:$D700, "Common", $E$2:$E700, "TGT", $F$2:F700, "Mage")</f>
        <v>3</v>
      </c>
      <c r="AV81" s="588" t="str">
        <f>COUNTIFS($D$2:$D700, "Common", $E$2:$E700, "TGT", $F$2:F700, "Mage" )</f>
        <v>3</v>
      </c>
      <c r="AW81" s="531">
        <v>0.0</v>
      </c>
      <c r="AX81" s="647">
        <v>0.0</v>
      </c>
    </row>
    <row r="82">
      <c r="A82" s="466"/>
      <c r="B82" s="634">
        <v>1.0</v>
      </c>
      <c r="C82" s="635" t="s">
        <v>344</v>
      </c>
      <c r="D82" s="636" t="s">
        <v>22</v>
      </c>
      <c r="E82" s="636" t="s">
        <v>33</v>
      </c>
      <c r="F82" s="637" t="s">
        <v>63</v>
      </c>
      <c r="G82" s="639">
        <v>0.0</v>
      </c>
      <c r="H82" s="638">
        <v>0.0</v>
      </c>
      <c r="I82" s="640">
        <v>1.0</v>
      </c>
      <c r="J82" s="640">
        <v>1.0</v>
      </c>
      <c r="K82" s="641" t="s">
        <v>162</v>
      </c>
      <c r="L82" s="641"/>
      <c r="M82" s="641"/>
      <c r="N82" s="641"/>
      <c r="O82" s="642" t="s">
        <v>345</v>
      </c>
      <c r="P82" s="14"/>
      <c r="Q82" s="452" t="str">
        <f>MATCH($D82,Reference!$J$5:$J$9,0)</f>
        <v>4</v>
      </c>
      <c r="R82" s="452" t="str">
        <f>MATCH($E82,Reference!$J$26:$J$32,0)</f>
        <v>2</v>
      </c>
      <c r="S82" s="452" t="str">
        <f>MATCH($F82,Reference!$J$45:$J$54,0)</f>
        <v>2</v>
      </c>
      <c r="T82" s="453" t="str">
        <f>MATCH($K82,Reference!$J$37:$J$39,0)</f>
        <v>2</v>
      </c>
      <c r="U82" s="454" t="str">
        <f t="shared" si="95"/>
        <v>0</v>
      </c>
      <c r="V82" s="454" t="str">
        <f t="shared" si="3"/>
        <v>0</v>
      </c>
      <c r="W82" s="454" t="str">
        <f t="shared" ref="W82:W88" si="163">(MIN(G82,2)+H82-U82)*400</f>
        <v>0</v>
      </c>
      <c r="X82" s="454" t="str">
        <f t="shared" si="96"/>
        <v>0</v>
      </c>
      <c r="Y82" s="456" t="str">
        <f t="shared" si="5"/>
        <v>TRUE</v>
      </c>
      <c r="Z82" s="456" t="str">
        <f t="shared" si="6"/>
        <v>FALSE</v>
      </c>
      <c r="AA82" s="457" t="str">
        <f t="shared" ref="AA82:AB82" si="162">1-I82</f>
        <v>0%</v>
      </c>
      <c r="AB82" s="457" t="str">
        <f t="shared" si="162"/>
        <v>0%</v>
      </c>
      <c r="AC82" s="456" t="str">
        <f t="shared" si="8"/>
        <v>0</v>
      </c>
      <c r="AD82" s="458" t="str">
        <f t="shared" si="98"/>
        <v>0</v>
      </c>
      <c r="AE82" s="458" t="str">
        <f t="shared" si="10"/>
        <v>0</v>
      </c>
      <c r="AF82" s="459" t="str">
        <f t="shared" ref="AF82:AF88" si="165">(MIN(H82,2)+G82-U82)*100</f>
        <v>0</v>
      </c>
      <c r="AG82" s="460"/>
      <c r="AH82" s="556" t="s">
        <v>21</v>
      </c>
      <c r="AI82" s="557" t="str">
        <f>SUM(AM83+AK82+AO82+AQ82+AS82+AU82)</f>
        <v>12</v>
      </c>
      <c r="AJ82" s="558" t="str">
        <f>SUM(AN82+AL82+AP82+AR82+AT82+AV82)</f>
        <v>12</v>
      </c>
      <c r="AK82" s="554" t="str">
        <f>sumifs($V$2:$V700, $D$2:$D700, "Rare", $E$2:$E700, "Classic", $F$2:F700, "Mage")</f>
        <v>5</v>
      </c>
      <c r="AL82" s="656" t="str">
        <f>COUNTIFS($D$2:$D700, "Rare", $E$2:$E700, "Classic", $F$2:F700, "Mage" )</f>
        <v>5</v>
      </c>
      <c r="AM82" s="657" t="str">
        <f>sumifs($V$2:$V700, $D$2:$D700, "Rare", $E$2:$E700, "Promo", $F$2:F700, "Mage")</f>
        <v>0</v>
      </c>
      <c r="AN82" s="658" t="str">
        <f>COUNTIFS($D$2:$D700, "Rare", $E$2:$E700, "Promo", $F$2:F700, "Mage" )</f>
        <v>0</v>
      </c>
      <c r="AO82" s="554" t="str">
        <f>sumifs($V$2:$V700, $D$2:$D700, "Rare", $E$2:$E700, "Naxx", $F$2:F700, "Mage")</f>
        <v>0</v>
      </c>
      <c r="AP82" s="656" t="str">
        <f>COUNTIFS($D$2:$D700, "Rare", $E$2:$E700, "Naxx", $F$2:F700, "Mage" )</f>
        <v>0</v>
      </c>
      <c r="AQ82" s="554" t="str">
        <f>sumifs($V$2:$V700, $D$2:$D700, "Rare", $E$2:$E700, "GvG", $F$2:F700, "Mage")</f>
        <v>3</v>
      </c>
      <c r="AR82" s="656" t="str">
        <f>COUNTIFS($D$2:$D700, "Rare", $E$2:$E700, "GvG", $F$2:F700, "Mage" )</f>
        <v>3</v>
      </c>
      <c r="AS82" s="554" t="str">
        <f>sumifs($V$2:$V700, $D$2:$D700, "Rare", $E$2:$E700, "Blackrock", $F$2:F700, "Mage")</f>
        <v>1</v>
      </c>
      <c r="AT82" s="656" t="str">
        <f>COUNTIFS($D$2:$D700, "Rare", $E$2:$E700, "Blackrock", $F$2:F700, "Mage" )</f>
        <v>1</v>
      </c>
      <c r="AU82" s="554" t="str">
        <f>sumifs($V$2:$V700, $D$2:$D700, "Rare", $E$2:$E700, "TGT", $F$2:F700, "Mage")</f>
        <v>3</v>
      </c>
      <c r="AV82" s="656" t="str">
        <f>COUNTIFS($D$2:$D700, "Rare", $E$2:$E700, "TGT", $F$2:F700, "Mage" )</f>
        <v>3</v>
      </c>
      <c r="AW82" s="657">
        <v>0.0</v>
      </c>
      <c r="AX82" s="658">
        <v>0.0</v>
      </c>
    </row>
    <row r="83">
      <c r="A83" s="466"/>
      <c r="B83" s="625">
        <v>2.0</v>
      </c>
      <c r="C83" s="646" t="s">
        <v>346</v>
      </c>
      <c r="D83" s="627" t="s">
        <v>22</v>
      </c>
      <c r="E83" s="627" t="s">
        <v>35</v>
      </c>
      <c r="F83" s="628" t="s">
        <v>63</v>
      </c>
      <c r="G83" s="700">
        <v>2.0</v>
      </c>
      <c r="H83" s="630">
        <v>0.0</v>
      </c>
      <c r="I83" s="631">
        <v>1.0</v>
      </c>
      <c r="J83" s="631">
        <v>1.0</v>
      </c>
      <c r="K83" s="701" t="s">
        <v>162</v>
      </c>
      <c r="L83" s="632"/>
      <c r="M83" s="701"/>
      <c r="N83" s="701"/>
      <c r="O83" s="633" t="s">
        <v>347</v>
      </c>
      <c r="P83" s="14"/>
      <c r="Q83" s="452" t="str">
        <f>MATCH($D83,Reference!$J$5:$J$9,0)</f>
        <v>4</v>
      </c>
      <c r="R83" s="452" t="str">
        <f>MATCH($E83,Reference!$J$26:$J$32,0)</f>
        <v>5</v>
      </c>
      <c r="S83" s="452" t="str">
        <f>MATCH($F83,Reference!$J$45:$J$54,0)</f>
        <v>2</v>
      </c>
      <c r="T83" s="453" t="str">
        <f>MATCH($K83,Reference!$J$37:$J$39,0)</f>
        <v>2</v>
      </c>
      <c r="U83" s="454" t="str">
        <f t="shared" si="95"/>
        <v>2</v>
      </c>
      <c r="V83" s="454" t="str">
        <f t="shared" si="3"/>
        <v>1</v>
      </c>
      <c r="W83" s="454" t="str">
        <f t="shared" si="163"/>
        <v>0</v>
      </c>
      <c r="X83" s="454" t="str">
        <f t="shared" si="96"/>
        <v>2</v>
      </c>
      <c r="Y83" s="456" t="str">
        <f t="shared" si="5"/>
        <v>FALSE</v>
      </c>
      <c r="Z83" s="456" t="str">
        <f t="shared" si="6"/>
        <v>FALSE</v>
      </c>
      <c r="AA83" s="457" t="str">
        <f t="shared" ref="AA83:AB83" si="164">1-I83</f>
        <v>0%</v>
      </c>
      <c r="AB83" s="457" t="str">
        <f t="shared" si="164"/>
        <v>0%</v>
      </c>
      <c r="AC83" s="456" t="str">
        <f t="shared" si="8"/>
        <v>2</v>
      </c>
      <c r="AD83" s="458" t="str">
        <f t="shared" si="98"/>
        <v>0</v>
      </c>
      <c r="AE83" s="458" t="str">
        <f t="shared" si="10"/>
        <v>1</v>
      </c>
      <c r="AF83" s="459" t="str">
        <f t="shared" si="165"/>
        <v>0</v>
      </c>
      <c r="AG83" s="460"/>
      <c r="AH83" s="567" t="s">
        <v>22</v>
      </c>
      <c r="AI83" s="568" t="str">
        <f t="shared" ref="AI83:AJ83" si="166">SUM(AM83+AK83+AO83+AQ83+AS83+AU83)</f>
        <v>6</v>
      </c>
      <c r="AJ83" s="569" t="str">
        <f t="shared" si="166"/>
        <v>7</v>
      </c>
      <c r="AK83" s="641" t="str">
        <f>sumifs($V$2:$V700, $D$2:$D700, "Epic", $E$2:$E700, "Classic", $F$2:F700, "Mage")</f>
        <v>3</v>
      </c>
      <c r="AL83" s="666" t="str">
        <f>COUNTIFS($D$2:$D700, "Epic", $E$2:$E700, "Classic", $F$2:F700, "Mage" )</f>
        <v>3</v>
      </c>
      <c r="AM83" s="667" t="str">
        <f>sumifs($V$2:$V700, $D$2:$D700, "Epic", $E$2:$E700, "Promo", $F$2:F700, "Mage")</f>
        <v>0</v>
      </c>
      <c r="AN83" s="668" t="str">
        <f>COUNTIFS($D$2:$D700, "Epic", $E$2:$E700, "Promo", $F$2:F700, "Mage" )</f>
        <v>0</v>
      </c>
      <c r="AO83" s="641" t="str">
        <f>sumifs($V$2:$V700, $D$2:$D700, "Epic", $E$2:$E700, "Naxx", $F$2:F700, "Mage")</f>
        <v>0</v>
      </c>
      <c r="AP83" s="666" t="str">
        <f>COUNTIFS($D$2:$D700, "Epic", $E$2:$E700, "Naxx", $F$2:F700, "Mage" )</f>
        <v>0</v>
      </c>
      <c r="AQ83" s="641" t="str">
        <f>sumifs($V$2:$V700, $D$2:$D700, "Epic", $E$2:$E700, "GvG", $F$2:F700, "Mage")</f>
        <v>1</v>
      </c>
      <c r="AR83" s="666" t="str">
        <f>COUNTIFS($D$2:$D700, "Epic", $E$2:$E700, "GvG", $F$2:F700, "Mage" )</f>
        <v>2</v>
      </c>
      <c r="AS83" s="641" t="str">
        <f>sumifs($V$2:$V700, $D$2:$D700, "Epic", $E$2:$E700, "Blackrock", $F$2:F700, "Mage")</f>
        <v>0</v>
      </c>
      <c r="AT83" s="666" t="str">
        <f>COUNTIFS($D$2:$D700, "Epic", $E$2:$E700, "Blackrock", $F$2:F700, "Mage" )</f>
        <v>0</v>
      </c>
      <c r="AU83" s="641" t="str">
        <f>sumifs($V$2:$V700, $D$2:$D700, "Epic", $E$2:$E700, "TGT", $F$2:F700, "Mage")</f>
        <v>2</v>
      </c>
      <c r="AV83" s="666" t="str">
        <f>COUNTIFS($D$2:$D700, "Epic", $E$2:$E700, "TGT", $F$2:F700, "Mage" )</f>
        <v>2</v>
      </c>
      <c r="AW83" s="667">
        <v>0.0</v>
      </c>
      <c r="AX83" s="668">
        <v>0.0</v>
      </c>
    </row>
    <row r="84">
      <c r="A84" s="466"/>
      <c r="B84" s="618">
        <v>2.0</v>
      </c>
      <c r="C84" s="619" t="s">
        <v>348</v>
      </c>
      <c r="D84" s="620" t="s">
        <v>22</v>
      </c>
      <c r="E84" s="621" t="s">
        <v>36</v>
      </c>
      <c r="F84" s="620" t="s">
        <v>63</v>
      </c>
      <c r="G84" s="622">
        <v>2.0</v>
      </c>
      <c r="H84" s="622">
        <v>0.0</v>
      </c>
      <c r="I84" s="623">
        <v>1.33</v>
      </c>
      <c r="J84" s="623">
        <v>1.33</v>
      </c>
      <c r="K84" s="621" t="s">
        <v>162</v>
      </c>
      <c r="L84" s="621"/>
      <c r="M84" s="621"/>
      <c r="N84" s="621"/>
      <c r="O84" s="624" t="s">
        <v>349</v>
      </c>
      <c r="P84" s="14"/>
      <c r="Q84" s="452" t="str">
        <f>MATCH($D84,Reference!$J$5:$J$9,0)</f>
        <v>4</v>
      </c>
      <c r="R84" s="452" t="str">
        <f>MATCH($E84,Reference!$J$26:$J$32,0)</f>
        <v>7</v>
      </c>
      <c r="S84" s="452" t="str">
        <f>MATCH($F84,Reference!$J$45:$J$54,0)</f>
        <v>2</v>
      </c>
      <c r="T84" s="453" t="str">
        <f>MATCH($K84,Reference!$J$37:$J$39,0)</f>
        <v>2</v>
      </c>
      <c r="U84" s="454" t="str">
        <f t="shared" si="95"/>
        <v>2</v>
      </c>
      <c r="V84" s="454" t="str">
        <f t="shared" si="3"/>
        <v>1</v>
      </c>
      <c r="W84" s="454" t="str">
        <f t="shared" si="163"/>
        <v>0</v>
      </c>
      <c r="X84" s="454" t="str">
        <f t="shared" si="96"/>
        <v>2</v>
      </c>
      <c r="Y84" s="456" t="str">
        <f t="shared" si="5"/>
        <v>FALSE</v>
      </c>
      <c r="Z84" s="456" t="str">
        <f t="shared" si="6"/>
        <v>FALSE</v>
      </c>
      <c r="AA84" s="457" t="str">
        <f t="shared" ref="AA84:AB84" si="167">1-I84</f>
        <v>-33%</v>
      </c>
      <c r="AB84" s="457" t="str">
        <f t="shared" si="167"/>
        <v>-33%</v>
      </c>
      <c r="AC84" s="456" t="str">
        <f t="shared" si="8"/>
        <v>2</v>
      </c>
      <c r="AD84" s="458" t="str">
        <f t="shared" si="98"/>
        <v>0</v>
      </c>
      <c r="AE84" s="458" t="str">
        <f t="shared" si="10"/>
        <v>1</v>
      </c>
      <c r="AF84" s="459" t="str">
        <f t="shared" si="165"/>
        <v>0</v>
      </c>
      <c r="AG84" s="460"/>
      <c r="AH84" s="583" t="s">
        <v>23</v>
      </c>
      <c r="AI84" s="584" t="str">
        <f t="shared" ref="AI84:AJ84" si="168">SUM(AM84+AK84+AO84+AQ84+AS84+AU84)</f>
        <v>2</v>
      </c>
      <c r="AJ84" s="585" t="str">
        <f t="shared" si="168"/>
        <v>3</v>
      </c>
      <c r="AK84" s="677" t="str">
        <f>sumifs($V$2:$V700, $D$2:$D700, "Legendary", $E$2:$E700, "Classic", $F$2:F700, "Mage")</f>
        <v>1</v>
      </c>
      <c r="AL84" s="678" t="str">
        <f>COUNTIFS($D$2:$D700, "Legendary", $E$2:$E700, "Classic", $F$2:F700, "Mage" )</f>
        <v>1</v>
      </c>
      <c r="AM84" s="679" t="str">
        <f>sumifs($V$2:$V700, $D$2:$D700, "Legendary", $E$2:$E700, "Promo", $F$2:F700, "Mage")</f>
        <v>0</v>
      </c>
      <c r="AN84" s="680" t="str">
        <f>COUNTIFS($D$2:$D700, "Legendary", $E$2:$E700, "Promo", $F$2:F700, "Mage" )</f>
        <v>0</v>
      </c>
      <c r="AO84" s="677" t="str">
        <f>sumifs($V$2:$V700, $D$2:$D700, "Legendary", $E$2:$E700, "Naxx", $F$2:F700, "Mage")</f>
        <v>0</v>
      </c>
      <c r="AP84" s="678" t="str">
        <f>COUNTIFS($D$2:$D700, "Legendary", $E$2:$E700, "Naxx", $F$2:F700, "Mage" )</f>
        <v>0</v>
      </c>
      <c r="AQ84" s="677" t="str">
        <f>sumifs($V$2:$V700, $D$2:$D700, "Legendary", $E$2:$E700, "GvG", $F$2:F700, "Mage")</f>
        <v>0</v>
      </c>
      <c r="AR84" s="678" t="str">
        <f>COUNTIFS($D$2:$D700, "Legendary", $E$2:$E700, "GvG", $F$2:F700, "Mage" )</f>
        <v>1</v>
      </c>
      <c r="AS84" s="677" t="str">
        <f>sumifs($V$2:$V700, $D$2:$D700, "Legendary", $E$2:$E700, "Blackrock", $F$2:F700, "Mage")</f>
        <v>0</v>
      </c>
      <c r="AT84" s="678" t="str">
        <f>COUNTIFS($D$2:$D700, "Legendary", $E$2:$E700, "Blackrock", $F$2:F700, "Mage" )</f>
        <v>0</v>
      </c>
      <c r="AU84" s="677" t="str">
        <f>sumifs($V$2:$V700, $D$2:$D700, "Legendary", $E$2:$E700, "TGT", $F$2:F700, "Mage")</f>
        <v>1</v>
      </c>
      <c r="AV84" s="678" t="str">
        <f>COUNTIFS($D$2:$D700, "Legendary", $E$2:$E700, "TGT", $F$2:F700, "Mage" )</f>
        <v>1</v>
      </c>
      <c r="AW84" s="679">
        <v>0.0</v>
      </c>
      <c r="AX84" s="680">
        <v>0.0</v>
      </c>
    </row>
    <row r="85">
      <c r="A85" s="469"/>
      <c r="B85" s="634">
        <v>2.0</v>
      </c>
      <c r="C85" s="635" t="s">
        <v>350</v>
      </c>
      <c r="D85" s="636" t="s">
        <v>22</v>
      </c>
      <c r="E85" s="636" t="s">
        <v>33</v>
      </c>
      <c r="F85" s="637" t="s">
        <v>63</v>
      </c>
      <c r="G85" s="638">
        <v>1.0</v>
      </c>
      <c r="H85" s="639">
        <v>0.0</v>
      </c>
      <c r="I85" s="640">
        <v>1.0</v>
      </c>
      <c r="J85" s="640">
        <v>1.0</v>
      </c>
      <c r="K85" s="641" t="s">
        <v>162</v>
      </c>
      <c r="L85" s="641" t="s">
        <v>299</v>
      </c>
      <c r="M85" s="641"/>
      <c r="N85" s="641"/>
      <c r="O85" s="642" t="s">
        <v>351</v>
      </c>
      <c r="P85" s="14"/>
      <c r="Q85" s="452" t="str">
        <f>MATCH($D85,Reference!$J$5:$J$9,0)</f>
        <v>4</v>
      </c>
      <c r="R85" s="452" t="str">
        <f>MATCH($E85,Reference!$J$26:$J$32,0)</f>
        <v>2</v>
      </c>
      <c r="S85" s="452" t="str">
        <f>MATCH($F85,Reference!$J$45:$J$54,0)</f>
        <v>2</v>
      </c>
      <c r="T85" s="453" t="str">
        <f>MATCH($K85,Reference!$J$37:$J$39,0)</f>
        <v>2</v>
      </c>
      <c r="U85" s="454" t="str">
        <f t="shared" si="95"/>
        <v>1</v>
      </c>
      <c r="V85" s="454" t="str">
        <f t="shared" si="3"/>
        <v>1</v>
      </c>
      <c r="W85" s="454" t="str">
        <f t="shared" si="163"/>
        <v>0</v>
      </c>
      <c r="X85" s="454" t="str">
        <f t="shared" si="96"/>
        <v>1</v>
      </c>
      <c r="Y85" s="456" t="str">
        <f t="shared" si="5"/>
        <v>FALSE</v>
      </c>
      <c r="Z85" s="456" t="str">
        <f t="shared" si="6"/>
        <v>FALSE</v>
      </c>
      <c r="AA85" s="457" t="str">
        <f t="shared" ref="AA85:AB85" si="169">1-I85</f>
        <v>0%</v>
      </c>
      <c r="AB85" s="457" t="str">
        <f t="shared" si="169"/>
        <v>0%</v>
      </c>
      <c r="AC85" s="456" t="str">
        <f t="shared" si="8"/>
        <v>1</v>
      </c>
      <c r="AD85" s="458" t="str">
        <f t="shared" si="98"/>
        <v>0</v>
      </c>
      <c r="AE85" s="458" t="str">
        <f t="shared" si="10"/>
        <v>1</v>
      </c>
      <c r="AF85" s="459" t="str">
        <f t="shared" si="165"/>
        <v>0</v>
      </c>
      <c r="AG85" s="460"/>
      <c r="AH85" s="587" t="s">
        <v>234</v>
      </c>
      <c r="AI85" s="499"/>
      <c r="AJ85" s="588"/>
      <c r="AK85" s="499"/>
      <c r="AL85" s="588"/>
      <c r="AM85" s="499"/>
      <c r="AN85" s="588"/>
      <c r="AO85" s="499"/>
      <c r="AP85" s="588"/>
      <c r="AQ85" s="499"/>
      <c r="AR85" s="588"/>
      <c r="AS85" s="499"/>
      <c r="AT85" s="588"/>
      <c r="AU85" s="499"/>
      <c r="AV85" s="588"/>
      <c r="AW85" s="499"/>
      <c r="AX85" s="588"/>
    </row>
    <row r="86">
      <c r="A86" s="463"/>
      <c r="B86" s="625">
        <v>2.0</v>
      </c>
      <c r="C86" s="646" t="s">
        <v>352</v>
      </c>
      <c r="D86" s="627" t="s">
        <v>22</v>
      </c>
      <c r="E86" s="627" t="s">
        <v>35</v>
      </c>
      <c r="F86" s="628" t="s">
        <v>63</v>
      </c>
      <c r="G86" s="629">
        <v>1.0</v>
      </c>
      <c r="H86" s="630">
        <v>0.0</v>
      </c>
      <c r="I86" s="631">
        <v>1.0</v>
      </c>
      <c r="J86" s="631">
        <v>1.0</v>
      </c>
      <c r="K86" s="632" t="s">
        <v>188</v>
      </c>
      <c r="L86" s="632"/>
      <c r="M86" s="632">
        <v>2.0</v>
      </c>
      <c r="N86" s="632">
        <v>3.0</v>
      </c>
      <c r="O86" s="633" t="s">
        <v>353</v>
      </c>
      <c r="P86" s="14"/>
      <c r="Q86" s="452" t="str">
        <f>MATCH($D86,Reference!$J$5:$J$9,0)</f>
        <v>4</v>
      </c>
      <c r="R86" s="452" t="str">
        <f>MATCH($E86,Reference!$J$26:$J$32,0)</f>
        <v>5</v>
      </c>
      <c r="S86" s="452" t="str">
        <f>MATCH($F86,Reference!$J$45:$J$54,0)</f>
        <v>2</v>
      </c>
      <c r="T86" s="453" t="str">
        <f>MATCH($K86,Reference!$J$37:$J$39,0)</f>
        <v>3</v>
      </c>
      <c r="U86" s="454" t="str">
        <f t="shared" si="95"/>
        <v>1</v>
      </c>
      <c r="V86" s="454" t="str">
        <f t="shared" si="3"/>
        <v>1</v>
      </c>
      <c r="W86" s="454" t="str">
        <f t="shared" si="163"/>
        <v>0</v>
      </c>
      <c r="X86" s="454" t="str">
        <f t="shared" si="96"/>
        <v>1</v>
      </c>
      <c r="Y86" s="456" t="str">
        <f t="shared" si="5"/>
        <v>FALSE</v>
      </c>
      <c r="Z86" s="456" t="str">
        <f t="shared" si="6"/>
        <v>FALSE</v>
      </c>
      <c r="AA86" s="457" t="str">
        <f t="shared" ref="AA86:AB86" si="170">1-I86</f>
        <v>0%</v>
      </c>
      <c r="AB86" s="457" t="str">
        <f t="shared" si="170"/>
        <v>0%</v>
      </c>
      <c r="AC86" s="456" t="str">
        <f t="shared" si="8"/>
        <v>1</v>
      </c>
      <c r="AD86" s="458" t="str">
        <f t="shared" si="98"/>
        <v>0</v>
      </c>
      <c r="AE86" s="458" t="str">
        <f t="shared" si="10"/>
        <v>1</v>
      </c>
      <c r="AF86" s="459" t="str">
        <f t="shared" si="165"/>
        <v>0</v>
      </c>
      <c r="AG86" s="460"/>
      <c r="AH86" s="643" t="s">
        <v>10</v>
      </c>
      <c r="AI86" s="534" t="str">
        <f t="shared" ref="AI86:AJ86" si="171">SUM(AM86+AK86+AO86+AQ86+AS86+AU86)</f>
        <v>20</v>
      </c>
      <c r="AJ86" s="535" t="str">
        <f t="shared" si="171"/>
        <v>20</v>
      </c>
      <c r="AK86" s="449" t="str">
        <f>sumifs($U$2:$U700, $E$2:$E700, "Basic", $F$2:F700, "Mage")</f>
        <v>20</v>
      </c>
      <c r="AL86" s="535" t="str">
        <f>COUNTIFS($E$2:$E700, "Basic", $F$2:F700, "Mage" )*2</f>
        <v>20</v>
      </c>
      <c r="AM86" s="449"/>
      <c r="AN86" s="537"/>
      <c r="AO86" s="449"/>
      <c r="AP86" s="537"/>
      <c r="AQ86" s="449"/>
      <c r="AR86" s="537"/>
      <c r="AS86" s="449"/>
      <c r="AT86" s="537"/>
      <c r="AU86" s="449"/>
      <c r="AV86" s="537"/>
      <c r="AW86" s="449"/>
      <c r="AX86" s="537"/>
    </row>
    <row r="87">
      <c r="A87" s="466"/>
      <c r="B87" s="618">
        <v>3.0</v>
      </c>
      <c r="C87" s="619" t="s">
        <v>354</v>
      </c>
      <c r="D87" s="620" t="s">
        <v>22</v>
      </c>
      <c r="E87" s="621" t="s">
        <v>36</v>
      </c>
      <c r="F87" s="620" t="s">
        <v>63</v>
      </c>
      <c r="G87" s="622">
        <v>2.0</v>
      </c>
      <c r="H87" s="622">
        <v>0.0</v>
      </c>
      <c r="I87" s="623">
        <v>1.0</v>
      </c>
      <c r="J87" s="623">
        <v>1.0</v>
      </c>
      <c r="K87" s="621" t="s">
        <v>188</v>
      </c>
      <c r="L87" s="621"/>
      <c r="M87" s="621">
        <v>4.0</v>
      </c>
      <c r="N87" s="621">
        <v>2.0</v>
      </c>
      <c r="O87" s="624" t="s">
        <v>355</v>
      </c>
      <c r="P87" s="14"/>
      <c r="Q87" s="452" t="str">
        <f>MATCH($D87,Reference!$J$5:$J$9,0)</f>
        <v>4</v>
      </c>
      <c r="R87" s="452" t="str">
        <f>MATCH($E87,Reference!$J$26:$J$32,0)</f>
        <v>7</v>
      </c>
      <c r="S87" s="452" t="str">
        <f>MATCH($F87,Reference!$J$45:$J$54,0)</f>
        <v>2</v>
      </c>
      <c r="T87" s="453" t="str">
        <f>MATCH($K87,Reference!$J$37:$J$39,0)</f>
        <v>3</v>
      </c>
      <c r="U87" s="454" t="str">
        <f t="shared" si="95"/>
        <v>2</v>
      </c>
      <c r="V87" s="454" t="str">
        <f t="shared" si="3"/>
        <v>1</v>
      </c>
      <c r="W87" s="454" t="str">
        <f t="shared" si="163"/>
        <v>0</v>
      </c>
      <c r="X87" s="454" t="str">
        <f t="shared" si="96"/>
        <v>2</v>
      </c>
      <c r="Y87" s="456" t="str">
        <f t="shared" si="5"/>
        <v>FALSE</v>
      </c>
      <c r="Z87" s="456" t="str">
        <f t="shared" si="6"/>
        <v>FALSE</v>
      </c>
      <c r="AA87" s="457" t="str">
        <f t="shared" ref="AA87:AB87" si="172">1-I87</f>
        <v>0%</v>
      </c>
      <c r="AB87" s="457" t="str">
        <f t="shared" si="172"/>
        <v>0%</v>
      </c>
      <c r="AC87" s="456" t="str">
        <f t="shared" si="8"/>
        <v>2</v>
      </c>
      <c r="AD87" s="458" t="str">
        <f t="shared" si="98"/>
        <v>0</v>
      </c>
      <c r="AE87" s="458" t="str">
        <f t="shared" si="10"/>
        <v>1</v>
      </c>
      <c r="AF87" s="459" t="str">
        <f t="shared" si="165"/>
        <v>0</v>
      </c>
      <c r="AG87" s="460"/>
      <c r="AH87" s="591" t="s">
        <v>15</v>
      </c>
      <c r="AI87" s="522" t="str">
        <f t="shared" ref="AI87:AJ87" si="173">SUM(AM87+AK87+AO87+AQ87+AS87+AU87)</f>
        <v>26</v>
      </c>
      <c r="AJ87" s="544" t="str">
        <f t="shared" si="173"/>
        <v>26</v>
      </c>
      <c r="AK87" s="499" t="str">
        <f>sumifs($U$2:$U700, $D$2:$D700, "Common", $E$2:$E700, "Classic", $F$2:F700, "Mage")</f>
        <v>12</v>
      </c>
      <c r="AL87" s="544" t="str">
        <f>COUNTIFS($D$2:$D700, "Common", $E$2:$E700, "Classic", $F$2:F700, "Mage" )*2</f>
        <v>12</v>
      </c>
      <c r="AM87" s="531" t="str">
        <f>sumifs($U$2:$U700, $D$2:$D700, "Common", $E$2:$E700, "Promo", $F$2:F700, "Mage")</f>
        <v>0</v>
      </c>
      <c r="AN87" s="647" t="str">
        <f>COUNTIFS($D$2:$D700, "Common", $E$2:$E700, "Promo", $F$2:F700, "Mage" )*2</f>
        <v>0</v>
      </c>
      <c r="AO87" s="499" t="str">
        <f>sumifs($U$2:$U700, $D$2:$D700, "Common", $E$2:$E700, "Naxx", $F$2:F700, "Mage")</f>
        <v>2</v>
      </c>
      <c r="AP87" s="544" t="str">
        <f>COUNTIFS($D$2:$D700, "Common", $E$2:$E700, "Naxx", $F$2:F700, "Mage" )*2</f>
        <v>2</v>
      </c>
      <c r="AQ87" s="499" t="str">
        <f>sumifs($U$2:$U700, $D$2:$D700, "Common", $E$2:$E700, "GvG", $F$2:F700, "Mage")</f>
        <v>4</v>
      </c>
      <c r="AR87" s="544" t="str">
        <f>COUNTIFS($D$2:$D700, "Common", $E$2:$E700, "GvG", $F$2:F700, "Mage" )*2</f>
        <v>4</v>
      </c>
      <c r="AS87" s="499" t="str">
        <f>sumifs($U$2:$U700, $D$2:$D700, "Common", $E$2:$E700, "Blackrock", $F$2:F700, "Mage")</f>
        <v>2</v>
      </c>
      <c r="AT87" s="544" t="str">
        <f>COUNTIFS($D$2:$D700, "Common", $E$2:$E700, "Blackrock", $F$2:F700, "Mage" )*2</f>
        <v>2</v>
      </c>
      <c r="AU87" s="499" t="str">
        <f>sumifs($U$2:$U700, $D$2:$D700, "Common", $E$2:$E700, "TGT", $F$2:F700, "Mage")</f>
        <v>6</v>
      </c>
      <c r="AV87" s="544" t="str">
        <f>COUNTIFS($D$2:$D700, "Common", $E$2:$E700, "TGT", $F$2:F700, "Mage" )*2</f>
        <v>6</v>
      </c>
      <c r="AW87" s="531">
        <v>0.0</v>
      </c>
      <c r="AX87" s="647">
        <v>0.0</v>
      </c>
    </row>
    <row r="88">
      <c r="A88" s="469"/>
      <c r="B88" s="634">
        <v>7.0</v>
      </c>
      <c r="C88" s="635" t="s">
        <v>356</v>
      </c>
      <c r="D88" s="636" t="s">
        <v>22</v>
      </c>
      <c r="E88" s="636" t="s">
        <v>33</v>
      </c>
      <c r="F88" s="637" t="s">
        <v>63</v>
      </c>
      <c r="G88" s="639">
        <v>0.0</v>
      </c>
      <c r="H88" s="638">
        <v>0.0</v>
      </c>
      <c r="I88" s="640">
        <v>1.0</v>
      </c>
      <c r="J88" s="640">
        <v>1.0</v>
      </c>
      <c r="K88" s="641" t="s">
        <v>304</v>
      </c>
      <c r="L88" s="641"/>
      <c r="M88" s="641">
        <v>5.0</v>
      </c>
      <c r="N88" s="641">
        <v>2.0</v>
      </c>
      <c r="O88" s="642" t="s">
        <v>357</v>
      </c>
      <c r="P88" s="14"/>
      <c r="Q88" s="452" t="str">
        <f>MATCH($D88,Reference!$J$5:$J$9,0)</f>
        <v>4</v>
      </c>
      <c r="R88" s="452" t="str">
        <f>MATCH($E88,Reference!$J$26:$J$32,0)</f>
        <v>2</v>
      </c>
      <c r="S88" s="452" t="str">
        <f>MATCH($F88,Reference!$J$45:$J$54,0)</f>
        <v>2</v>
      </c>
      <c r="T88" s="453" t="str">
        <f>MATCH($K88,Reference!$J$37:$J$39,0)</f>
        <v>1</v>
      </c>
      <c r="U88" s="454" t="str">
        <f t="shared" si="95"/>
        <v>0</v>
      </c>
      <c r="V88" s="454" t="str">
        <f t="shared" si="3"/>
        <v>0</v>
      </c>
      <c r="W88" s="454" t="str">
        <f t="shared" si="163"/>
        <v>0</v>
      </c>
      <c r="X88" s="454" t="str">
        <f t="shared" si="96"/>
        <v>0</v>
      </c>
      <c r="Y88" s="456" t="str">
        <f t="shared" si="5"/>
        <v>TRUE</v>
      </c>
      <c r="Z88" s="456" t="str">
        <f t="shared" si="6"/>
        <v>FALSE</v>
      </c>
      <c r="AA88" s="457" t="str">
        <f t="shared" ref="AA88:AB88" si="174">1-I88</f>
        <v>0%</v>
      </c>
      <c r="AB88" s="457" t="str">
        <f t="shared" si="174"/>
        <v>0%</v>
      </c>
      <c r="AC88" s="456" t="str">
        <f t="shared" si="8"/>
        <v>0</v>
      </c>
      <c r="AD88" s="458" t="str">
        <f t="shared" si="98"/>
        <v>0</v>
      </c>
      <c r="AE88" s="458" t="str">
        <f t="shared" si="10"/>
        <v>0</v>
      </c>
      <c r="AF88" s="459" t="str">
        <f t="shared" si="165"/>
        <v>0</v>
      </c>
      <c r="AG88" s="460"/>
      <c r="AH88" s="592" t="s">
        <v>21</v>
      </c>
      <c r="AI88" s="557" t="str">
        <f t="shared" ref="AI88:AJ88" si="175">SUM(AM88+AK88+AO88+AQ88+AS88+AU88)</f>
        <v>23</v>
      </c>
      <c r="AJ88" s="558" t="str">
        <f t="shared" si="175"/>
        <v>24</v>
      </c>
      <c r="AK88" s="554" t="str">
        <f>sumifs($U$2:$U700, $D$2:$D700, "Rare", $E$2:$E700, "Classic", $F$2:F700, "Mage")</f>
        <v>10</v>
      </c>
      <c r="AL88" s="558" t="str">
        <f>COUNTIFS($D$2:$D700, "Rare", $E$2:$E700, "Classic", $F$2:F700, "Mage" )*2</f>
        <v>10</v>
      </c>
      <c r="AM88" s="657" t="str">
        <f>sumifs($U$2:$U700, $D$2:$D700, "Rare", $E$2:$E700, "Promo", $F$2:F700, "Mage")</f>
        <v>0</v>
      </c>
      <c r="AN88" s="658" t="str">
        <f>COUNTIFS($D$2:$D700, "Rare", $E$2:$E700, "Promo", $F$2:F700, "Mage" )*2</f>
        <v>0</v>
      </c>
      <c r="AO88" s="554" t="str">
        <f>sumifs($U$2:$U700, $D$2:$D700, "Rare", $E$2:$E700, "Naxx", $F$2:F700, "Mage")</f>
        <v>0</v>
      </c>
      <c r="AP88" s="558" t="str">
        <f>COUNTIFS($D$2:$D700, "Rare", $E$2:$E700, "Naxx", $F$2:F700, "Mage" )*2</f>
        <v>0</v>
      </c>
      <c r="AQ88" s="554" t="str">
        <f>sumifs($U$2:$U700, $D$2:$D700, "Rare", $E$2:$E700, "GvG", $F$2:F700, "Mage")</f>
        <v>5</v>
      </c>
      <c r="AR88" s="558" t="str">
        <f>COUNTIFS($D$2:$D700, "Rare", $E$2:$E700, "GvG", $F$2:F700, "Mage" )*2</f>
        <v>6</v>
      </c>
      <c r="AS88" s="554" t="str">
        <f>sumifs($U$2:$U700, $D$2:$D700, "Rare", $E$2:$E700, "Blackrock", $F$2:F700, "Mage")</f>
        <v>2</v>
      </c>
      <c r="AT88" s="558" t="str">
        <f>COUNTIFS($D$2:$D700, "Rare", $E$2:$E700, "Blackrock", $F$2:F700, "Mage" )*2</f>
        <v>2</v>
      </c>
      <c r="AU88" s="554" t="str">
        <f>sumifs($U$2:$U700, $D$2:$D700, "Rare", $E$2:$E700, "TGT", $F$2:F700, "Mage")</f>
        <v>6</v>
      </c>
      <c r="AV88" s="558" t="str">
        <f>COUNTIFS($D$2:$D700, "Rare", $E$2:$E700, "TGT", $F$2:F700, "Mage" )*2</f>
        <v>6</v>
      </c>
      <c r="AW88" s="657">
        <v>0.0</v>
      </c>
      <c r="AX88" s="658">
        <v>0.0</v>
      </c>
    </row>
    <row r="89">
      <c r="A89" s="442"/>
      <c r="B89" s="659">
        <v>3.0</v>
      </c>
      <c r="C89" s="660" t="s">
        <v>358</v>
      </c>
      <c r="D89" s="661" t="s">
        <v>23</v>
      </c>
      <c r="E89" s="662" t="s">
        <v>36</v>
      </c>
      <c r="F89" s="661" t="s">
        <v>63</v>
      </c>
      <c r="G89" s="663">
        <v>1.0</v>
      </c>
      <c r="H89" s="663">
        <v>0.0</v>
      </c>
      <c r="I89" s="664">
        <v>1.0</v>
      </c>
      <c r="J89" s="664">
        <v>1.0</v>
      </c>
      <c r="K89" s="662" t="s">
        <v>188</v>
      </c>
      <c r="L89" s="662" t="s">
        <v>238</v>
      </c>
      <c r="M89" s="662">
        <v>4.0</v>
      </c>
      <c r="N89" s="662">
        <v>2.0</v>
      </c>
      <c r="O89" s="665" t="s">
        <v>359</v>
      </c>
      <c r="P89" s="14"/>
      <c r="Q89" s="452" t="str">
        <f>MATCH($D89,Reference!$J$5:$J$9,0)</f>
        <v>5</v>
      </c>
      <c r="R89" s="452" t="str">
        <f>MATCH($E89,Reference!$J$26:$J$32,0)</f>
        <v>7</v>
      </c>
      <c r="S89" s="452" t="str">
        <f>MATCH($F89,Reference!$J$45:$J$54,0)</f>
        <v>2</v>
      </c>
      <c r="T89" s="453" t="str">
        <f>MATCH($K89,Reference!$J$37:$J$39,0)</f>
        <v>3</v>
      </c>
      <c r="U89" s="454" t="str">
        <f t="shared" ref="U89:U92" si="178">MIN((G89+H89),1)</f>
        <v>1</v>
      </c>
      <c r="V89" s="454" t="str">
        <f t="shared" si="3"/>
        <v>1</v>
      </c>
      <c r="W89" s="454" t="str">
        <f t="shared" ref="W89:W92" si="179">(MIN(G89,2)+H89-U89)*1600</f>
        <v>0</v>
      </c>
      <c r="X89" s="454" t="str">
        <f t="shared" ref="X89:X92" si="180">MIN((G89+H89+1),2)</f>
        <v>2</v>
      </c>
      <c r="Y89" s="456" t="str">
        <f t="shared" si="5"/>
        <v>FALSE</v>
      </c>
      <c r="Z89" s="456" t="str">
        <f t="shared" si="6"/>
        <v>TRUE</v>
      </c>
      <c r="AA89" s="457" t="str">
        <f t="shared" ref="AA89:AB89" si="176">1-I89</f>
        <v>0%</v>
      </c>
      <c r="AB89" s="457" t="str">
        <f t="shared" si="176"/>
        <v>0%</v>
      </c>
      <c r="AC89" s="456" t="str">
        <f t="shared" si="8"/>
        <v>1</v>
      </c>
      <c r="AD89" s="458" t="str">
        <f t="shared" ref="AD89:AD92" si="182">MIN((H89),1)</f>
        <v>0</v>
      </c>
      <c r="AE89" s="458" t="str">
        <f t="shared" si="10"/>
        <v>1</v>
      </c>
      <c r="AF89" s="459" t="str">
        <f t="shared" ref="AF89:AF92" si="183">(MIN(H89,2)+G89-U89)*400</f>
        <v>0</v>
      </c>
      <c r="AG89" s="460"/>
      <c r="AH89" s="593" t="s">
        <v>22</v>
      </c>
      <c r="AI89" s="568" t="str">
        <f t="shared" ref="AI89:AJ89" si="177">SUM(AM89+AK89+AO89+AQ89+AS89+AU89)</f>
        <v>9</v>
      </c>
      <c r="AJ89" s="569" t="str">
        <f t="shared" si="177"/>
        <v>14</v>
      </c>
      <c r="AK89" s="641" t="str">
        <f>sumifs($U$2:$U700, $D$2:$D700, "Epic", $E$2:$E700, "Classic", $F$2:F700, "Mage")</f>
        <v>6</v>
      </c>
      <c r="AL89" s="569" t="str">
        <f>COUNTIFS($D$2:$D700, "Epic", $E$2:$E700, "Classic", $F$2:F700, "Mage" )*2</f>
        <v>6</v>
      </c>
      <c r="AM89" s="667" t="str">
        <f>sumifs($U$2:$U700, $D$2:$D700, "Epic", $E$2:$E700, "Promo", $F$2:F700, "Mage")</f>
        <v>0</v>
      </c>
      <c r="AN89" s="668" t="str">
        <f>COUNTIFS($D$2:$D700, "Epic", $E$2:$E700, "Promo", $F$2:F700, "Mage" )*2</f>
        <v>0</v>
      </c>
      <c r="AO89" s="641" t="str">
        <f>sumifs($U$2:$U700, $D$2:$D700, "Epic", $E$2:$E700, "Naxx", $F$2:F700, "Mage")</f>
        <v>0</v>
      </c>
      <c r="AP89" s="569" t="str">
        <f>COUNTIFS($D$2:$D700, "Epic", $E$2:$E700, "Naxx", $F$2:F700, "Mage" )*2</f>
        <v>0</v>
      </c>
      <c r="AQ89" s="641" t="str">
        <f>sumifs($U$2:$U700, $D$2:$D700, "Epic", $E$2:$E700, "GvG", $F$2:F700, "Mage")</f>
        <v>1</v>
      </c>
      <c r="AR89" s="569" t="str">
        <f>COUNTIFS($D$2:$D700, "Epic", $E$2:$E700, "GvG", $F$2:F700, "Mage" )*2</f>
        <v>4</v>
      </c>
      <c r="AS89" s="641" t="str">
        <f>sumifs($U$2:$U700, $D$2:$D700, "Epic", $E$2:$E700, "Blackrock", $F$2:F700, "Mage")</f>
        <v>0</v>
      </c>
      <c r="AT89" s="569" t="str">
        <f>COUNTIFS($D$2:$D700, "Epic", $E$2:$E700, "Blackrock", $F$2:F700, "Mage" )*2</f>
        <v>0</v>
      </c>
      <c r="AU89" s="641" t="str">
        <f>sumifs($U$2:$U700, $D$2:$D700, "Epic", $E$2:$E700, "TGT", $F$2:F700, "Mage")</f>
        <v>2</v>
      </c>
      <c r="AV89" s="569" t="str">
        <f>COUNTIFS($D$2:$D700, "Epic", $E$2:$E700, "TGT", $F$2:F700, "Mage" )*2</f>
        <v>4</v>
      </c>
      <c r="AW89" s="667">
        <v>0.0</v>
      </c>
      <c r="AX89" s="668">
        <v>0.0</v>
      </c>
    </row>
    <row r="90">
      <c r="A90" s="442"/>
      <c r="B90" s="659">
        <v>7.0</v>
      </c>
      <c r="C90" s="660" t="s">
        <v>360</v>
      </c>
      <c r="D90" s="661" t="s">
        <v>23</v>
      </c>
      <c r="E90" s="662" t="s">
        <v>36</v>
      </c>
      <c r="F90" s="661" t="s">
        <v>63</v>
      </c>
      <c r="G90" s="663">
        <v>0.0</v>
      </c>
      <c r="H90" s="663">
        <v>0.0</v>
      </c>
      <c r="I90" s="664">
        <v>1.0</v>
      </c>
      <c r="J90" s="664">
        <v>1.0</v>
      </c>
      <c r="K90" s="662" t="s">
        <v>188</v>
      </c>
      <c r="L90" s="662" t="s">
        <v>238</v>
      </c>
      <c r="M90" s="662">
        <v>4.0</v>
      </c>
      <c r="N90" s="662">
        <v>2.0</v>
      </c>
      <c r="O90" s="665" t="s">
        <v>361</v>
      </c>
      <c r="P90" s="14"/>
      <c r="Q90" s="452" t="str">
        <f>MATCH($D90,Reference!$J$5:$J$9,0)</f>
        <v>5</v>
      </c>
      <c r="R90" s="452" t="str">
        <f>MATCH($E90,Reference!$J$26:$J$32,0)</f>
        <v>7</v>
      </c>
      <c r="S90" s="452" t="str">
        <f>MATCH($F90,Reference!$J$45:$J$54,0)</f>
        <v>2</v>
      </c>
      <c r="T90" s="453" t="str">
        <f>MATCH($K90,Reference!$J$37:$J$39,0)</f>
        <v>3</v>
      </c>
      <c r="U90" s="454" t="str">
        <f t="shared" si="178"/>
        <v>0</v>
      </c>
      <c r="V90" s="454" t="str">
        <f t="shared" si="3"/>
        <v>0</v>
      </c>
      <c r="W90" s="454" t="str">
        <f t="shared" si="179"/>
        <v>0</v>
      </c>
      <c r="X90" s="454" t="str">
        <f t="shared" si="180"/>
        <v>1</v>
      </c>
      <c r="Y90" s="456" t="str">
        <f t="shared" si="5"/>
        <v>TRUE</v>
      </c>
      <c r="Z90" s="456" t="str">
        <f t="shared" si="6"/>
        <v>TRUE</v>
      </c>
      <c r="AA90" s="457" t="str">
        <f t="shared" ref="AA90:AB90" si="181">1-I90</f>
        <v>0%</v>
      </c>
      <c r="AB90" s="457" t="str">
        <f t="shared" si="181"/>
        <v>0%</v>
      </c>
      <c r="AC90" s="456" t="str">
        <f t="shared" si="8"/>
        <v>0</v>
      </c>
      <c r="AD90" s="458" t="str">
        <f t="shared" si="182"/>
        <v>0</v>
      </c>
      <c r="AE90" s="458" t="str">
        <f t="shared" si="10"/>
        <v>0</v>
      </c>
      <c r="AF90" s="459" t="str">
        <f t="shared" si="183"/>
        <v>0</v>
      </c>
      <c r="AG90" s="460"/>
      <c r="AH90" s="583" t="s">
        <v>23</v>
      </c>
      <c r="AI90" s="584" t="str">
        <f t="shared" ref="AI90:AJ90" si="184">SUM(AM90+AK90+AO90+AQ90+AS90+AU90)</f>
        <v>2</v>
      </c>
      <c r="AJ90" s="585" t="str">
        <f t="shared" si="184"/>
        <v>3</v>
      </c>
      <c r="AK90" s="677" t="str">
        <f>sumifs($U$2:$U700, $D$2:$D700, "Legendary", $E$2:$E700, "Classic", $F$2:F700, "Mage")</f>
        <v>1</v>
      </c>
      <c r="AL90" s="678" t="str">
        <f>COUNTIFS($D$2:$D700, "Legendary", $E$2:$E700, "Classic", $F$2:F700, "Mage" )</f>
        <v>1</v>
      </c>
      <c r="AM90" s="679" t="str">
        <f>sumifs($U$2:$U700, $D$2:$D700, "Legendary", $E$2:$E700, "Promo", $F$2:F700, "Mage")</f>
        <v>0</v>
      </c>
      <c r="AN90" s="680" t="str">
        <f>COUNTIFS($D$2:$D700, "Legendary", $E$2:$E700, "Promo", $F$2:F700, "Mage" )</f>
        <v>0</v>
      </c>
      <c r="AO90" s="677" t="str">
        <f>sumifs($U$2:$U700, $D$2:$D700, "Legendary", $E$2:$E700, "Naxx", $F$2:F700, "Mage")</f>
        <v>0</v>
      </c>
      <c r="AP90" s="678" t="str">
        <f>COUNTIFS($D$2:$D700, "Legendary", $E$2:$E700, "Naxx", $F$2:F700, "Mage" )</f>
        <v>0</v>
      </c>
      <c r="AQ90" s="677" t="str">
        <f>sumifs($U$2:$U700, $D$2:$D700, "Legendary", $E$2:$E700, "GvG", $F$2:F700, "Mage")</f>
        <v>0</v>
      </c>
      <c r="AR90" s="678" t="str">
        <f>COUNTIFS($D$2:$D700, "Legendary", $E$2:$E700, "GvG", $F$2:F700, "Mage" )</f>
        <v>1</v>
      </c>
      <c r="AS90" s="677" t="str">
        <f>sumifs($U$2:$U700, $D$2:$D700, "Legendary", $E$2:$E700, "Blackrock", $F$2:F700, "Mage")</f>
        <v>0</v>
      </c>
      <c r="AT90" s="678" t="str">
        <f>COUNTIFS($D$2:$D700, "Legendary", $E$2:$E700, "Blackrock", $F$2:F700, "Mage" )</f>
        <v>0</v>
      </c>
      <c r="AU90" s="677" t="str">
        <f>sumifs($U$2:$U700, $D$2:$D700, "Legendary", $E$2:$E700, "TGT", $F$2:F700, "Mage")</f>
        <v>1</v>
      </c>
      <c r="AV90" s="678" t="str">
        <f>COUNTIFS($D$2:$D700, "Legendary", $E$2:$E700, "TGT", $F$2:F700, "Mage" )</f>
        <v>1</v>
      </c>
      <c r="AW90" s="679">
        <v>0.0</v>
      </c>
      <c r="AX90" s="680">
        <v>0.0</v>
      </c>
    </row>
    <row r="91">
      <c r="A91" s="469"/>
      <c r="B91" s="648">
        <v>7.0</v>
      </c>
      <c r="C91" s="649" t="s">
        <v>362</v>
      </c>
      <c r="D91" s="650" t="s">
        <v>23</v>
      </c>
      <c r="E91" s="650" t="s">
        <v>35</v>
      </c>
      <c r="F91" s="651" t="s">
        <v>63</v>
      </c>
      <c r="G91" s="653">
        <v>0.0</v>
      </c>
      <c r="H91" s="653">
        <v>0.0</v>
      </c>
      <c r="I91" s="702">
        <v>1.0</v>
      </c>
      <c r="J91" s="702"/>
      <c r="K91" s="703" t="s">
        <v>188</v>
      </c>
      <c r="L91" s="703" t="s">
        <v>238</v>
      </c>
      <c r="M91" s="703">
        <v>6.0</v>
      </c>
      <c r="N91" s="703">
        <v>9.0</v>
      </c>
      <c r="O91" s="655" t="s">
        <v>363</v>
      </c>
      <c r="P91" s="14"/>
      <c r="Q91" s="452" t="str">
        <f>MATCH($D91,Reference!$J$5:$J$9,0)</f>
        <v>5</v>
      </c>
      <c r="R91" s="452" t="str">
        <f>MATCH($E91,Reference!$J$26:$J$32,0)</f>
        <v>5</v>
      </c>
      <c r="S91" s="452" t="str">
        <f>MATCH($F91,Reference!$J$45:$J$54,0)</f>
        <v>2</v>
      </c>
      <c r="T91" s="453" t="str">
        <f>MATCH($K91,Reference!$J$37:$J$39,0)</f>
        <v>3</v>
      </c>
      <c r="U91" s="454" t="str">
        <f t="shared" si="178"/>
        <v>0</v>
      </c>
      <c r="V91" s="454" t="str">
        <f t="shared" si="3"/>
        <v>0</v>
      </c>
      <c r="W91" s="454" t="str">
        <f t="shared" si="179"/>
        <v>0</v>
      </c>
      <c r="X91" s="454" t="str">
        <f t="shared" si="180"/>
        <v>1</v>
      </c>
      <c r="Y91" s="456" t="str">
        <f t="shared" si="5"/>
        <v>TRUE</v>
      </c>
      <c r="Z91" s="456" t="str">
        <f t="shared" si="6"/>
        <v>TRUE</v>
      </c>
      <c r="AA91" s="457" t="str">
        <f t="shared" ref="AA91:AB91" si="185">1-I91</f>
        <v>0%</v>
      </c>
      <c r="AB91" s="457" t="str">
        <f t="shared" si="185"/>
        <v>100%</v>
      </c>
      <c r="AC91" s="456" t="str">
        <f t="shared" si="8"/>
        <v>1</v>
      </c>
      <c r="AD91" s="458" t="str">
        <f t="shared" si="182"/>
        <v>0</v>
      </c>
      <c r="AE91" s="458" t="str">
        <f t="shared" si="10"/>
        <v>0</v>
      </c>
      <c r="AF91" s="459" t="str">
        <f t="shared" si="183"/>
        <v>0</v>
      </c>
      <c r="AG91" s="460"/>
      <c r="AH91" s="601" t="s">
        <v>24</v>
      </c>
      <c r="AI91" s="602"/>
      <c r="AJ91" s="603"/>
      <c r="AK91" s="602"/>
      <c r="AL91" s="603"/>
      <c r="AM91" s="602"/>
      <c r="AN91" s="603"/>
      <c r="AO91" s="602"/>
      <c r="AP91" s="603"/>
      <c r="AQ91" s="602"/>
      <c r="AR91" s="603"/>
      <c r="AS91" s="602"/>
      <c r="AT91" s="603"/>
      <c r="AU91" s="602"/>
      <c r="AV91" s="603"/>
      <c r="AW91" s="602"/>
      <c r="AX91" s="603"/>
    </row>
    <row r="92">
      <c r="A92" s="509"/>
      <c r="B92" s="669">
        <v>8.0</v>
      </c>
      <c r="C92" s="670" t="s">
        <v>364</v>
      </c>
      <c r="D92" s="671" t="s">
        <v>23</v>
      </c>
      <c r="E92" s="671" t="s">
        <v>33</v>
      </c>
      <c r="F92" s="672" t="s">
        <v>63</v>
      </c>
      <c r="G92" s="673">
        <v>0.0</v>
      </c>
      <c r="H92" s="673">
        <v>0.0</v>
      </c>
      <c r="I92" s="674">
        <v>1.0</v>
      </c>
      <c r="J92" s="674"/>
      <c r="K92" s="675" t="s">
        <v>188</v>
      </c>
      <c r="L92" s="675" t="s">
        <v>238</v>
      </c>
      <c r="M92" s="675">
        <v>8.0</v>
      </c>
      <c r="N92" s="675">
        <v>8.0</v>
      </c>
      <c r="O92" s="676" t="s">
        <v>365</v>
      </c>
      <c r="P92" s="14"/>
      <c r="Q92" s="452" t="str">
        <f>MATCH($D92,Reference!$J$5:$J$9,0)</f>
        <v>5</v>
      </c>
      <c r="R92" s="452" t="str">
        <f>MATCH($E92,Reference!$J$26:$J$32,0)</f>
        <v>2</v>
      </c>
      <c r="S92" s="452" t="str">
        <f>MATCH($F92,Reference!$J$45:$J$54,0)</f>
        <v>2</v>
      </c>
      <c r="T92" s="453" t="str">
        <f>MATCH($K92,Reference!$J$37:$J$39,0)</f>
        <v>3</v>
      </c>
      <c r="U92" s="454" t="str">
        <f t="shared" si="178"/>
        <v>0</v>
      </c>
      <c r="V92" s="454" t="str">
        <f t="shared" si="3"/>
        <v>0</v>
      </c>
      <c r="W92" s="454" t="str">
        <f t="shared" si="179"/>
        <v>0</v>
      </c>
      <c r="X92" s="454" t="str">
        <f t="shared" si="180"/>
        <v>1</v>
      </c>
      <c r="Y92" s="456" t="str">
        <f t="shared" si="5"/>
        <v>TRUE</v>
      </c>
      <c r="Z92" s="456" t="str">
        <f t="shared" si="6"/>
        <v>TRUE</v>
      </c>
      <c r="AA92" s="457" t="str">
        <f t="shared" ref="AA92:AB92" si="186">1-I92</f>
        <v>0%</v>
      </c>
      <c r="AB92" s="457" t="str">
        <f t="shared" si="186"/>
        <v>100%</v>
      </c>
      <c r="AC92" s="456" t="str">
        <f t="shared" si="8"/>
        <v>1</v>
      </c>
      <c r="AD92" s="458" t="str">
        <f t="shared" si="182"/>
        <v>0</v>
      </c>
      <c r="AE92" s="458" t="str">
        <f t="shared" si="10"/>
        <v>0</v>
      </c>
      <c r="AF92" s="459" t="str">
        <f t="shared" si="183"/>
        <v>0</v>
      </c>
      <c r="AG92" s="460"/>
      <c r="AH92" s="604" t="s">
        <v>221</v>
      </c>
      <c r="AI92" s="605" t="str">
        <f t="shared" ref="AI92:AN92" si="187">SUM(AI80:AI84)</f>
        <v>43</v>
      </c>
      <c r="AJ92" s="606" t="str">
        <f t="shared" si="187"/>
        <v>45</v>
      </c>
      <c r="AK92" s="605" t="str">
        <f t="shared" si="187"/>
        <v>25</v>
      </c>
      <c r="AL92" s="606" t="str">
        <f t="shared" si="187"/>
        <v>25</v>
      </c>
      <c r="AM92" s="605" t="str">
        <f t="shared" si="187"/>
        <v>0</v>
      </c>
      <c r="AN92" s="606" t="str">
        <f t="shared" si="187"/>
        <v>0</v>
      </c>
      <c r="AO92" s="605" t="str">
        <f>sum(AO80:AO84)</f>
        <v>1</v>
      </c>
      <c r="AP92" s="606" t="str">
        <f>SUM(AP80:AP84)</f>
        <v>1</v>
      </c>
      <c r="AQ92" s="605" t="str">
        <f>sum(AQ80:AQ84)</f>
        <v>6</v>
      </c>
      <c r="AR92" s="606" t="str">
        <f>SUM(AR80:AR84)</f>
        <v>8</v>
      </c>
      <c r="AS92" s="605" t="str">
        <f t="shared" ref="AS92:AX92" si="188">sum(AS80:AS84)</f>
        <v>2</v>
      </c>
      <c r="AT92" s="606" t="str">
        <f t="shared" si="188"/>
        <v>2</v>
      </c>
      <c r="AU92" s="605" t="str">
        <f t="shared" si="188"/>
        <v>9</v>
      </c>
      <c r="AV92" s="606" t="str">
        <f t="shared" si="188"/>
        <v>9</v>
      </c>
      <c r="AW92" s="605" t="str">
        <f t="shared" si="188"/>
        <v>0</v>
      </c>
      <c r="AX92" s="606" t="str">
        <f t="shared" si="188"/>
        <v>0</v>
      </c>
    </row>
    <row r="93">
      <c r="A93" s="509"/>
      <c r="B93" s="443">
        <v>1.0</v>
      </c>
      <c r="C93" s="444" t="s">
        <v>366</v>
      </c>
      <c r="D93" s="445" t="s">
        <v>10</v>
      </c>
      <c r="E93" s="445" t="s">
        <v>10</v>
      </c>
      <c r="F93" s="445" t="s">
        <v>65</v>
      </c>
      <c r="G93" s="446" t="str">
        <f>COUNTIFS(Reference!F:F,C93,Reference!G:G,"&lt;="&amp;VLOOKUP($F93,Summary!$N$25:$O$33,2,0))</f>
        <v>2</v>
      </c>
      <c r="H93" s="447">
        <v>2.0</v>
      </c>
      <c r="I93" s="448">
        <v>1.0</v>
      </c>
      <c r="J93" s="448">
        <v>1.0</v>
      </c>
      <c r="K93" s="449" t="s">
        <v>162</v>
      </c>
      <c r="L93" s="449"/>
      <c r="M93" s="449"/>
      <c r="N93" s="449"/>
      <c r="O93" s="450" t="s">
        <v>367</v>
      </c>
      <c r="P93" s="14"/>
      <c r="Q93" s="452" t="str">
        <f>MATCH($D93,Reference!$J$5:$J$9,0)</f>
        <v>1</v>
      </c>
      <c r="R93" s="452" t="str">
        <f>MATCH($E93,Reference!$J$26:$J$32,0)</f>
        <v>1</v>
      </c>
      <c r="S93" s="452" t="str">
        <f>MATCH($F93,Reference!$J$45:$J$54,0)</f>
        <v>3</v>
      </c>
      <c r="T93" s="453" t="str">
        <f>MATCH($K93,Reference!$J$37:$J$39,0)</f>
        <v>2</v>
      </c>
      <c r="U93" s="454" t="str">
        <f t="shared" ref="U93:U134" si="192">MIN((G93+H93),2)</f>
        <v>2</v>
      </c>
      <c r="V93" s="454" t="str">
        <f t="shared" si="3"/>
        <v>1</v>
      </c>
      <c r="W93" s="455">
        <v>0.0</v>
      </c>
      <c r="X93" s="454" t="str">
        <f t="shared" ref="X93:X134" si="193">MIN((G93+H93),2)</f>
        <v>2</v>
      </c>
      <c r="Y93" s="456" t="str">
        <f t="shared" si="5"/>
        <v>FALSE</v>
      </c>
      <c r="Z93" s="456" t="str">
        <f t="shared" si="6"/>
        <v>FALSE</v>
      </c>
      <c r="AA93" s="457" t="str">
        <f t="shared" ref="AA93:AB93" si="189">1-I93</f>
        <v>0%</v>
      </c>
      <c r="AB93" s="457" t="str">
        <f t="shared" si="189"/>
        <v>0%</v>
      </c>
      <c r="AC93" s="456" t="str">
        <f t="shared" si="8"/>
        <v>2</v>
      </c>
      <c r="AD93" s="458" t="str">
        <f t="shared" ref="AD93:AD134" si="195">MIN((H93),2)</f>
        <v>2</v>
      </c>
      <c r="AE93" s="458" t="str">
        <f t="shared" si="10"/>
        <v>1</v>
      </c>
      <c r="AF93" s="459" t="str">
        <f t="shared" ref="AF93:AF102" si="196">(MIN(H93,2)+G93-U93)*0</f>
        <v>0</v>
      </c>
      <c r="AG93" s="460"/>
      <c r="AH93" s="615" t="s">
        <v>234</v>
      </c>
      <c r="AI93" s="616" t="str">
        <f t="shared" ref="AI93:AJ93" si="190">SUM(AI86:AI90)</f>
        <v>80</v>
      </c>
      <c r="AJ93" s="617" t="str">
        <f t="shared" si="190"/>
        <v>87</v>
      </c>
      <c r="AK93" s="616" t="str">
        <f>sum(AK86:AK90)</f>
        <v>49</v>
      </c>
      <c r="AL93" s="617" t="str">
        <f>SUM(AL86:AL90)</f>
        <v>49</v>
      </c>
      <c r="AM93" s="616" t="str">
        <f>sum(AM86:AM90)</f>
        <v>0</v>
      </c>
      <c r="AN93" s="617" t="str">
        <f>SUM(AN86:AN90)</f>
        <v>0</v>
      </c>
      <c r="AO93" s="616" t="str">
        <f>sum(AO86:AO90)</f>
        <v>2</v>
      </c>
      <c r="AP93" s="617" t="str">
        <f>SUM(AP86:AP90)</f>
        <v>2</v>
      </c>
      <c r="AQ93" s="616" t="str">
        <f>sum(AQ87:AQ90)</f>
        <v>10</v>
      </c>
      <c r="AR93" s="617" t="str">
        <f>SUM(AR86:AR90)</f>
        <v>15</v>
      </c>
      <c r="AS93" s="616" t="str">
        <f t="shared" ref="AS93:AX93" si="191">sum(AS86:AS90)</f>
        <v>4</v>
      </c>
      <c r="AT93" s="617" t="str">
        <f t="shared" si="191"/>
        <v>4</v>
      </c>
      <c r="AU93" s="616" t="str">
        <f t="shared" si="191"/>
        <v>15</v>
      </c>
      <c r="AV93" s="617" t="str">
        <f t="shared" si="191"/>
        <v>17</v>
      </c>
      <c r="AW93" s="616" t="str">
        <f t="shared" si="191"/>
        <v>0</v>
      </c>
      <c r="AX93" s="617" t="str">
        <f t="shared" si="191"/>
        <v>0</v>
      </c>
    </row>
    <row r="94">
      <c r="A94" s="466"/>
      <c r="B94" s="443">
        <v>1.0</v>
      </c>
      <c r="C94" s="444" t="s">
        <v>368</v>
      </c>
      <c r="D94" s="445" t="s">
        <v>10</v>
      </c>
      <c r="E94" s="445" t="s">
        <v>10</v>
      </c>
      <c r="F94" s="445" t="s">
        <v>65</v>
      </c>
      <c r="G94" s="446" t="str">
        <f>COUNTIFS(Reference!F:F,C94,Reference!G:G,"&lt;="&amp;VLOOKUP($F94,Summary!$N$25:$O$33,2,0))</f>
        <v>2</v>
      </c>
      <c r="H94" s="447">
        <v>0.0</v>
      </c>
      <c r="I94" s="448">
        <v>1.0</v>
      </c>
      <c r="J94" s="448">
        <v>1.0</v>
      </c>
      <c r="K94" s="445" t="s">
        <v>162</v>
      </c>
      <c r="L94" s="445"/>
      <c r="M94" s="445"/>
      <c r="N94" s="446"/>
      <c r="O94" s="450" t="s">
        <v>369</v>
      </c>
      <c r="P94" s="14"/>
      <c r="Q94" s="452" t="str">
        <f>MATCH($D94,Reference!$J$5:$J$9,0)</f>
        <v>1</v>
      </c>
      <c r="R94" s="452" t="str">
        <f>MATCH($E94,Reference!$J$26:$J$32,0)</f>
        <v>1</v>
      </c>
      <c r="S94" s="452" t="str">
        <f>MATCH($F94,Reference!$J$45:$J$54,0)</f>
        <v>3</v>
      </c>
      <c r="T94" s="453" t="str">
        <f>MATCH($K94,Reference!$J$37:$J$39,0)</f>
        <v>2</v>
      </c>
      <c r="U94" s="454" t="str">
        <f t="shared" si="192"/>
        <v>2</v>
      </c>
      <c r="V94" s="454" t="str">
        <f t="shared" si="3"/>
        <v>1</v>
      </c>
      <c r="W94" s="455">
        <v>0.0</v>
      </c>
      <c r="X94" s="454" t="str">
        <f t="shared" si="193"/>
        <v>2</v>
      </c>
      <c r="Y94" s="456" t="str">
        <f t="shared" si="5"/>
        <v>FALSE</v>
      </c>
      <c r="Z94" s="456" t="str">
        <f t="shared" si="6"/>
        <v>FALSE</v>
      </c>
      <c r="AA94" s="457" t="str">
        <f t="shared" ref="AA94:AB94" si="194">1-I94</f>
        <v>0%</v>
      </c>
      <c r="AB94" s="457" t="str">
        <f t="shared" si="194"/>
        <v>0%</v>
      </c>
      <c r="AC94" s="456" t="str">
        <f t="shared" si="8"/>
        <v>2</v>
      </c>
      <c r="AD94" s="458" t="str">
        <f t="shared" si="195"/>
        <v>0</v>
      </c>
      <c r="AE94" s="458" t="str">
        <f t="shared" si="10"/>
        <v>1</v>
      </c>
      <c r="AF94" s="459" t="str">
        <f t="shared" si="196"/>
        <v>0</v>
      </c>
      <c r="AG94" s="460"/>
      <c r="AH94" s="14"/>
      <c r="AI94" s="14"/>
      <c r="AJ94" s="14"/>
      <c r="AK94" s="14"/>
      <c r="AL94" s="14"/>
      <c r="AM94" s="14"/>
      <c r="AN94" s="14"/>
      <c r="AO94" s="14"/>
      <c r="AP94" s="14"/>
      <c r="AQ94" s="14"/>
      <c r="AR94" s="14"/>
      <c r="AS94" s="14"/>
      <c r="AT94" s="14"/>
    </row>
    <row r="95">
      <c r="A95" s="442"/>
      <c r="B95" s="467">
        <v>2.0</v>
      </c>
      <c r="C95" s="468" t="s">
        <v>370</v>
      </c>
      <c r="D95" s="445" t="s">
        <v>10</v>
      </c>
      <c r="E95" s="445" t="s">
        <v>10</v>
      </c>
      <c r="F95" s="445" t="s">
        <v>65</v>
      </c>
      <c r="G95" s="446" t="str">
        <f>COUNTIFS(Reference!F:F,C95,Reference!G:G,"&lt;="&amp;VLOOKUP($F95,Summary!$N$25:$O$33,2,0))</f>
        <v>2</v>
      </c>
      <c r="H95" s="447">
        <v>2.0</v>
      </c>
      <c r="I95" s="448">
        <v>1.0</v>
      </c>
      <c r="J95" s="448">
        <v>1.0</v>
      </c>
      <c r="K95" s="449" t="s">
        <v>162</v>
      </c>
      <c r="L95" s="449"/>
      <c r="M95" s="449"/>
      <c r="N95" s="449"/>
      <c r="O95" s="450" t="s">
        <v>371</v>
      </c>
      <c r="P95" s="14"/>
      <c r="Q95" s="452" t="str">
        <f>MATCH($D95,Reference!$J$5:$J$9,0)</f>
        <v>1</v>
      </c>
      <c r="R95" s="452" t="str">
        <f>MATCH($E95,Reference!$J$26:$J$32,0)</f>
        <v>1</v>
      </c>
      <c r="S95" s="452" t="str">
        <f>MATCH($F95,Reference!$J$45:$J$54,0)</f>
        <v>3</v>
      </c>
      <c r="T95" s="453" t="str">
        <f>MATCH($K95,Reference!$J$37:$J$39,0)</f>
        <v>2</v>
      </c>
      <c r="U95" s="454" t="str">
        <f t="shared" si="192"/>
        <v>2</v>
      </c>
      <c r="V95" s="454" t="str">
        <f t="shared" si="3"/>
        <v>1</v>
      </c>
      <c r="W95" s="455">
        <v>0.0</v>
      </c>
      <c r="X95" s="454" t="str">
        <f t="shared" si="193"/>
        <v>2</v>
      </c>
      <c r="Y95" s="456" t="str">
        <f t="shared" si="5"/>
        <v>FALSE</v>
      </c>
      <c r="Z95" s="456" t="str">
        <f t="shared" si="6"/>
        <v>FALSE</v>
      </c>
      <c r="AA95" s="457" t="str">
        <f t="shared" ref="AA95:AB95" si="197">1-I95</f>
        <v>0%</v>
      </c>
      <c r="AB95" s="457" t="str">
        <f t="shared" si="197"/>
        <v>0%</v>
      </c>
      <c r="AC95" s="456" t="str">
        <f t="shared" si="8"/>
        <v>2</v>
      </c>
      <c r="AD95" s="458" t="str">
        <f t="shared" si="195"/>
        <v>2</v>
      </c>
      <c r="AE95" s="458" t="str">
        <f t="shared" si="10"/>
        <v>1</v>
      </c>
      <c r="AF95" s="459" t="str">
        <f t="shared" si="196"/>
        <v>0</v>
      </c>
      <c r="AG95" s="460"/>
      <c r="AH95" s="14"/>
      <c r="AI95" s="14"/>
      <c r="AJ95" s="14"/>
      <c r="AK95" s="14"/>
      <c r="AL95" s="14"/>
      <c r="AM95" s="14"/>
      <c r="AN95" s="14"/>
      <c r="AO95" s="14"/>
      <c r="AP95" s="14"/>
      <c r="AQ95" s="14"/>
      <c r="AR95" s="14"/>
      <c r="AS95" s="14"/>
      <c r="AT95" s="14"/>
    </row>
    <row r="96">
      <c r="A96" s="442"/>
      <c r="B96" s="443">
        <v>2.0</v>
      </c>
      <c r="C96" s="444" t="s">
        <v>372</v>
      </c>
      <c r="D96" s="445" t="s">
        <v>10</v>
      </c>
      <c r="E96" s="445" t="s">
        <v>10</v>
      </c>
      <c r="F96" s="445" t="s">
        <v>65</v>
      </c>
      <c r="G96" s="446" t="str">
        <f>COUNTIFS(Reference!F:F,C96,Reference!G:G,"&lt;="&amp;VLOOKUP($F96,Summary!$N$25:$O$33,2,0))</f>
        <v>2</v>
      </c>
      <c r="H96" s="447">
        <v>0.0</v>
      </c>
      <c r="I96" s="448">
        <v>1.0</v>
      </c>
      <c r="J96" s="448">
        <v>1.0</v>
      </c>
      <c r="K96" s="449" t="s">
        <v>162</v>
      </c>
      <c r="L96" s="449"/>
      <c r="M96" s="449"/>
      <c r="N96" s="449"/>
      <c r="O96" s="450" t="s">
        <v>373</v>
      </c>
      <c r="P96" s="14"/>
      <c r="Q96" s="452" t="str">
        <f>MATCH($D96,Reference!$J$5:$J$9,0)</f>
        <v>1</v>
      </c>
      <c r="R96" s="452" t="str">
        <f>MATCH($E96,Reference!$J$26:$J$32,0)</f>
        <v>1</v>
      </c>
      <c r="S96" s="452" t="str">
        <f>MATCH($F96,Reference!$J$45:$J$54,0)</f>
        <v>3</v>
      </c>
      <c r="T96" s="453" t="str">
        <f>MATCH($K96,Reference!$J$37:$J$39,0)</f>
        <v>2</v>
      </c>
      <c r="U96" s="454" t="str">
        <f t="shared" si="192"/>
        <v>2</v>
      </c>
      <c r="V96" s="454" t="str">
        <f t="shared" si="3"/>
        <v>1</v>
      </c>
      <c r="W96" s="455">
        <v>0.0</v>
      </c>
      <c r="X96" s="454" t="str">
        <f t="shared" si="193"/>
        <v>2</v>
      </c>
      <c r="Y96" s="456" t="str">
        <f t="shared" si="5"/>
        <v>FALSE</v>
      </c>
      <c r="Z96" s="456" t="str">
        <f t="shared" si="6"/>
        <v>FALSE</v>
      </c>
      <c r="AA96" s="457" t="str">
        <f t="shared" ref="AA96:AB96" si="198">1-I96</f>
        <v>0%</v>
      </c>
      <c r="AB96" s="457" t="str">
        <f t="shared" si="198"/>
        <v>0%</v>
      </c>
      <c r="AC96" s="456" t="str">
        <f t="shared" si="8"/>
        <v>2</v>
      </c>
      <c r="AD96" s="458" t="str">
        <f t="shared" si="195"/>
        <v>0</v>
      </c>
      <c r="AE96" s="458" t="str">
        <f t="shared" si="10"/>
        <v>1</v>
      </c>
      <c r="AF96" s="459" t="str">
        <f t="shared" si="196"/>
        <v>0</v>
      </c>
      <c r="AG96" s="460"/>
      <c r="AH96" s="521" t="s">
        <v>68</v>
      </c>
      <c r="AI96" s="106"/>
      <c r="AJ96" s="106"/>
      <c r="AK96" s="106"/>
      <c r="AL96" s="106"/>
      <c r="AM96" s="106"/>
      <c r="AN96" s="106"/>
      <c r="AO96" s="106"/>
      <c r="AP96" s="106"/>
      <c r="AQ96" s="106"/>
      <c r="AR96" s="106"/>
      <c r="AS96" s="106"/>
      <c r="AT96" s="106"/>
      <c r="AU96" s="106"/>
      <c r="AV96" s="106"/>
      <c r="AW96" s="106"/>
      <c r="AX96" s="106"/>
    </row>
    <row r="97">
      <c r="A97" s="442"/>
      <c r="B97" s="443">
        <v>3.0</v>
      </c>
      <c r="C97" s="444" t="s">
        <v>374</v>
      </c>
      <c r="D97" s="445" t="s">
        <v>10</v>
      </c>
      <c r="E97" s="445" t="s">
        <v>10</v>
      </c>
      <c r="F97" s="445" t="s">
        <v>65</v>
      </c>
      <c r="G97" s="446" t="str">
        <f>COUNTIFS(Reference!F:F,C97,Reference!G:G,"&lt;="&amp;VLOOKUP($F97,Summary!$N$25:$O$33,2,0))</f>
        <v>2</v>
      </c>
      <c r="H97" s="447">
        <v>2.0</v>
      </c>
      <c r="I97" s="448">
        <v>1.0</v>
      </c>
      <c r="J97" s="448">
        <v>1.0</v>
      </c>
      <c r="K97" s="449" t="s">
        <v>162</v>
      </c>
      <c r="L97" s="449"/>
      <c r="M97" s="449"/>
      <c r="N97" s="449"/>
      <c r="O97" s="450" t="s">
        <v>375</v>
      </c>
      <c r="P97" s="14"/>
      <c r="Q97" s="452" t="str">
        <f>MATCH($D97,Reference!$J$5:$J$9,0)</f>
        <v>1</v>
      </c>
      <c r="R97" s="452" t="str">
        <f>MATCH($E97,Reference!$J$26:$J$32,0)</f>
        <v>1</v>
      </c>
      <c r="S97" s="452" t="str">
        <f>MATCH($F97,Reference!$J$45:$J$54,0)</f>
        <v>3</v>
      </c>
      <c r="T97" s="453" t="str">
        <f>MATCH($K97,Reference!$J$37:$J$39,0)</f>
        <v>2</v>
      </c>
      <c r="U97" s="454" t="str">
        <f t="shared" si="192"/>
        <v>2</v>
      </c>
      <c r="V97" s="454" t="str">
        <f t="shared" si="3"/>
        <v>1</v>
      </c>
      <c r="W97" s="455">
        <v>0.0</v>
      </c>
      <c r="X97" s="454" t="str">
        <f t="shared" si="193"/>
        <v>2</v>
      </c>
      <c r="Y97" s="456" t="str">
        <f t="shared" si="5"/>
        <v>FALSE</v>
      </c>
      <c r="Z97" s="456" t="str">
        <f t="shared" si="6"/>
        <v>FALSE</v>
      </c>
      <c r="AA97" s="457" t="str">
        <f t="shared" ref="AA97:AB97" si="199">1-I97</f>
        <v>0%</v>
      </c>
      <c r="AB97" s="457" t="str">
        <f t="shared" si="199"/>
        <v>0%</v>
      </c>
      <c r="AC97" s="456" t="str">
        <f t="shared" si="8"/>
        <v>2</v>
      </c>
      <c r="AD97" s="458" t="str">
        <f t="shared" si="195"/>
        <v>2</v>
      </c>
      <c r="AE97" s="458" t="str">
        <f t="shared" si="10"/>
        <v>1</v>
      </c>
      <c r="AF97" s="459" t="str">
        <f t="shared" si="196"/>
        <v>0</v>
      </c>
      <c r="AG97" s="460"/>
      <c r="AH97" s="523" t="s">
        <v>141</v>
      </c>
      <c r="AI97" s="524" t="s">
        <v>24</v>
      </c>
      <c r="AJ97" s="106"/>
      <c r="AK97" s="524" t="s">
        <v>33</v>
      </c>
      <c r="AL97" s="106"/>
      <c r="AM97" s="524" t="s">
        <v>37</v>
      </c>
      <c r="AN97" s="106"/>
      <c r="AO97" s="524" t="s">
        <v>41</v>
      </c>
      <c r="AP97" s="106"/>
      <c r="AQ97" s="524" t="s">
        <v>35</v>
      </c>
      <c r="AR97" s="106"/>
      <c r="AS97" s="525" t="s">
        <v>217</v>
      </c>
      <c r="AT97" s="106"/>
      <c r="AU97" s="525" t="s">
        <v>36</v>
      </c>
      <c r="AV97" s="106"/>
      <c r="AW97" s="525" t="s">
        <v>218</v>
      </c>
      <c r="AX97" s="106"/>
    </row>
    <row r="98">
      <c r="A98" s="466"/>
      <c r="B98" s="467">
        <v>3.0</v>
      </c>
      <c r="C98" s="468" t="s">
        <v>376</v>
      </c>
      <c r="D98" s="445" t="s">
        <v>10</v>
      </c>
      <c r="E98" s="445" t="s">
        <v>10</v>
      </c>
      <c r="F98" s="445" t="s">
        <v>65</v>
      </c>
      <c r="G98" s="446" t="str">
        <f>COUNTIFS(Reference!F:F,C98,Reference!G:G,"&lt;="&amp;VLOOKUP($F98,Summary!$N$25:$O$33,2,0))</f>
        <v>2</v>
      </c>
      <c r="H98" s="447">
        <v>2.0</v>
      </c>
      <c r="I98" s="448">
        <v>1.0</v>
      </c>
      <c r="J98" s="448">
        <v>1.0</v>
      </c>
      <c r="K98" s="449" t="s">
        <v>162</v>
      </c>
      <c r="L98" s="449"/>
      <c r="M98" s="449"/>
      <c r="N98" s="449"/>
      <c r="O98" s="450" t="s">
        <v>377</v>
      </c>
      <c r="P98" s="14"/>
      <c r="Q98" s="452" t="str">
        <f>MATCH($D98,Reference!$J$5:$J$9,0)</f>
        <v>1</v>
      </c>
      <c r="R98" s="452" t="str">
        <f>MATCH($E98,Reference!$J$26:$J$32,0)</f>
        <v>1</v>
      </c>
      <c r="S98" s="452" t="str">
        <f>MATCH($F98,Reference!$J$45:$J$54,0)</f>
        <v>3</v>
      </c>
      <c r="T98" s="453" t="str">
        <f>MATCH($K98,Reference!$J$37:$J$39,0)</f>
        <v>2</v>
      </c>
      <c r="U98" s="454" t="str">
        <f t="shared" si="192"/>
        <v>2</v>
      </c>
      <c r="V98" s="454" t="str">
        <f t="shared" si="3"/>
        <v>1</v>
      </c>
      <c r="W98" s="455">
        <v>0.0</v>
      </c>
      <c r="X98" s="454" t="str">
        <f t="shared" si="193"/>
        <v>2</v>
      </c>
      <c r="Y98" s="456" t="str">
        <f t="shared" si="5"/>
        <v>FALSE</v>
      </c>
      <c r="Z98" s="456" t="str">
        <f t="shared" si="6"/>
        <v>FALSE</v>
      </c>
      <c r="AA98" s="457" t="str">
        <f t="shared" ref="AA98:AB98" si="200">1-I98</f>
        <v>0%</v>
      </c>
      <c r="AB98" s="457" t="str">
        <f t="shared" si="200"/>
        <v>0%</v>
      </c>
      <c r="AC98" s="456" t="str">
        <f t="shared" si="8"/>
        <v>2</v>
      </c>
      <c r="AD98" s="458" t="str">
        <f t="shared" si="195"/>
        <v>2</v>
      </c>
      <c r="AE98" s="458" t="str">
        <f t="shared" si="10"/>
        <v>1</v>
      </c>
      <c r="AF98" s="459" t="str">
        <f t="shared" si="196"/>
        <v>0</v>
      </c>
      <c r="AG98" s="460"/>
      <c r="AH98" s="587" t="s">
        <v>221</v>
      </c>
      <c r="AI98" s="499"/>
      <c r="AJ98" s="588"/>
      <c r="AK98" s="499"/>
      <c r="AL98" s="588"/>
      <c r="AM98" s="499"/>
      <c r="AN98" s="588"/>
      <c r="AO98" s="499"/>
      <c r="AP98" s="588"/>
      <c r="AQ98" s="499"/>
      <c r="AR98" s="588"/>
      <c r="AS98" s="499"/>
      <c r="AT98" s="588"/>
      <c r="AU98" s="499"/>
      <c r="AV98" s="588"/>
      <c r="AW98" s="499"/>
      <c r="AX98" s="588"/>
    </row>
    <row r="99">
      <c r="A99" s="682"/>
      <c r="B99" s="467">
        <v>4.0</v>
      </c>
      <c r="C99" s="468" t="s">
        <v>378</v>
      </c>
      <c r="D99" s="445" t="s">
        <v>10</v>
      </c>
      <c r="E99" s="445" t="s">
        <v>10</v>
      </c>
      <c r="F99" s="445" t="s">
        <v>65</v>
      </c>
      <c r="G99" s="446" t="str">
        <f>COUNTIFS(Reference!F:F,C99,Reference!G:G,"&lt;="&amp;VLOOKUP($F99,Summary!$N$25:$O$33,2,0))</f>
        <v>2</v>
      </c>
      <c r="H99" s="447">
        <v>0.0</v>
      </c>
      <c r="I99" s="448">
        <v>1.0</v>
      </c>
      <c r="J99" s="448">
        <v>1.0</v>
      </c>
      <c r="K99" s="449" t="s">
        <v>162</v>
      </c>
      <c r="L99" s="449"/>
      <c r="M99" s="449"/>
      <c r="N99" s="449"/>
      <c r="O99" s="450" t="s">
        <v>379</v>
      </c>
      <c r="P99" s="14"/>
      <c r="Q99" s="452" t="str">
        <f>MATCH($D99,Reference!$J$5:$J$9,0)</f>
        <v>1</v>
      </c>
      <c r="R99" s="452" t="str">
        <f>MATCH($E99,Reference!$J$26:$J$32,0)</f>
        <v>1</v>
      </c>
      <c r="S99" s="452" t="str">
        <f>MATCH($F99,Reference!$J$45:$J$54,0)</f>
        <v>3</v>
      </c>
      <c r="T99" s="453" t="str">
        <f>MATCH($K99,Reference!$J$37:$J$39,0)</f>
        <v>2</v>
      </c>
      <c r="U99" s="454" t="str">
        <f t="shared" si="192"/>
        <v>2</v>
      </c>
      <c r="V99" s="454" t="str">
        <f t="shared" si="3"/>
        <v>1</v>
      </c>
      <c r="W99" s="455">
        <v>0.0</v>
      </c>
      <c r="X99" s="454" t="str">
        <f t="shared" si="193"/>
        <v>2</v>
      </c>
      <c r="Y99" s="456" t="str">
        <f t="shared" si="5"/>
        <v>FALSE</v>
      </c>
      <c r="Z99" s="456" t="str">
        <f t="shared" si="6"/>
        <v>FALSE</v>
      </c>
      <c r="AA99" s="457" t="str">
        <f t="shared" ref="AA99:AB99" si="201">1-I99</f>
        <v>0%</v>
      </c>
      <c r="AB99" s="457" t="str">
        <f t="shared" si="201"/>
        <v>0%</v>
      </c>
      <c r="AC99" s="456" t="str">
        <f t="shared" si="8"/>
        <v>2</v>
      </c>
      <c r="AD99" s="458" t="str">
        <f t="shared" si="195"/>
        <v>0</v>
      </c>
      <c r="AE99" s="458" t="str">
        <f t="shared" si="10"/>
        <v>1</v>
      </c>
      <c r="AF99" s="459" t="str">
        <f t="shared" si="196"/>
        <v>0</v>
      </c>
      <c r="AG99" s="460"/>
      <c r="AH99" s="643" t="s">
        <v>10</v>
      </c>
      <c r="AI99" s="534" t="str">
        <f t="shared" ref="AI99:AJ99" si="202">SUM(AM99+AK99+AO99+AQ99+AS99+AU99)</f>
        <v>10</v>
      </c>
      <c r="AJ99" s="535" t="str">
        <f t="shared" si="202"/>
        <v>10</v>
      </c>
      <c r="AK99" s="449" t="str">
        <f>sumifs($V$2:$V700, $E$2:$E700, "Basic", $F$2:F700, "Paladin")</f>
        <v>10</v>
      </c>
      <c r="AL99" s="537" t="str">
        <f>COUNTIFS($E$2:$E700, "Basic", $E$2:$E700, "Basic", $F$2:F700, "Paladin" )</f>
        <v>10</v>
      </c>
      <c r="AM99" s="644"/>
      <c r="AN99" s="645"/>
      <c r="AO99" s="449"/>
      <c r="AP99" s="537"/>
      <c r="AQ99" s="449"/>
      <c r="AR99" s="537"/>
      <c r="AS99" s="449"/>
      <c r="AT99" s="537"/>
      <c r="AU99" s="449"/>
      <c r="AV99" s="537"/>
      <c r="AW99" s="449"/>
      <c r="AX99" s="537"/>
    </row>
    <row r="100">
      <c r="A100" s="469"/>
      <c r="B100" s="467">
        <v>4.0</v>
      </c>
      <c r="C100" s="468" t="s">
        <v>380</v>
      </c>
      <c r="D100" s="445" t="s">
        <v>10</v>
      </c>
      <c r="E100" s="445" t="s">
        <v>10</v>
      </c>
      <c r="F100" s="445" t="s">
        <v>65</v>
      </c>
      <c r="G100" s="446" t="str">
        <f>COUNTIFS(Reference!F:F,C100,Reference!G:G,"&lt;="&amp;VLOOKUP($F100,Summary!$N$25:$O$33,2,0))</f>
        <v>2</v>
      </c>
      <c r="H100" s="447">
        <v>0.0</v>
      </c>
      <c r="I100" s="448">
        <v>1.0</v>
      </c>
      <c r="J100" s="448">
        <v>1.0</v>
      </c>
      <c r="K100" s="449" t="s">
        <v>162</v>
      </c>
      <c r="L100" s="449"/>
      <c r="M100" s="449"/>
      <c r="N100" s="449"/>
      <c r="O100" s="450" t="s">
        <v>381</v>
      </c>
      <c r="P100" s="14"/>
      <c r="Q100" s="452" t="str">
        <f>MATCH($D100,Reference!$J$5:$J$9,0)</f>
        <v>1</v>
      </c>
      <c r="R100" s="452" t="str">
        <f>MATCH($E100,Reference!$J$26:$J$32,0)</f>
        <v>1</v>
      </c>
      <c r="S100" s="452" t="str">
        <f>MATCH($F100,Reference!$J$45:$J$54,0)</f>
        <v>3</v>
      </c>
      <c r="T100" s="453" t="str">
        <f>MATCH($K100,Reference!$J$37:$J$39,0)</f>
        <v>2</v>
      </c>
      <c r="U100" s="454" t="str">
        <f t="shared" si="192"/>
        <v>2</v>
      </c>
      <c r="V100" s="454" t="str">
        <f t="shared" si="3"/>
        <v>1</v>
      </c>
      <c r="W100" s="455">
        <v>0.0</v>
      </c>
      <c r="X100" s="454" t="str">
        <f t="shared" si="193"/>
        <v>2</v>
      </c>
      <c r="Y100" s="456" t="str">
        <f t="shared" si="5"/>
        <v>FALSE</v>
      </c>
      <c r="Z100" s="456" t="str">
        <f t="shared" si="6"/>
        <v>FALSE</v>
      </c>
      <c r="AA100" s="457" t="str">
        <f t="shared" ref="AA100:AB100" si="203">1-I100</f>
        <v>0%</v>
      </c>
      <c r="AB100" s="457" t="str">
        <f t="shared" si="203"/>
        <v>0%</v>
      </c>
      <c r="AC100" s="456" t="str">
        <f t="shared" si="8"/>
        <v>2</v>
      </c>
      <c r="AD100" s="458" t="str">
        <f t="shared" si="195"/>
        <v>0</v>
      </c>
      <c r="AE100" s="458" t="str">
        <f t="shared" si="10"/>
        <v>1</v>
      </c>
      <c r="AF100" s="459" t="str">
        <f t="shared" si="196"/>
        <v>0</v>
      </c>
      <c r="AG100" s="460"/>
      <c r="AH100" s="405" t="s">
        <v>15</v>
      </c>
      <c r="AI100" s="522" t="str">
        <f t="shared" ref="AI100:AJ100" si="204">SUM(AM100+AK100+AO100+AQ100+AS100+AU100)</f>
        <v>13</v>
      </c>
      <c r="AJ100" s="544" t="str">
        <f t="shared" si="204"/>
        <v>13</v>
      </c>
      <c r="AK100" s="499" t="str">
        <f>sumifs($V$2:$V700, $D$2:$D700, "Common", $E$2:$E700, "Classic", $F$2:F700, "Paladin")</f>
        <v>6</v>
      </c>
      <c r="AL100" s="588" t="str">
        <f>COUNTIFS($D$2:$D700, "Common", $E$2:$E700, "Classic", $F$2:F700, "Paladin" )</f>
        <v>6</v>
      </c>
      <c r="AM100" s="531" t="str">
        <f>sumifs($V$2:$V700, $D$2:$D700, "Common", $E$2:$E700, "Promo", $F$2:F700, "Paladin")</f>
        <v>0</v>
      </c>
      <c r="AN100" s="647" t="str">
        <f>COUNTIFS($D$2:$D700, "Common", $E$2:$E700, "Promo", $F$2:F700, "Paladin" )</f>
        <v>0</v>
      </c>
      <c r="AO100" s="499" t="str">
        <f>sumifs($V$2:$V700, $D$2:$D700, "Common", $E$2:$E700, "Naxx", $F$2:F700, "Paladin")</f>
        <v>1</v>
      </c>
      <c r="AP100" s="588" t="str">
        <f>COUNTIFS($D$2:$D700, "Common", $E$2:$E700, "Naxx", $F$2:F700, "Paladin" )</f>
        <v>1</v>
      </c>
      <c r="AQ100" s="499" t="str">
        <f>sumifs($V$2:$V700, $D$2:$D700, "Common", $E$2:$E700, "GvG", $F$2:F700, "Paladin")</f>
        <v>2</v>
      </c>
      <c r="AR100" s="588" t="str">
        <f>COUNTIFS($D$2:$D700, "Common", $E$2:$E700, "GvG", $F$2:F700, "Paladin" )</f>
        <v>2</v>
      </c>
      <c r="AS100" s="499" t="str">
        <f>sumifs($V$2:$V700, $D$2:$D700, "Common", $E$2:$E700, "Blackrock", $F$2:F700, "Paladin")</f>
        <v>1</v>
      </c>
      <c r="AT100" s="588" t="str">
        <f>COUNTIFS($D$2:$D700, "Common", $E$2:$E700, "Blackrock", $F$2:F700, "Paladin" )</f>
        <v>1</v>
      </c>
      <c r="AU100" s="499" t="str">
        <f>sumifs($V$2:$V700, $D$2:$D700, "Common", $E$2:$E700, "TGT", $F$2:F700, "Paladin")</f>
        <v>3</v>
      </c>
      <c r="AV100" s="588" t="str">
        <f>COUNTIFS($D$2:$D700, "Common", $E$2:$E700, "TGT", $F$2:F700, "Paladin" )</f>
        <v>3</v>
      </c>
      <c r="AW100" s="531">
        <v>0.0</v>
      </c>
      <c r="AX100" s="647">
        <v>0.0</v>
      </c>
    </row>
    <row r="101">
      <c r="A101" s="442"/>
      <c r="B101" s="443">
        <v>4.0</v>
      </c>
      <c r="C101" s="444" t="s">
        <v>382</v>
      </c>
      <c r="D101" s="445" t="s">
        <v>10</v>
      </c>
      <c r="E101" s="445" t="s">
        <v>10</v>
      </c>
      <c r="F101" s="445" t="s">
        <v>65</v>
      </c>
      <c r="G101" s="446" t="str">
        <f>COUNTIFS(Reference!F:F,C101,Reference!G:G,"&lt;="&amp;VLOOKUP($F101,Summary!$N$25:$O$33,2,0))</f>
        <v>2</v>
      </c>
      <c r="H101" s="447">
        <v>0.0</v>
      </c>
      <c r="I101" s="448">
        <v>1.0</v>
      </c>
      <c r="J101" s="448">
        <v>1.0</v>
      </c>
      <c r="K101" s="449" t="s">
        <v>188</v>
      </c>
      <c r="L101" s="449"/>
      <c r="M101" s="449">
        <v>3.0</v>
      </c>
      <c r="N101" s="449">
        <v>6.0</v>
      </c>
      <c r="O101" s="450" t="s">
        <v>383</v>
      </c>
      <c r="P101" s="14"/>
      <c r="Q101" s="452" t="str">
        <f>MATCH($D101,Reference!$J$5:$J$9,0)</f>
        <v>1</v>
      </c>
      <c r="R101" s="452" t="str">
        <f>MATCH($E101,Reference!$J$26:$J$32,0)</f>
        <v>1</v>
      </c>
      <c r="S101" s="452" t="str">
        <f>MATCH($F101,Reference!$J$45:$J$54,0)</f>
        <v>3</v>
      </c>
      <c r="T101" s="453" t="str">
        <f>MATCH($K101,Reference!$J$37:$J$39,0)</f>
        <v>3</v>
      </c>
      <c r="U101" s="454" t="str">
        <f t="shared" si="192"/>
        <v>2</v>
      </c>
      <c r="V101" s="454" t="str">
        <f t="shared" si="3"/>
        <v>1</v>
      </c>
      <c r="W101" s="455">
        <v>0.0</v>
      </c>
      <c r="X101" s="454" t="str">
        <f t="shared" si="193"/>
        <v>2</v>
      </c>
      <c r="Y101" s="456" t="str">
        <f t="shared" si="5"/>
        <v>FALSE</v>
      </c>
      <c r="Z101" s="456" t="str">
        <f t="shared" si="6"/>
        <v>FALSE</v>
      </c>
      <c r="AA101" s="457" t="str">
        <f t="shared" ref="AA101:AB101" si="205">1-I101</f>
        <v>0%</v>
      </c>
      <c r="AB101" s="457" t="str">
        <f t="shared" si="205"/>
        <v>0%</v>
      </c>
      <c r="AC101" s="456" t="str">
        <f t="shared" si="8"/>
        <v>2</v>
      </c>
      <c r="AD101" s="458" t="str">
        <f t="shared" si="195"/>
        <v>0</v>
      </c>
      <c r="AE101" s="458" t="str">
        <f t="shared" si="10"/>
        <v>1</v>
      </c>
      <c r="AF101" s="459" t="str">
        <f t="shared" si="196"/>
        <v>0</v>
      </c>
      <c r="AG101" s="460"/>
      <c r="AH101" s="556" t="s">
        <v>21</v>
      </c>
      <c r="AI101" s="557" t="str">
        <f>SUM(AM102+AK101+AO101+AQ101+AS101+AU101)</f>
        <v>11</v>
      </c>
      <c r="AJ101" s="558" t="str">
        <f>SUM(AN101+AL101+AP101+AR101+AT101+AV101)</f>
        <v>12</v>
      </c>
      <c r="AK101" s="554" t="str">
        <f>sumifs($V$2:$V700, $D$2:$D700, "Rare", $E$2:$E700, "Classic", $F$2:F700, "Paladin")</f>
        <v>4</v>
      </c>
      <c r="AL101" s="656" t="str">
        <f>COUNTIFS($D$2:$D700, "Rare", $E$2:$E700, "Classic", $F$2:F700, "Paladin" )</f>
        <v>5</v>
      </c>
      <c r="AM101" s="657" t="str">
        <f>sumifs($V$2:$V700, $D$2:$D700, "Rare", $E$2:$E700, "Promo", $F$2:F700, "Paladin")</f>
        <v>0</v>
      </c>
      <c r="AN101" s="658" t="str">
        <f>COUNTIFS($D$2:$D700, "Rare", $E$2:$E700, "Promo", $F$2:F700, "Paladin" )</f>
        <v>0</v>
      </c>
      <c r="AO101" s="554" t="str">
        <f>sumifs($V$2:$V700, $D$2:$D700, "Rare", $E$2:$E700, "Naxx", $F$2:F700, "Paladin")</f>
        <v>0</v>
      </c>
      <c r="AP101" s="656" t="str">
        <f>COUNTIFS($D$2:$D700, "Rare", $E$2:$E700, "Naxx", $F$2:F700, "Paladin" )</f>
        <v>0</v>
      </c>
      <c r="AQ101" s="554" t="str">
        <f>sumifs($V$2:$V700, $D$2:$D700, "Rare", $E$2:$E700, "GvG", $F$2:F700, "Paladin")</f>
        <v>3</v>
      </c>
      <c r="AR101" s="656" t="str">
        <f>COUNTIFS($D$2:$D700, "Rare", $E$2:$E700, "GvG", $F$2:F700, "Paladin" )</f>
        <v>3</v>
      </c>
      <c r="AS101" s="554" t="str">
        <f>sumifs($V$2:$V700, $D$2:$D700, "Rare", $E$2:$E700, "Blackrock", $F$2:F700, "Paladin")</f>
        <v>1</v>
      </c>
      <c r="AT101" s="656" t="str">
        <f>COUNTIFS($D$2:$D700, "Rare", $E$2:$E700, "Blackrock", $F$2:F700, "Paladin" )</f>
        <v>1</v>
      </c>
      <c r="AU101" s="554" t="str">
        <f>sumifs($V$2:$V700, $D$2:$D700, "Rare", $E$2:$E700, "TGT", $F$2:F700, "Paladin")</f>
        <v>3</v>
      </c>
      <c r="AV101" s="656" t="str">
        <f>COUNTIFS($D$2:$D700, "Rare", $E$2:$E700, "TGT", $F$2:F700, "Paladin" )</f>
        <v>3</v>
      </c>
      <c r="AW101" s="657">
        <v>0.0</v>
      </c>
      <c r="AX101" s="658">
        <v>0.0</v>
      </c>
    </row>
    <row r="102">
      <c r="A102" s="442"/>
      <c r="B102" s="443">
        <v>7.0</v>
      </c>
      <c r="C102" s="444" t="s">
        <v>384</v>
      </c>
      <c r="D102" s="445" t="s">
        <v>10</v>
      </c>
      <c r="E102" s="445" t="s">
        <v>10</v>
      </c>
      <c r="F102" s="445" t="s">
        <v>65</v>
      </c>
      <c r="G102" s="446" t="str">
        <f>COUNTIFS(Reference!F:F,C102,Reference!G:G,"&lt;="&amp;VLOOKUP($F102,Summary!$N$25:$O$33,2,0))</f>
        <v>2</v>
      </c>
      <c r="H102" s="447">
        <v>0.0</v>
      </c>
      <c r="I102" s="448">
        <v>1.0</v>
      </c>
      <c r="J102" s="448">
        <v>1.0</v>
      </c>
      <c r="K102" s="449" t="s">
        <v>162</v>
      </c>
      <c r="L102" s="449"/>
      <c r="M102" s="449"/>
      <c r="N102" s="449"/>
      <c r="O102" s="450" t="s">
        <v>385</v>
      </c>
      <c r="P102" s="14"/>
      <c r="Q102" s="452" t="str">
        <f>MATCH($D102,Reference!$J$5:$J$9,0)</f>
        <v>1</v>
      </c>
      <c r="R102" s="452" t="str">
        <f>MATCH($E102,Reference!$J$26:$J$32,0)</f>
        <v>1</v>
      </c>
      <c r="S102" s="452" t="str">
        <f>MATCH($F102,Reference!$J$45:$J$54,0)</f>
        <v>3</v>
      </c>
      <c r="T102" s="453" t="str">
        <f>MATCH($K102,Reference!$J$37:$J$39,0)</f>
        <v>2</v>
      </c>
      <c r="U102" s="454" t="str">
        <f t="shared" si="192"/>
        <v>2</v>
      </c>
      <c r="V102" s="454" t="str">
        <f t="shared" si="3"/>
        <v>1</v>
      </c>
      <c r="W102" s="455">
        <v>0.0</v>
      </c>
      <c r="X102" s="454" t="str">
        <f t="shared" si="193"/>
        <v>2</v>
      </c>
      <c r="Y102" s="456" t="str">
        <f t="shared" si="5"/>
        <v>FALSE</v>
      </c>
      <c r="Z102" s="456" t="str">
        <f t="shared" si="6"/>
        <v>FALSE</v>
      </c>
      <c r="AA102" s="457" t="str">
        <f t="shared" ref="AA102:AB102" si="206">1-I102</f>
        <v>0%</v>
      </c>
      <c r="AB102" s="457" t="str">
        <f t="shared" si="206"/>
        <v>0%</v>
      </c>
      <c r="AC102" s="456" t="str">
        <f t="shared" si="8"/>
        <v>2</v>
      </c>
      <c r="AD102" s="458" t="str">
        <f t="shared" si="195"/>
        <v>0</v>
      </c>
      <c r="AE102" s="458" t="str">
        <f t="shared" si="10"/>
        <v>1</v>
      </c>
      <c r="AF102" s="459" t="str">
        <f t="shared" si="196"/>
        <v>0</v>
      </c>
      <c r="AG102" s="460"/>
      <c r="AH102" s="567" t="s">
        <v>22</v>
      </c>
      <c r="AI102" s="568" t="str">
        <f t="shared" ref="AI102:AJ102" si="207">SUM(AM102+AK102+AO102+AQ102+AS102+AU102)</f>
        <v>5</v>
      </c>
      <c r="AJ102" s="569" t="str">
        <f t="shared" si="207"/>
        <v>7</v>
      </c>
      <c r="AK102" s="641" t="str">
        <f>sumifs($V$2:$V700, $D$2:$D700, "Epic", $E$2:$E700, "Classic", $F$2:F700, "Paladin")</f>
        <v>1</v>
      </c>
      <c r="AL102" s="666" t="str">
        <f>COUNTIFS($D$2:$D700, "Epic", $E$2:$E700, "Classic", $F$2:F700, "Paladin" )</f>
        <v>3</v>
      </c>
      <c r="AM102" s="667" t="str">
        <f>sumifs($V$2:$V700, $D$2:$D700, "Epic", $E$2:$E700, "Promo", $F$2:F700, "Paladin")</f>
        <v>0</v>
      </c>
      <c r="AN102" s="668" t="str">
        <f>COUNTIFS($D$2:$D700, "Epic", $E$2:$E700, "Promo", $F$2:F700, "Paladin" )</f>
        <v>0</v>
      </c>
      <c r="AO102" s="641" t="str">
        <f>sumifs($V$2:$V700, $D$2:$D700, "Epic", $E$2:$E700, "Naxx", $F$2:F700, "Paladin")</f>
        <v>0</v>
      </c>
      <c r="AP102" s="666" t="str">
        <f>COUNTIFS($D$2:$D700, "Epic", $E$2:$E700, "Naxx", $F$2:F700, "Paladin" )</f>
        <v>0</v>
      </c>
      <c r="AQ102" s="641" t="str">
        <f>sumifs($V$2:$V700, $D$2:$D700, "Epic", $E$2:$E700, "GvG", $F$2:F700, "Paladin")</f>
        <v>2</v>
      </c>
      <c r="AR102" s="666" t="str">
        <f>COUNTIFS($D$2:$D700, "Epic", $E$2:$E700, "GvG", $F$2:F700, "Paladin" )</f>
        <v>2</v>
      </c>
      <c r="AS102" s="641" t="str">
        <f>sumifs($V$2:$V700, $D$2:$D700, "Epic", $E$2:$E700, "Blackrock", $F$2:F700, "Paladin")</f>
        <v>0</v>
      </c>
      <c r="AT102" s="666" t="str">
        <f>COUNTIFS($D$2:$D700, "Epic", $E$2:$E700, "Blackrock", $F$2:F700, "Paladin" )</f>
        <v>0</v>
      </c>
      <c r="AU102" s="641" t="str">
        <f>sumifs($V$2:$V700, $D$2:$D700, "Epic", $E$2:$E700, "TGT", $F$2:F700, "Paladin")</f>
        <v>2</v>
      </c>
      <c r="AV102" s="666" t="str">
        <f>COUNTIFS($D$2:$D700, "Epic", $E$2:$E700, "TGT", $F$2:F700, "Paladin" )</f>
        <v>2</v>
      </c>
      <c r="AW102" s="667">
        <v>0.0</v>
      </c>
      <c r="AX102" s="668">
        <v>0.0</v>
      </c>
    </row>
    <row r="103">
      <c r="A103" s="469"/>
      <c r="B103" s="442">
        <v>1.0</v>
      </c>
      <c r="C103" s="482" t="s">
        <v>386</v>
      </c>
      <c r="D103" s="483" t="s">
        <v>15</v>
      </c>
      <c r="E103" s="483" t="s">
        <v>33</v>
      </c>
      <c r="F103" s="484" t="s">
        <v>65</v>
      </c>
      <c r="G103" s="471">
        <v>2.0</v>
      </c>
      <c r="H103" s="485">
        <v>0.0</v>
      </c>
      <c r="I103" s="486">
        <v>1.0</v>
      </c>
      <c r="J103" s="486">
        <v>1.0</v>
      </c>
      <c r="K103" s="499" t="s">
        <v>162</v>
      </c>
      <c r="L103" s="499"/>
      <c r="M103" s="499"/>
      <c r="N103" s="499"/>
      <c r="O103" s="223" t="s">
        <v>387</v>
      </c>
      <c r="P103" s="14"/>
      <c r="Q103" s="452" t="str">
        <f>MATCH($D103,Reference!$J$5:$J$9,0)</f>
        <v>2</v>
      </c>
      <c r="R103" s="452" t="str">
        <f>MATCH($E103,Reference!$J$26:$J$32,0)</f>
        <v>2</v>
      </c>
      <c r="S103" s="452" t="str">
        <f>MATCH($F103,Reference!$J$45:$J$54,0)</f>
        <v>3</v>
      </c>
      <c r="T103" s="453" t="str">
        <f>MATCH($K103,Reference!$J$37:$J$39,0)</f>
        <v>2</v>
      </c>
      <c r="U103" s="454" t="str">
        <f t="shared" si="192"/>
        <v>2</v>
      </c>
      <c r="V103" s="454" t="str">
        <f t="shared" si="3"/>
        <v>1</v>
      </c>
      <c r="W103" s="454" t="str">
        <f t="shared" ref="W103:W115" si="210">(MIN(G103,2)+H103-U103)*50</f>
        <v>0</v>
      </c>
      <c r="X103" s="454" t="str">
        <f t="shared" si="193"/>
        <v>2</v>
      </c>
      <c r="Y103" s="456" t="str">
        <f t="shared" si="5"/>
        <v>FALSE</v>
      </c>
      <c r="Z103" s="456" t="str">
        <f t="shared" si="6"/>
        <v>FALSE</v>
      </c>
      <c r="AA103" s="457" t="str">
        <f t="shared" ref="AA103:AB103" si="208">1-I103</f>
        <v>0%</v>
      </c>
      <c r="AB103" s="457" t="str">
        <f t="shared" si="208"/>
        <v>0%</v>
      </c>
      <c r="AC103" s="456" t="str">
        <f t="shared" si="8"/>
        <v>2</v>
      </c>
      <c r="AD103" s="458" t="str">
        <f t="shared" si="195"/>
        <v>0</v>
      </c>
      <c r="AE103" s="458" t="str">
        <f t="shared" si="10"/>
        <v>1</v>
      </c>
      <c r="AF103" s="459" t="str">
        <f t="shared" ref="AF103:AF115" si="212">(MIN(H103,2)+G103-U103)*5</f>
        <v>0</v>
      </c>
      <c r="AG103" s="460"/>
      <c r="AH103" s="583" t="s">
        <v>23</v>
      </c>
      <c r="AI103" s="584" t="str">
        <f t="shared" ref="AI103:AJ103" si="209">SUM(AM103+AK103+AO103+AQ103+AS103+AU103)</f>
        <v>2</v>
      </c>
      <c r="AJ103" s="585" t="str">
        <f t="shared" si="209"/>
        <v>3</v>
      </c>
      <c r="AK103" s="677" t="str">
        <f>sumifs($V$2:$V700, $D$2:$D700, "Legendary", $E$2:$E700, "Classic", $F$2:F700, "Paladin")</f>
        <v>1</v>
      </c>
      <c r="AL103" s="678" t="str">
        <f>COUNTIFS($D$2:$D700, "Legendary", $E$2:$E700, "Classic", $F$2:F700, "Paladin" )</f>
        <v>1</v>
      </c>
      <c r="AM103" s="679" t="str">
        <f>sumifs($V$2:$V700, $D$2:$D700, "Legendary", $E$2:$E700, "Promo", $F$2:F700, "Paladin")</f>
        <v>0</v>
      </c>
      <c r="AN103" s="680" t="str">
        <f>COUNTIFS($D$2:$D700, "Legendary", $E$2:$E700, "Promo", $F$2:F700, "Paladin" )</f>
        <v>0</v>
      </c>
      <c r="AO103" s="677" t="str">
        <f>sumifs($V$2:$V700, $D$2:$D700, "Legendary", $E$2:$E700, "Naxx", $F$2:F700, "Paladin")</f>
        <v>0</v>
      </c>
      <c r="AP103" s="678" t="str">
        <f>COUNTIFS($D$2:$D700, "Legendary", $E$2:$E700, "Naxx", $F$2:F700, "Paladin" )</f>
        <v>0</v>
      </c>
      <c r="AQ103" s="677" t="str">
        <f>sumifs($V$2:$V700, $D$2:$D700, "Legendary", $E$2:$E700, "GvG", $F$2:F700, "Paladin")</f>
        <v>0</v>
      </c>
      <c r="AR103" s="678" t="str">
        <f>COUNTIFS($D$2:$D700, "Legendary", $E$2:$E700, "GvG", $F$2:F700, "Paladin" )</f>
        <v>1</v>
      </c>
      <c r="AS103" s="677" t="str">
        <f>sumifs($V$2:$V700, $D$2:$D700, "Legendary", $E$2:$E700, "Blackrock", $F$2:F700, "Paladin")</f>
        <v>0</v>
      </c>
      <c r="AT103" s="678" t="str">
        <f>COUNTIFS($D$2:$D700, "Legendary", $E$2:$E700, "Blackrock", $F$2:F700, "Paladin" )</f>
        <v>0</v>
      </c>
      <c r="AU103" s="677" t="str">
        <f>sumifs($V$2:$V700, $D$2:$D700, "Legendary", $E$2:$E700, "TGT", $F$2:F700, "Paladin")</f>
        <v>1</v>
      </c>
      <c r="AV103" s="678" t="str">
        <f>COUNTIFS($D$2:$D700, "Legendary", $E$2:$E700, "TGT", $F$2:F700, "Paladin" )</f>
        <v>1</v>
      </c>
      <c r="AW103" s="679">
        <v>0.0</v>
      </c>
      <c r="AX103" s="680">
        <v>0.0</v>
      </c>
    </row>
    <row r="104">
      <c r="A104" s="442"/>
      <c r="B104" s="509">
        <v>1.0</v>
      </c>
      <c r="C104" s="510" t="s">
        <v>388</v>
      </c>
      <c r="D104" s="511" t="s">
        <v>15</v>
      </c>
      <c r="E104" s="511" t="s">
        <v>33</v>
      </c>
      <c r="F104" s="512" t="s">
        <v>65</v>
      </c>
      <c r="G104" s="508">
        <v>2.0</v>
      </c>
      <c r="H104" s="485">
        <v>0.0</v>
      </c>
      <c r="I104" s="486">
        <v>1.0</v>
      </c>
      <c r="J104" s="486">
        <v>1.0</v>
      </c>
      <c r="K104" s="511" t="s">
        <v>188</v>
      </c>
      <c r="L104" s="511"/>
      <c r="M104" s="512">
        <v>1.0</v>
      </c>
      <c r="N104" s="508">
        <v>3.0</v>
      </c>
      <c r="O104" s="224" t="s">
        <v>389</v>
      </c>
      <c r="P104" s="14"/>
      <c r="Q104" s="452" t="str">
        <f>MATCH($D104,Reference!$J$5:$J$9,0)</f>
        <v>2</v>
      </c>
      <c r="R104" s="452" t="str">
        <f>MATCH($E104,Reference!$J$26:$J$32,0)</f>
        <v>2</v>
      </c>
      <c r="S104" s="452" t="str">
        <f>MATCH($F104,Reference!$J$45:$J$54,0)</f>
        <v>3</v>
      </c>
      <c r="T104" s="453" t="str">
        <f>MATCH($K104,Reference!$J$37:$J$39,0)</f>
        <v>3</v>
      </c>
      <c r="U104" s="454" t="str">
        <f t="shared" si="192"/>
        <v>2</v>
      </c>
      <c r="V104" s="454" t="str">
        <f t="shared" si="3"/>
        <v>1</v>
      </c>
      <c r="W104" s="454" t="str">
        <f t="shared" si="210"/>
        <v>0</v>
      </c>
      <c r="X104" s="454" t="str">
        <f t="shared" si="193"/>
        <v>2</v>
      </c>
      <c r="Y104" s="456" t="str">
        <f t="shared" si="5"/>
        <v>FALSE</v>
      </c>
      <c r="Z104" s="456" t="str">
        <f t="shared" si="6"/>
        <v>FALSE</v>
      </c>
      <c r="AA104" s="457" t="str">
        <f t="shared" ref="AA104:AB104" si="211">1-I104</f>
        <v>0%</v>
      </c>
      <c r="AB104" s="457" t="str">
        <f t="shared" si="211"/>
        <v>0%</v>
      </c>
      <c r="AC104" s="456" t="str">
        <f t="shared" si="8"/>
        <v>2</v>
      </c>
      <c r="AD104" s="458" t="str">
        <f t="shared" si="195"/>
        <v>0</v>
      </c>
      <c r="AE104" s="458" t="str">
        <f t="shared" si="10"/>
        <v>1</v>
      </c>
      <c r="AF104" s="459" t="str">
        <f t="shared" si="212"/>
        <v>0</v>
      </c>
      <c r="AG104" s="460"/>
      <c r="AH104" s="587" t="s">
        <v>234</v>
      </c>
      <c r="AI104" s="499"/>
      <c r="AJ104" s="588"/>
      <c r="AK104" s="499"/>
      <c r="AL104" s="588"/>
      <c r="AM104" s="499"/>
      <c r="AN104" s="588"/>
      <c r="AO104" s="499"/>
      <c r="AP104" s="588"/>
      <c r="AQ104" s="499"/>
      <c r="AR104" s="588"/>
      <c r="AS104" s="499"/>
      <c r="AT104" s="588"/>
      <c r="AU104" s="499"/>
      <c r="AV104" s="588"/>
      <c r="AW104" s="499"/>
      <c r="AX104" s="588"/>
    </row>
    <row r="105">
      <c r="A105" s="442"/>
      <c r="B105" s="472">
        <v>2.0</v>
      </c>
      <c r="C105" s="489" t="s">
        <v>390</v>
      </c>
      <c r="D105" s="490" t="s">
        <v>15</v>
      </c>
      <c r="E105" s="490" t="s">
        <v>35</v>
      </c>
      <c r="F105" s="491" t="s">
        <v>65</v>
      </c>
      <c r="G105" s="492">
        <v>2.0</v>
      </c>
      <c r="H105" s="493">
        <v>0.0</v>
      </c>
      <c r="I105" s="494">
        <v>1.0</v>
      </c>
      <c r="J105" s="494">
        <v>1.0</v>
      </c>
      <c r="K105" s="495" t="s">
        <v>162</v>
      </c>
      <c r="L105" s="495"/>
      <c r="M105" s="495"/>
      <c r="N105" s="495"/>
      <c r="O105" s="496" t="s">
        <v>391</v>
      </c>
      <c r="P105" s="14"/>
      <c r="Q105" s="452" t="str">
        <f>MATCH($D105,Reference!$J$5:$J$9,0)</f>
        <v>2</v>
      </c>
      <c r="R105" s="452" t="str">
        <f>MATCH($E105,Reference!$J$26:$J$32,0)</f>
        <v>5</v>
      </c>
      <c r="S105" s="452" t="str">
        <f>MATCH($F105,Reference!$J$45:$J$54,0)</f>
        <v>3</v>
      </c>
      <c r="T105" s="453" t="str">
        <f>MATCH($K105,Reference!$J$37:$J$39,0)</f>
        <v>2</v>
      </c>
      <c r="U105" s="454" t="str">
        <f t="shared" si="192"/>
        <v>2</v>
      </c>
      <c r="V105" s="454" t="str">
        <f t="shared" si="3"/>
        <v>1</v>
      </c>
      <c r="W105" s="454" t="str">
        <f t="shared" si="210"/>
        <v>0</v>
      </c>
      <c r="X105" s="454" t="str">
        <f t="shared" si="193"/>
        <v>2</v>
      </c>
      <c r="Y105" s="456" t="str">
        <f t="shared" si="5"/>
        <v>FALSE</v>
      </c>
      <c r="Z105" s="456" t="str">
        <f t="shared" si="6"/>
        <v>FALSE</v>
      </c>
      <c r="AA105" s="457" t="str">
        <f t="shared" ref="AA105:AB105" si="213">1-I105</f>
        <v>0%</v>
      </c>
      <c r="AB105" s="457" t="str">
        <f t="shared" si="213"/>
        <v>0%</v>
      </c>
      <c r="AC105" s="456" t="str">
        <f t="shared" si="8"/>
        <v>2</v>
      </c>
      <c r="AD105" s="458" t="str">
        <f t="shared" si="195"/>
        <v>0</v>
      </c>
      <c r="AE105" s="458" t="str">
        <f t="shared" si="10"/>
        <v>1</v>
      </c>
      <c r="AF105" s="459" t="str">
        <f t="shared" si="212"/>
        <v>0</v>
      </c>
      <c r="AG105" s="460"/>
      <c r="AH105" s="643" t="s">
        <v>10</v>
      </c>
      <c r="AI105" s="534" t="str">
        <f t="shared" ref="AI105:AJ105" si="214">SUM(AM105+AK105+AO105+AQ105+AS105+AU105)</f>
        <v>20</v>
      </c>
      <c r="AJ105" s="535" t="str">
        <f t="shared" si="214"/>
        <v>20</v>
      </c>
      <c r="AK105" s="449" t="str">
        <f>sumifs($U$2:$U700, $E$2:$E700, "Basic", $F$2:F700, "Paladin")</f>
        <v>20</v>
      </c>
      <c r="AL105" s="535" t="str">
        <f>COUNTIFS($E$2:$E700, "Basic", $F$2:F700, "Paladin" )*2</f>
        <v>20</v>
      </c>
      <c r="AM105" s="449"/>
      <c r="AN105" s="537"/>
      <c r="AO105" s="449"/>
      <c r="AP105" s="537"/>
      <c r="AQ105" s="449"/>
      <c r="AR105" s="537"/>
      <c r="AS105" s="449"/>
      <c r="AT105" s="537"/>
      <c r="AU105" s="449"/>
      <c r="AV105" s="537"/>
      <c r="AW105" s="449"/>
      <c r="AX105" s="537"/>
    </row>
    <row r="106">
      <c r="A106" s="442"/>
      <c r="B106" s="472">
        <v>2.0</v>
      </c>
      <c r="C106" s="489" t="s">
        <v>392</v>
      </c>
      <c r="D106" s="490" t="s">
        <v>15</v>
      </c>
      <c r="E106" s="490" t="s">
        <v>35</v>
      </c>
      <c r="F106" s="491" t="s">
        <v>65</v>
      </c>
      <c r="G106" s="492">
        <v>2.0</v>
      </c>
      <c r="H106" s="493">
        <v>0.0</v>
      </c>
      <c r="I106" s="494">
        <v>1.0</v>
      </c>
      <c r="J106" s="494">
        <v>1.0</v>
      </c>
      <c r="K106" s="495" t="s">
        <v>188</v>
      </c>
      <c r="L106" s="495" t="s">
        <v>198</v>
      </c>
      <c r="M106" s="495">
        <v>2.0</v>
      </c>
      <c r="N106" s="495">
        <v>3.0</v>
      </c>
      <c r="O106" s="496" t="s">
        <v>383</v>
      </c>
      <c r="P106" s="14"/>
      <c r="Q106" s="452" t="str">
        <f>MATCH($D106,Reference!$J$5:$J$9,0)</f>
        <v>2</v>
      </c>
      <c r="R106" s="452" t="str">
        <f>MATCH($E106,Reference!$J$26:$J$32,0)</f>
        <v>5</v>
      </c>
      <c r="S106" s="452" t="str">
        <f>MATCH($F106,Reference!$J$45:$J$54,0)</f>
        <v>3</v>
      </c>
      <c r="T106" s="453" t="str">
        <f>MATCH($K106,Reference!$J$37:$J$39,0)</f>
        <v>3</v>
      </c>
      <c r="U106" s="454" t="str">
        <f t="shared" si="192"/>
        <v>2</v>
      </c>
      <c r="V106" s="454" t="str">
        <f t="shared" si="3"/>
        <v>1</v>
      </c>
      <c r="W106" s="454" t="str">
        <f t="shared" si="210"/>
        <v>0</v>
      </c>
      <c r="X106" s="454" t="str">
        <f t="shared" si="193"/>
        <v>2</v>
      </c>
      <c r="Y106" s="456" t="str">
        <f t="shared" si="5"/>
        <v>FALSE</v>
      </c>
      <c r="Z106" s="456" t="str">
        <f t="shared" si="6"/>
        <v>FALSE</v>
      </c>
      <c r="AA106" s="457" t="str">
        <f t="shared" ref="AA106:AB106" si="215">1-I106</f>
        <v>0%</v>
      </c>
      <c r="AB106" s="457" t="str">
        <f t="shared" si="215"/>
        <v>0%</v>
      </c>
      <c r="AC106" s="456" t="str">
        <f t="shared" si="8"/>
        <v>2</v>
      </c>
      <c r="AD106" s="458" t="str">
        <f t="shared" si="195"/>
        <v>0</v>
      </c>
      <c r="AE106" s="458" t="str">
        <f t="shared" si="10"/>
        <v>1</v>
      </c>
      <c r="AF106" s="459" t="str">
        <f t="shared" si="212"/>
        <v>0</v>
      </c>
      <c r="AG106" s="460"/>
      <c r="AH106" s="591" t="s">
        <v>15</v>
      </c>
      <c r="AI106" s="522" t="str">
        <f t="shared" ref="AI106:AJ106" si="216">SUM(AM106+AK106+AO106+AQ106+AS106+AU106)</f>
        <v>26</v>
      </c>
      <c r="AJ106" s="544" t="str">
        <f t="shared" si="216"/>
        <v>26</v>
      </c>
      <c r="AK106" s="499" t="str">
        <f>sumifs($U$2:$U700, $D$2:$D700, "Common", $E$2:$E700, "Classic", $F$2:F700, "Paladin")</f>
        <v>12</v>
      </c>
      <c r="AL106" s="544" t="str">
        <f>COUNTIFS($D$2:$D700, "Common", $E$2:$E700, "Classic", $F$2:F700, "Paladin" )*2</f>
        <v>12</v>
      </c>
      <c r="AM106" s="531" t="str">
        <f>sumifs($U$2:$U700, $D$2:$D700, "Common", $E$2:$E700, "Promo", $F$2:F700, "Paladin")</f>
        <v>0</v>
      </c>
      <c r="AN106" s="647" t="str">
        <f>COUNTIFS($D$2:$D700, "Common", $E$2:$E700, "Promo", $F$2:F700, "Paladin" )*2</f>
        <v>0</v>
      </c>
      <c r="AO106" s="499" t="str">
        <f>sumifs($U$2:$U700, $D$2:$D700, "Common", $E$2:$E700, "Naxx", $F$2:F700, "Paladin")</f>
        <v>2</v>
      </c>
      <c r="AP106" s="544" t="str">
        <f>COUNTIFS($D$2:$D700, "Common", $E$2:$E700, "Naxx", $F$2:F700, "Paladin" )*2</f>
        <v>2</v>
      </c>
      <c r="AQ106" s="499" t="str">
        <f>sumifs($U$2:$U700, $D$2:$D700, "Common", $E$2:$E700, "GvG", $F$2:F700, "Paladin")</f>
        <v>4</v>
      </c>
      <c r="AR106" s="544" t="str">
        <f>COUNTIFS($D$2:$D700, "Common", $E$2:$E700, "GvG", $F$2:F700, "Paladin" )*2</f>
        <v>4</v>
      </c>
      <c r="AS106" s="499" t="str">
        <f>sumifs($U$2:$U700, $D$2:$D700, "Common", $E$2:$E700, "Blackrock", $F$2:F700, "Paladin")</f>
        <v>2</v>
      </c>
      <c r="AT106" s="544" t="str">
        <f>COUNTIFS($D$2:$D700, "Common", $E$2:$E700, "Blackrock", $F$2:F700, "Paladin" )*2</f>
        <v>2</v>
      </c>
      <c r="AU106" s="499" t="str">
        <f>sumifs($U$2:$U700, $D$2:$D700, "Common", $E$2:$E700, "TGT", $F$2:F700, "Paladin")</f>
        <v>6</v>
      </c>
      <c r="AV106" s="544" t="str">
        <f>COUNTIFS($D$2:$D700, "Common", $E$2:$E700, "TGT", $F$2:F700, "Paladin" )*2</f>
        <v>6</v>
      </c>
      <c r="AW106" s="531">
        <v>0.0</v>
      </c>
      <c r="AX106" s="647">
        <v>0.0</v>
      </c>
    </row>
    <row r="107">
      <c r="A107" s="442"/>
      <c r="B107" s="442">
        <v>2.0</v>
      </c>
      <c r="C107" s="482" t="s">
        <v>393</v>
      </c>
      <c r="D107" s="483" t="s">
        <v>15</v>
      </c>
      <c r="E107" s="483" t="s">
        <v>33</v>
      </c>
      <c r="F107" s="484" t="s">
        <v>65</v>
      </c>
      <c r="G107" s="471">
        <v>2.0</v>
      </c>
      <c r="H107" s="485">
        <v>0.0</v>
      </c>
      <c r="I107" s="486">
        <v>1.0</v>
      </c>
      <c r="J107" s="486">
        <v>1.0</v>
      </c>
      <c r="K107" s="499" t="s">
        <v>188</v>
      </c>
      <c r="L107" s="499"/>
      <c r="M107" s="499">
        <v>3.0</v>
      </c>
      <c r="N107" s="499">
        <v>2.0</v>
      </c>
      <c r="O107" s="223" t="s">
        <v>394</v>
      </c>
      <c r="P107" s="14"/>
      <c r="Q107" s="452" t="str">
        <f>MATCH($D107,Reference!$J$5:$J$9,0)</f>
        <v>2</v>
      </c>
      <c r="R107" s="452" t="str">
        <f>MATCH($E107,Reference!$J$26:$J$32,0)</f>
        <v>2</v>
      </c>
      <c r="S107" s="452" t="str">
        <f>MATCH($F107,Reference!$J$45:$J$54,0)</f>
        <v>3</v>
      </c>
      <c r="T107" s="453" t="str">
        <f>MATCH($K107,Reference!$J$37:$J$39,0)</f>
        <v>3</v>
      </c>
      <c r="U107" s="454" t="str">
        <f t="shared" si="192"/>
        <v>2</v>
      </c>
      <c r="V107" s="454" t="str">
        <f t="shared" si="3"/>
        <v>1</v>
      </c>
      <c r="W107" s="454" t="str">
        <f t="shared" si="210"/>
        <v>0</v>
      </c>
      <c r="X107" s="454" t="str">
        <f t="shared" si="193"/>
        <v>2</v>
      </c>
      <c r="Y107" s="456" t="str">
        <f t="shared" si="5"/>
        <v>FALSE</v>
      </c>
      <c r="Z107" s="456" t="str">
        <f t="shared" si="6"/>
        <v>FALSE</v>
      </c>
      <c r="AA107" s="457" t="str">
        <f t="shared" ref="AA107:AB107" si="217">1-I107</f>
        <v>0%</v>
      </c>
      <c r="AB107" s="457" t="str">
        <f t="shared" si="217"/>
        <v>0%</v>
      </c>
      <c r="AC107" s="456" t="str">
        <f t="shared" si="8"/>
        <v>2</v>
      </c>
      <c r="AD107" s="458" t="str">
        <f t="shared" si="195"/>
        <v>0</v>
      </c>
      <c r="AE107" s="458" t="str">
        <f t="shared" si="10"/>
        <v>1</v>
      </c>
      <c r="AF107" s="459" t="str">
        <f t="shared" si="212"/>
        <v>0</v>
      </c>
      <c r="AG107" s="460"/>
      <c r="AH107" s="592" t="s">
        <v>21</v>
      </c>
      <c r="AI107" s="557" t="str">
        <f t="shared" ref="AI107:AJ107" si="218">SUM(AM107+AK107+AO107+AQ107+AS107+AU107)</f>
        <v>20</v>
      </c>
      <c r="AJ107" s="558" t="str">
        <f t="shared" si="218"/>
        <v>24</v>
      </c>
      <c r="AK107" s="554" t="str">
        <f>sumifs($U$2:$U700, $D$2:$D700, "Rare", $E$2:$E700, "Classic", $F$2:F700, "Paladin")</f>
        <v>7</v>
      </c>
      <c r="AL107" s="558" t="str">
        <f>COUNTIFS($D$2:$D700, "Rare", $E$2:$E700, "Classic", $F$2:F700, "Paladin" )*2</f>
        <v>10</v>
      </c>
      <c r="AM107" s="657" t="str">
        <f>sumifs($U$2:$U700, $D$2:$D700, "Rare", $E$2:$E700, "Promo", $F$2:F700, "Paladin")</f>
        <v>0</v>
      </c>
      <c r="AN107" s="658" t="str">
        <f>COUNTIFS($D$2:$D700, "Rare", $E$2:$E700, "Promo", $F$2:F700, "Paladin" )*2</f>
        <v>0</v>
      </c>
      <c r="AO107" s="554" t="str">
        <f>sumifs($U$2:$U700, $D$2:$D700, "Rare", $E$2:$E700, "Naxx", $F$2:F700, "Paladin")</f>
        <v>0</v>
      </c>
      <c r="AP107" s="558" t="str">
        <f>COUNTIFS($D$2:$D700, "Rare", $E$2:$E700, "Naxx", $F$2:F700, "Paladin" )*2</f>
        <v>0</v>
      </c>
      <c r="AQ107" s="554" t="str">
        <f>sumifs($U$2:$U700, $D$2:$D700, "Rare", $E$2:$E700, "GvG", $F$2:F700, "Paladin")</f>
        <v>5</v>
      </c>
      <c r="AR107" s="558" t="str">
        <f>COUNTIFS($D$2:$D700, "Rare", $E$2:$E700, "GvG", $F$2:F700, "Paladin" )*2</f>
        <v>6</v>
      </c>
      <c r="AS107" s="554" t="str">
        <f>sumifs($U$2:$U700, $D$2:$D700, "Rare", $E$2:$E700, "Blackrock", $F$2:F700, "Paladin")</f>
        <v>2</v>
      </c>
      <c r="AT107" s="558" t="str">
        <f>COUNTIFS($D$2:$D700, "Rare", $E$2:$E700, "Blackrock", $F$2:F700, "Paladin" )*2</f>
        <v>2</v>
      </c>
      <c r="AU107" s="554" t="str">
        <f>sumifs($U$2:$U700, $D$2:$D700, "Rare", $E$2:$E700, "TGT", $F$2:F700, "Paladin")</f>
        <v>6</v>
      </c>
      <c r="AV107" s="558" t="str">
        <f>COUNTIFS($D$2:$D700, "Rare", $E$2:$E700, "TGT", $F$2:F700, "Paladin" )*2</f>
        <v>6</v>
      </c>
      <c r="AW107" s="657">
        <v>0.0</v>
      </c>
      <c r="AX107" s="658">
        <v>0.0</v>
      </c>
    </row>
    <row r="108">
      <c r="A108" s="509"/>
      <c r="B108" s="682">
        <v>3.0</v>
      </c>
      <c r="C108" s="683" t="s">
        <v>395</v>
      </c>
      <c r="D108" s="684" t="s">
        <v>15</v>
      </c>
      <c r="E108" s="684" t="s">
        <v>41</v>
      </c>
      <c r="F108" s="685" t="s">
        <v>65</v>
      </c>
      <c r="G108" s="686" t="str">
        <f>IF(Summary!$Y$25&gt;=VLOOKUP(C108,Reference!$N$41:$O$70,2,0),2,0)</f>
        <v>2</v>
      </c>
      <c r="H108" s="686">
        <v>0.0</v>
      </c>
      <c r="I108" s="518">
        <v>1.0</v>
      </c>
      <c r="J108" s="518"/>
      <c r="K108" s="687" t="s">
        <v>162</v>
      </c>
      <c r="L108" s="687" t="s">
        <v>299</v>
      </c>
      <c r="M108" s="687"/>
      <c r="N108" s="687"/>
      <c r="O108" s="688" t="s">
        <v>396</v>
      </c>
      <c r="P108" s="14"/>
      <c r="Q108" s="452" t="str">
        <f>MATCH($D108,Reference!$J$5:$J$9,0)</f>
        <v>2</v>
      </c>
      <c r="R108" s="452" t="str">
        <f>MATCH($E108,Reference!$J$26:$J$32,0)</f>
        <v>4</v>
      </c>
      <c r="S108" s="452" t="str">
        <f>MATCH($F108,Reference!$J$45:$J$54,0)</f>
        <v>3</v>
      </c>
      <c r="T108" s="453" t="str">
        <f>MATCH($K108,Reference!$J$37:$J$39,0)</f>
        <v>2</v>
      </c>
      <c r="U108" s="454" t="str">
        <f t="shared" si="192"/>
        <v>2</v>
      </c>
      <c r="V108" s="454" t="str">
        <f t="shared" si="3"/>
        <v>1</v>
      </c>
      <c r="W108" s="454" t="str">
        <f t="shared" si="210"/>
        <v>0</v>
      </c>
      <c r="X108" s="454" t="str">
        <f t="shared" si="193"/>
        <v>2</v>
      </c>
      <c r="Y108" s="456" t="str">
        <f t="shared" si="5"/>
        <v>FALSE</v>
      </c>
      <c r="Z108" s="456" t="str">
        <f t="shared" si="6"/>
        <v>FALSE</v>
      </c>
      <c r="AA108" s="457" t="str">
        <f t="shared" ref="AA108:AB108" si="219">1-I108</f>
        <v>0%</v>
      </c>
      <c r="AB108" s="457" t="str">
        <f t="shared" si="219"/>
        <v>100%</v>
      </c>
      <c r="AC108" s="456" t="str">
        <f t="shared" si="8"/>
        <v>2</v>
      </c>
      <c r="AD108" s="458" t="str">
        <f t="shared" si="195"/>
        <v>0</v>
      </c>
      <c r="AE108" s="458" t="str">
        <f t="shared" si="10"/>
        <v>1</v>
      </c>
      <c r="AF108" s="459" t="str">
        <f t="shared" si="212"/>
        <v>0</v>
      </c>
      <c r="AG108" s="460"/>
      <c r="AH108" s="593" t="s">
        <v>22</v>
      </c>
      <c r="AI108" s="568" t="str">
        <f t="shared" ref="AI108:AJ108" si="220">SUM(AM108+AK108+AO108+AQ108+AS108+AU108)</f>
        <v>9</v>
      </c>
      <c r="AJ108" s="569" t="str">
        <f t="shared" si="220"/>
        <v>14</v>
      </c>
      <c r="AK108" s="641" t="str">
        <f>sumifs($U$2:$U700, $D$2:$D700, "Epic", $E$2:$E700, "Classic", $F$2:F700, "Paladin")</f>
        <v>1</v>
      </c>
      <c r="AL108" s="569" t="str">
        <f>COUNTIFS($D$2:$D700, "Epic", $E$2:$E700, "Classic", $F$2:F700, "Paladin" )*2</f>
        <v>6</v>
      </c>
      <c r="AM108" s="667" t="str">
        <f>sumifs($U$2:$U700, $D$2:$D700, "Epic", $E$2:$E700, "Promo", $F$2:F700, "Paladin")</f>
        <v>0</v>
      </c>
      <c r="AN108" s="668" t="str">
        <f>COUNTIFS($D$2:$D700, "Epic", $E$2:$E700, "Promo", $F$2:F700, "Paladin" )*2</f>
        <v>0</v>
      </c>
      <c r="AO108" s="641" t="str">
        <f>sumifs($U$2:$U700, $D$2:$D700, "Epic", $E$2:$E700, "Naxx", $F$2:F700, "Paladin")</f>
        <v>0</v>
      </c>
      <c r="AP108" s="569" t="str">
        <f>COUNTIFS($D$2:$D700, "Epic", $E$2:$E700, "Naxx", $F$2:F700, "Paladin" )*2</f>
        <v>0</v>
      </c>
      <c r="AQ108" s="641" t="str">
        <f>sumifs($U$2:$U700, $D$2:$D700, "Epic", $E$2:$E700, "GvG", $F$2:F700, "Paladin")</f>
        <v>4</v>
      </c>
      <c r="AR108" s="569" t="str">
        <f>COUNTIFS($D$2:$D700, "Epic", $E$2:$E700, "GvG", $F$2:F700, "Paladin" )*2</f>
        <v>4</v>
      </c>
      <c r="AS108" s="641" t="str">
        <f>sumifs($U$2:$U700, $D$2:$D700, "Epic", $E$2:$E700, "Blackrock", $F$2:F700, "Paladin")</f>
        <v>0</v>
      </c>
      <c r="AT108" s="569" t="str">
        <f>COUNTIFS($D$2:$D700, "Epic", $E$2:$E700, "Blackrock", $F$2:F700, "Paladin" )*2</f>
        <v>0</v>
      </c>
      <c r="AU108" s="641" t="str">
        <f>sumifs($U$2:$U700, $D$2:$D700, "Epic", $E$2:$E700, "TGT", $F$2:F700, "Paladin")</f>
        <v>4</v>
      </c>
      <c r="AV108" s="569" t="str">
        <f>COUNTIFS($D$2:$D700, "Epic", $E$2:$E700, "TGT", $F$2:F700, "Paladin" )*2</f>
        <v>4</v>
      </c>
      <c r="AW108" s="667">
        <v>0.0</v>
      </c>
      <c r="AX108" s="668">
        <v>0.0</v>
      </c>
    </row>
    <row r="109">
      <c r="A109" s="469"/>
      <c r="B109" s="509">
        <v>3.0</v>
      </c>
      <c r="C109" s="510" t="s">
        <v>397</v>
      </c>
      <c r="D109" s="511" t="s">
        <v>15</v>
      </c>
      <c r="E109" s="511" t="s">
        <v>33</v>
      </c>
      <c r="F109" s="512" t="s">
        <v>65</v>
      </c>
      <c r="G109" s="508">
        <v>2.0</v>
      </c>
      <c r="H109" s="508">
        <v>0.0</v>
      </c>
      <c r="I109" s="486">
        <v>1.0</v>
      </c>
      <c r="J109" s="486">
        <v>1.0</v>
      </c>
      <c r="K109" s="522" t="s">
        <v>162</v>
      </c>
      <c r="L109" s="522" t="s">
        <v>299</v>
      </c>
      <c r="M109" s="522"/>
      <c r="N109" s="522"/>
      <c r="O109" s="224" t="s">
        <v>398</v>
      </c>
      <c r="P109" s="14"/>
      <c r="Q109" s="452" t="str">
        <f>MATCH($D109,Reference!$J$5:$J$9,0)</f>
        <v>2</v>
      </c>
      <c r="R109" s="452" t="str">
        <f>MATCH($E109,Reference!$J$26:$J$32,0)</f>
        <v>2</v>
      </c>
      <c r="S109" s="452" t="str">
        <f>MATCH($F109,Reference!$J$45:$J$54,0)</f>
        <v>3</v>
      </c>
      <c r="T109" s="453" t="str">
        <f>MATCH($K109,Reference!$J$37:$J$39,0)</f>
        <v>2</v>
      </c>
      <c r="U109" s="454" t="str">
        <f t="shared" si="192"/>
        <v>2</v>
      </c>
      <c r="V109" s="454" t="str">
        <f t="shared" si="3"/>
        <v>1</v>
      </c>
      <c r="W109" s="454" t="str">
        <f t="shared" si="210"/>
        <v>0</v>
      </c>
      <c r="X109" s="454" t="str">
        <f t="shared" si="193"/>
        <v>2</v>
      </c>
      <c r="Y109" s="456" t="str">
        <f t="shared" si="5"/>
        <v>FALSE</v>
      </c>
      <c r="Z109" s="456" t="str">
        <f t="shared" si="6"/>
        <v>FALSE</v>
      </c>
      <c r="AA109" s="457" t="str">
        <f t="shared" ref="AA109:AB109" si="221">1-I109</f>
        <v>0%</v>
      </c>
      <c r="AB109" s="457" t="str">
        <f t="shared" si="221"/>
        <v>0%</v>
      </c>
      <c r="AC109" s="456" t="str">
        <f t="shared" si="8"/>
        <v>2</v>
      </c>
      <c r="AD109" s="458" t="str">
        <f t="shared" si="195"/>
        <v>0</v>
      </c>
      <c r="AE109" s="458" t="str">
        <f t="shared" si="10"/>
        <v>1</v>
      </c>
      <c r="AF109" s="459" t="str">
        <f t="shared" si="212"/>
        <v>0</v>
      </c>
      <c r="AG109" s="460"/>
      <c r="AH109" s="583" t="s">
        <v>23</v>
      </c>
      <c r="AI109" s="584" t="str">
        <f t="shared" ref="AI109:AJ109" si="222">SUM(AM109+AK109+AO109+AQ109+AS109+AU109)</f>
        <v>2</v>
      </c>
      <c r="AJ109" s="585" t="str">
        <f t="shared" si="222"/>
        <v>3</v>
      </c>
      <c r="AK109" s="677" t="str">
        <f>sumifs($U$2:$U700, $D$2:$D700, "Legendary", $E$2:$E700, "Classic", $F$2:F700, "Paladin")</f>
        <v>1</v>
      </c>
      <c r="AL109" s="678" t="str">
        <f>COUNTIFS($D$2:$D700, "Legendary", $E$2:$E700, "Classic", $F$2:F700, "Paladin" )</f>
        <v>1</v>
      </c>
      <c r="AM109" s="679" t="str">
        <f>sumifs($U$2:$U700, $D$2:$D700, "Legendary", $E$2:$E700, "Promo", $F$2:F700, "Paladin")</f>
        <v>0</v>
      </c>
      <c r="AN109" s="680" t="str">
        <f>COUNTIFS($D$2:$D700, "Legendary", $E$2:$E700, "Promo", $F$2:F700, "Paladin" )</f>
        <v>0</v>
      </c>
      <c r="AO109" s="677" t="str">
        <f>sumifs($U$2:$U700, $D$2:$D700, "Legendary", $E$2:$E700, "Naxx", $F$2:F700, "Paladin")</f>
        <v>0</v>
      </c>
      <c r="AP109" s="678" t="str">
        <f>COUNTIFS($D$2:$D700, "Legendary", $E$2:$E700, "Naxx", $F$2:F700, "Paladin" )</f>
        <v>0</v>
      </c>
      <c r="AQ109" s="677" t="str">
        <f>sumifs($U$2:$U700, $D$2:$D700, "Legendary", $E$2:$E700, "GvG", $F$2:F700, "Paladin")</f>
        <v>0</v>
      </c>
      <c r="AR109" s="678" t="str">
        <f>COUNTIFS($D$2:$D700, "Legendary", $E$2:$E700, "GvG", $F$2:F700, "Paladin" )</f>
        <v>1</v>
      </c>
      <c r="AS109" s="677" t="str">
        <f>sumifs($U$2:$U700, $D$2:$D700, "Legendary", $E$2:$E700, "Blackrock", $F$2:F700, "Paladin")</f>
        <v>0</v>
      </c>
      <c r="AT109" s="678" t="str">
        <f>COUNTIFS($D$2:$D700, "Legendary", $E$2:$E700, "Blackrock", $F$2:F700, "Paladin" )</f>
        <v>0</v>
      </c>
      <c r="AU109" s="677" t="str">
        <f>sumifs($U$2:$U700, $D$2:$D700, "Legendary", $E$2:$E700, "TGT", $F$2:F700, "Paladin")</f>
        <v>1</v>
      </c>
      <c r="AV109" s="678" t="str">
        <f>COUNTIFS($D$2:$D700, "Legendary", $E$2:$E700, "TGT", $F$2:F700, "Paladin" )</f>
        <v>1</v>
      </c>
      <c r="AW109" s="679">
        <v>0.0</v>
      </c>
      <c r="AX109" s="680">
        <v>0.0</v>
      </c>
    </row>
    <row r="110">
      <c r="A110" s="442"/>
      <c r="B110" s="509">
        <v>3.0</v>
      </c>
      <c r="C110" s="510" t="s">
        <v>399</v>
      </c>
      <c r="D110" s="511" t="s">
        <v>15</v>
      </c>
      <c r="E110" s="511" t="s">
        <v>33</v>
      </c>
      <c r="F110" s="512" t="s">
        <v>65</v>
      </c>
      <c r="G110" s="508">
        <v>2.0</v>
      </c>
      <c r="H110" s="508">
        <v>0.0</v>
      </c>
      <c r="I110" s="486">
        <v>1.0</v>
      </c>
      <c r="J110" s="486">
        <v>1.0</v>
      </c>
      <c r="K110" s="511" t="s">
        <v>162</v>
      </c>
      <c r="L110" s="511" t="s">
        <v>299</v>
      </c>
      <c r="M110" s="512"/>
      <c r="N110" s="508"/>
      <c r="O110" s="224" t="s">
        <v>400</v>
      </c>
      <c r="P110" s="14"/>
      <c r="Q110" s="452" t="str">
        <f>MATCH($D110,Reference!$J$5:$J$9,0)</f>
        <v>2</v>
      </c>
      <c r="R110" s="452" t="str">
        <f>MATCH($E110,Reference!$J$26:$J$32,0)</f>
        <v>2</v>
      </c>
      <c r="S110" s="452" t="str">
        <f>MATCH($F110,Reference!$J$45:$J$54,0)</f>
        <v>3</v>
      </c>
      <c r="T110" s="453" t="str">
        <f>MATCH($K110,Reference!$J$37:$J$39,0)</f>
        <v>2</v>
      </c>
      <c r="U110" s="454" t="str">
        <f t="shared" si="192"/>
        <v>2</v>
      </c>
      <c r="V110" s="454" t="str">
        <f t="shared" si="3"/>
        <v>1</v>
      </c>
      <c r="W110" s="454" t="str">
        <f t="shared" si="210"/>
        <v>0</v>
      </c>
      <c r="X110" s="454" t="str">
        <f t="shared" si="193"/>
        <v>2</v>
      </c>
      <c r="Y110" s="456" t="str">
        <f t="shared" si="5"/>
        <v>FALSE</v>
      </c>
      <c r="Z110" s="456" t="str">
        <f t="shared" si="6"/>
        <v>FALSE</v>
      </c>
      <c r="AA110" s="457" t="str">
        <f t="shared" ref="AA110:AB110" si="223">1-I110</f>
        <v>0%</v>
      </c>
      <c r="AB110" s="457" t="str">
        <f t="shared" si="223"/>
        <v>0%</v>
      </c>
      <c r="AC110" s="456" t="str">
        <f t="shared" si="8"/>
        <v>2</v>
      </c>
      <c r="AD110" s="458" t="str">
        <f t="shared" si="195"/>
        <v>0</v>
      </c>
      <c r="AE110" s="458" t="str">
        <f t="shared" si="10"/>
        <v>1</v>
      </c>
      <c r="AF110" s="459" t="str">
        <f t="shared" si="212"/>
        <v>0</v>
      </c>
      <c r="AG110" s="460"/>
      <c r="AH110" s="601" t="s">
        <v>24</v>
      </c>
      <c r="AI110" s="602"/>
      <c r="AJ110" s="603"/>
      <c r="AK110" s="602"/>
      <c r="AL110" s="603"/>
      <c r="AM110" s="602"/>
      <c r="AN110" s="603"/>
      <c r="AO110" s="602"/>
      <c r="AP110" s="603"/>
      <c r="AQ110" s="602"/>
      <c r="AR110" s="603"/>
      <c r="AS110" s="602"/>
      <c r="AT110" s="603"/>
      <c r="AU110" s="602"/>
      <c r="AV110" s="603"/>
      <c r="AW110" s="602"/>
      <c r="AX110" s="603"/>
    </row>
    <row r="111">
      <c r="A111" s="442"/>
      <c r="B111" s="466">
        <v>3.0</v>
      </c>
      <c r="C111" s="475" t="s">
        <v>401</v>
      </c>
      <c r="D111" s="476" t="s">
        <v>15</v>
      </c>
      <c r="E111" s="477" t="s">
        <v>36</v>
      </c>
      <c r="F111" s="476" t="s">
        <v>65</v>
      </c>
      <c r="G111" s="478">
        <v>2.0</v>
      </c>
      <c r="H111" s="478">
        <v>0.0</v>
      </c>
      <c r="I111" s="479">
        <v>1.0</v>
      </c>
      <c r="J111" s="479">
        <v>1.0</v>
      </c>
      <c r="K111" s="477" t="s">
        <v>188</v>
      </c>
      <c r="L111" s="477"/>
      <c r="M111" s="477">
        <v>3.0</v>
      </c>
      <c r="N111" s="477">
        <v>4.0</v>
      </c>
      <c r="O111" s="480" t="s">
        <v>402</v>
      </c>
      <c r="P111" s="14"/>
      <c r="Q111" s="452" t="str">
        <f>MATCH($D111,Reference!$J$5:$J$9,0)</f>
        <v>2</v>
      </c>
      <c r="R111" s="452" t="str">
        <f>MATCH($E111,Reference!$J$26:$J$32,0)</f>
        <v>7</v>
      </c>
      <c r="S111" s="452" t="str">
        <f>MATCH($F111,Reference!$J$45:$J$54,0)</f>
        <v>3</v>
      </c>
      <c r="T111" s="453" t="str">
        <f>MATCH($K111,Reference!$J$37:$J$39,0)</f>
        <v>3</v>
      </c>
      <c r="U111" s="454" t="str">
        <f t="shared" si="192"/>
        <v>2</v>
      </c>
      <c r="V111" s="454" t="str">
        <f t="shared" si="3"/>
        <v>1</v>
      </c>
      <c r="W111" s="454" t="str">
        <f t="shared" si="210"/>
        <v>0</v>
      </c>
      <c r="X111" s="454" t="str">
        <f t="shared" si="193"/>
        <v>2</v>
      </c>
      <c r="Y111" s="456" t="str">
        <f t="shared" si="5"/>
        <v>FALSE</v>
      </c>
      <c r="Z111" s="456" t="str">
        <f t="shared" si="6"/>
        <v>FALSE</v>
      </c>
      <c r="AA111" s="457" t="str">
        <f t="shared" ref="AA111:AB111" si="224">1-I111</f>
        <v>0%</v>
      </c>
      <c r="AB111" s="457" t="str">
        <f t="shared" si="224"/>
        <v>0%</v>
      </c>
      <c r="AC111" s="456" t="str">
        <f t="shared" si="8"/>
        <v>2</v>
      </c>
      <c r="AD111" s="458" t="str">
        <f t="shared" si="195"/>
        <v>0</v>
      </c>
      <c r="AE111" s="458" t="str">
        <f t="shared" si="10"/>
        <v>1</v>
      </c>
      <c r="AF111" s="459" t="str">
        <f t="shared" si="212"/>
        <v>0</v>
      </c>
      <c r="AG111" s="460"/>
      <c r="AH111" s="604" t="s">
        <v>221</v>
      </c>
      <c r="AI111" s="605" t="str">
        <f t="shared" ref="AI111:AN111" si="225">SUM(AI99:AI103)</f>
        <v>41</v>
      </c>
      <c r="AJ111" s="606" t="str">
        <f t="shared" si="225"/>
        <v>45</v>
      </c>
      <c r="AK111" s="605" t="str">
        <f t="shared" si="225"/>
        <v>22</v>
      </c>
      <c r="AL111" s="606" t="str">
        <f t="shared" si="225"/>
        <v>25</v>
      </c>
      <c r="AM111" s="605" t="str">
        <f t="shared" si="225"/>
        <v>0</v>
      </c>
      <c r="AN111" s="606" t="str">
        <f t="shared" si="225"/>
        <v>0</v>
      </c>
      <c r="AO111" s="605" t="str">
        <f>sum(AO99:AO103)</f>
        <v>1</v>
      </c>
      <c r="AP111" s="606" t="str">
        <f>SUM(AP99:AP103)</f>
        <v>1</v>
      </c>
      <c r="AQ111" s="605" t="str">
        <f>sum(AQ99:AQ103)</f>
        <v>7</v>
      </c>
      <c r="AR111" s="606" t="str">
        <f>SUM(AR99:AR103)</f>
        <v>8</v>
      </c>
      <c r="AS111" s="605" t="str">
        <f t="shared" ref="AS111:AX111" si="226">sum(AS99:AS103)</f>
        <v>2</v>
      </c>
      <c r="AT111" s="606" t="str">
        <f t="shared" si="226"/>
        <v>2</v>
      </c>
      <c r="AU111" s="605" t="str">
        <f t="shared" si="226"/>
        <v>9</v>
      </c>
      <c r="AV111" s="606" t="str">
        <f t="shared" si="226"/>
        <v>9</v>
      </c>
      <c r="AW111" s="605" t="str">
        <f t="shared" si="226"/>
        <v>0</v>
      </c>
      <c r="AX111" s="606" t="str">
        <f t="shared" si="226"/>
        <v>0</v>
      </c>
    </row>
    <row r="112">
      <c r="A112" s="442"/>
      <c r="B112" s="442">
        <v>4.0</v>
      </c>
      <c r="C112" s="482" t="s">
        <v>403</v>
      </c>
      <c r="D112" s="483" t="s">
        <v>15</v>
      </c>
      <c r="E112" s="483" t="s">
        <v>33</v>
      </c>
      <c r="F112" s="484" t="s">
        <v>65</v>
      </c>
      <c r="G112" s="471">
        <v>2.0</v>
      </c>
      <c r="H112" s="485">
        <v>0.0</v>
      </c>
      <c r="I112" s="486">
        <v>1.0</v>
      </c>
      <c r="J112" s="486">
        <v>1.0</v>
      </c>
      <c r="K112" s="499" t="s">
        <v>162</v>
      </c>
      <c r="L112" s="499"/>
      <c r="M112" s="499"/>
      <c r="N112" s="499"/>
      <c r="O112" s="223" t="s">
        <v>404</v>
      </c>
      <c r="P112" s="14"/>
      <c r="Q112" s="452" t="str">
        <f>MATCH($D112,Reference!$J$5:$J$9,0)</f>
        <v>2</v>
      </c>
      <c r="R112" s="452" t="str">
        <f>MATCH($E112,Reference!$J$26:$J$32,0)</f>
        <v>2</v>
      </c>
      <c r="S112" s="452" t="str">
        <f>MATCH($F112,Reference!$J$45:$J$54,0)</f>
        <v>3</v>
      </c>
      <c r="T112" s="453" t="str">
        <f>MATCH($K112,Reference!$J$37:$J$39,0)</f>
        <v>2</v>
      </c>
      <c r="U112" s="454" t="str">
        <f t="shared" si="192"/>
        <v>2</v>
      </c>
      <c r="V112" s="454" t="str">
        <f t="shared" si="3"/>
        <v>1</v>
      </c>
      <c r="W112" s="454" t="str">
        <f t="shared" si="210"/>
        <v>0</v>
      </c>
      <c r="X112" s="454" t="str">
        <f t="shared" si="193"/>
        <v>2</v>
      </c>
      <c r="Y112" s="456" t="str">
        <f t="shared" si="5"/>
        <v>FALSE</v>
      </c>
      <c r="Z112" s="456" t="str">
        <f t="shared" si="6"/>
        <v>FALSE</v>
      </c>
      <c r="AA112" s="457" t="str">
        <f t="shared" ref="AA112:AB112" si="227">1-I112</f>
        <v>0%</v>
      </c>
      <c r="AB112" s="457" t="str">
        <f t="shared" si="227"/>
        <v>0%</v>
      </c>
      <c r="AC112" s="456" t="str">
        <f t="shared" si="8"/>
        <v>2</v>
      </c>
      <c r="AD112" s="458" t="str">
        <f t="shared" si="195"/>
        <v>0</v>
      </c>
      <c r="AE112" s="458" t="str">
        <f t="shared" si="10"/>
        <v>1</v>
      </c>
      <c r="AF112" s="459" t="str">
        <f t="shared" si="212"/>
        <v>0</v>
      </c>
      <c r="AG112" s="460"/>
      <c r="AH112" s="615" t="s">
        <v>234</v>
      </c>
      <c r="AI112" s="616" t="str">
        <f t="shared" ref="AI112:AJ112" si="228">SUM(AI105:AI109)</f>
        <v>77</v>
      </c>
      <c r="AJ112" s="617" t="str">
        <f t="shared" si="228"/>
        <v>87</v>
      </c>
      <c r="AK112" s="616" t="str">
        <f>sum(AK105:AK109)</f>
        <v>41</v>
      </c>
      <c r="AL112" s="617" t="str">
        <f>SUM(AL105:AL109)</f>
        <v>49</v>
      </c>
      <c r="AM112" s="616" t="str">
        <f>sum(AM105:AM109)</f>
        <v>0</v>
      </c>
      <c r="AN112" s="617" t="str">
        <f>SUM(AN105:AN109)</f>
        <v>0</v>
      </c>
      <c r="AO112" s="616" t="str">
        <f>sum(AO105:AO109)</f>
        <v>2</v>
      </c>
      <c r="AP112" s="617" t="str">
        <f>SUM(AP105:AP109)</f>
        <v>2</v>
      </c>
      <c r="AQ112" s="616" t="str">
        <f>sum(AQ106:AQ109)</f>
        <v>13</v>
      </c>
      <c r="AR112" s="617" t="str">
        <f>SUM(AR105:AR109)</f>
        <v>15</v>
      </c>
      <c r="AS112" s="616" t="str">
        <f t="shared" ref="AS112:AX112" si="229">sum(AS105:AS109)</f>
        <v>4</v>
      </c>
      <c r="AT112" s="617" t="str">
        <f t="shared" si="229"/>
        <v>4</v>
      </c>
      <c r="AU112" s="616" t="str">
        <f t="shared" si="229"/>
        <v>17</v>
      </c>
      <c r="AV112" s="617" t="str">
        <f t="shared" si="229"/>
        <v>17</v>
      </c>
      <c r="AW112" s="616" t="str">
        <f t="shared" si="229"/>
        <v>0</v>
      </c>
      <c r="AX112" s="617" t="str">
        <f t="shared" si="229"/>
        <v>0</v>
      </c>
    </row>
    <row r="113">
      <c r="A113" s="466"/>
      <c r="B113" s="466">
        <v>4.0</v>
      </c>
      <c r="C113" s="475" t="s">
        <v>405</v>
      </c>
      <c r="D113" s="476" t="s">
        <v>15</v>
      </c>
      <c r="E113" s="477" t="s">
        <v>36</v>
      </c>
      <c r="F113" s="476" t="s">
        <v>65</v>
      </c>
      <c r="G113" s="478">
        <v>2.0</v>
      </c>
      <c r="H113" s="478">
        <v>0.0</v>
      </c>
      <c r="I113" s="479">
        <v>1.0</v>
      </c>
      <c r="J113" s="479">
        <v>1.0</v>
      </c>
      <c r="K113" s="477" t="s">
        <v>188</v>
      </c>
      <c r="L113" s="477"/>
      <c r="M113" s="477">
        <v>3.0</v>
      </c>
      <c r="N113" s="477">
        <v>5.0</v>
      </c>
      <c r="O113" s="480" t="s">
        <v>406</v>
      </c>
      <c r="P113" s="14"/>
      <c r="Q113" s="452" t="str">
        <f>MATCH($D113,Reference!$J$5:$J$9,0)</f>
        <v>2</v>
      </c>
      <c r="R113" s="452" t="str">
        <f>MATCH($E113,Reference!$J$26:$J$32,0)</f>
        <v>7</v>
      </c>
      <c r="S113" s="452" t="str">
        <f>MATCH($F113,Reference!$J$45:$J$54,0)</f>
        <v>3</v>
      </c>
      <c r="T113" s="453" t="str">
        <f>MATCH($K113,Reference!$J$37:$J$39,0)</f>
        <v>3</v>
      </c>
      <c r="U113" s="454" t="str">
        <f t="shared" si="192"/>
        <v>2</v>
      </c>
      <c r="V113" s="454" t="str">
        <f t="shared" si="3"/>
        <v>1</v>
      </c>
      <c r="W113" s="454" t="str">
        <f t="shared" si="210"/>
        <v>0</v>
      </c>
      <c r="X113" s="454" t="str">
        <f t="shared" si="193"/>
        <v>2</v>
      </c>
      <c r="Y113" s="456" t="str">
        <f t="shared" si="5"/>
        <v>FALSE</v>
      </c>
      <c r="Z113" s="456" t="str">
        <f t="shared" si="6"/>
        <v>FALSE</v>
      </c>
      <c r="AA113" s="457" t="str">
        <f t="shared" ref="AA113:AB113" si="230">1-I113</f>
        <v>0%</v>
      </c>
      <c r="AB113" s="457" t="str">
        <f t="shared" si="230"/>
        <v>0%</v>
      </c>
      <c r="AC113" s="456" t="str">
        <f t="shared" si="8"/>
        <v>2</v>
      </c>
      <c r="AD113" s="458" t="str">
        <f t="shared" si="195"/>
        <v>0</v>
      </c>
      <c r="AE113" s="458" t="str">
        <f t="shared" si="10"/>
        <v>1</v>
      </c>
      <c r="AF113" s="459" t="str">
        <f t="shared" si="212"/>
        <v>0</v>
      </c>
      <c r="AG113" s="460"/>
      <c r="AH113" s="14"/>
      <c r="AI113" s="14"/>
      <c r="AJ113" s="14"/>
      <c r="AK113" s="14"/>
      <c r="AL113" s="14"/>
      <c r="AM113" s="14"/>
      <c r="AN113" s="14"/>
      <c r="AO113" s="14"/>
      <c r="AP113" s="14"/>
      <c r="AQ113" s="14"/>
      <c r="AR113" s="14"/>
      <c r="AS113" s="14"/>
      <c r="AT113" s="14"/>
    </row>
    <row r="114">
      <c r="A114" s="442"/>
      <c r="B114" s="469">
        <v>5.0</v>
      </c>
      <c r="C114" s="501" t="s">
        <v>407</v>
      </c>
      <c r="D114" s="502" t="s">
        <v>15</v>
      </c>
      <c r="E114" s="502" t="s">
        <v>47</v>
      </c>
      <c r="F114" s="503" t="s">
        <v>65</v>
      </c>
      <c r="G114" s="504" t="str">
        <f>IF(Summary!$Y$27&gt;=VLOOKUP(C114,Reference!$N$6:$O$36,2,0),2,0)</f>
        <v>2</v>
      </c>
      <c r="H114" s="504">
        <v>0.0</v>
      </c>
      <c r="I114" s="505">
        <v>1.0</v>
      </c>
      <c r="J114" s="505"/>
      <c r="K114" s="506" t="s">
        <v>162</v>
      </c>
      <c r="L114" s="506"/>
      <c r="M114" s="506"/>
      <c r="N114" s="506"/>
      <c r="O114" s="507" t="s">
        <v>408</v>
      </c>
      <c r="P114" s="14"/>
      <c r="Q114" s="452" t="str">
        <f>MATCH($D114,Reference!$J$5:$J$9,0)</f>
        <v>2</v>
      </c>
      <c r="R114" s="452" t="str">
        <f>MATCH($E114,Reference!$J$26:$J$32,0)</f>
        <v>6</v>
      </c>
      <c r="S114" s="452" t="str">
        <f>MATCH($F114,Reference!$J$45:$J$54,0)</f>
        <v>3</v>
      </c>
      <c r="T114" s="453" t="str">
        <f>MATCH($K114,Reference!$J$37:$J$39,0)</f>
        <v>2</v>
      </c>
      <c r="U114" s="454" t="str">
        <f t="shared" si="192"/>
        <v>2</v>
      </c>
      <c r="V114" s="454" t="str">
        <f t="shared" si="3"/>
        <v>1</v>
      </c>
      <c r="W114" s="454" t="str">
        <f t="shared" si="210"/>
        <v>0</v>
      </c>
      <c r="X114" s="454" t="str">
        <f t="shared" si="193"/>
        <v>2</v>
      </c>
      <c r="Y114" s="456" t="str">
        <f t="shared" si="5"/>
        <v>FALSE</v>
      </c>
      <c r="Z114" s="456" t="str">
        <f t="shared" si="6"/>
        <v>FALSE</v>
      </c>
      <c r="AA114" s="457" t="str">
        <f t="shared" ref="AA114:AB114" si="231">1-I114</f>
        <v>0%</v>
      </c>
      <c r="AB114" s="457" t="str">
        <f t="shared" si="231"/>
        <v>100%</v>
      </c>
      <c r="AC114" s="456" t="str">
        <f t="shared" si="8"/>
        <v>2</v>
      </c>
      <c r="AD114" s="458" t="str">
        <f t="shared" si="195"/>
        <v>0</v>
      </c>
      <c r="AE114" s="458" t="str">
        <f t="shared" si="10"/>
        <v>1</v>
      </c>
      <c r="AF114" s="459" t="str">
        <f t="shared" si="212"/>
        <v>0</v>
      </c>
      <c r="AG114" s="460"/>
      <c r="AH114" s="14"/>
      <c r="AI114" s="14"/>
      <c r="AJ114" s="14"/>
      <c r="AK114" s="14"/>
      <c r="AL114" s="14"/>
      <c r="AM114" s="14"/>
      <c r="AN114" s="14"/>
      <c r="AO114" s="14"/>
      <c r="AP114" s="14"/>
      <c r="AQ114" s="14"/>
      <c r="AR114" s="14"/>
      <c r="AS114" s="14"/>
      <c r="AT114" s="14"/>
    </row>
    <row r="115">
      <c r="A115" s="463"/>
      <c r="B115" s="466">
        <v>5.0</v>
      </c>
      <c r="C115" s="475" t="s">
        <v>409</v>
      </c>
      <c r="D115" s="476" t="s">
        <v>15</v>
      </c>
      <c r="E115" s="477" t="s">
        <v>36</v>
      </c>
      <c r="F115" s="476" t="s">
        <v>65</v>
      </c>
      <c r="G115" s="478">
        <v>2.0</v>
      </c>
      <c r="H115" s="478">
        <v>0.0</v>
      </c>
      <c r="I115" s="479">
        <v>1.0</v>
      </c>
      <c r="J115" s="479">
        <v>1.0</v>
      </c>
      <c r="K115" s="477" t="s">
        <v>162</v>
      </c>
      <c r="L115" s="477"/>
      <c r="M115" s="477"/>
      <c r="N115" s="477"/>
      <c r="O115" s="480" t="s">
        <v>410</v>
      </c>
      <c r="P115" s="14"/>
      <c r="Q115" s="452" t="str">
        <f>MATCH($D115,Reference!$J$5:$J$9,0)</f>
        <v>2</v>
      </c>
      <c r="R115" s="452" t="str">
        <f>MATCH($E115,Reference!$J$26:$J$32,0)</f>
        <v>7</v>
      </c>
      <c r="S115" s="452" t="str">
        <f>MATCH($F115,Reference!$J$45:$J$54,0)</f>
        <v>3</v>
      </c>
      <c r="T115" s="453" t="str">
        <f>MATCH($K115,Reference!$J$37:$J$39,0)</f>
        <v>2</v>
      </c>
      <c r="U115" s="454" t="str">
        <f t="shared" si="192"/>
        <v>2</v>
      </c>
      <c r="V115" s="454" t="str">
        <f t="shared" si="3"/>
        <v>1</v>
      </c>
      <c r="W115" s="454" t="str">
        <f t="shared" si="210"/>
        <v>0</v>
      </c>
      <c r="X115" s="454" t="str">
        <f t="shared" si="193"/>
        <v>2</v>
      </c>
      <c r="Y115" s="456" t="str">
        <f t="shared" si="5"/>
        <v>FALSE</v>
      </c>
      <c r="Z115" s="456" t="str">
        <f t="shared" si="6"/>
        <v>FALSE</v>
      </c>
      <c r="AA115" s="457" t="str">
        <f t="shared" ref="AA115:AB115" si="232">1-I115</f>
        <v>0%</v>
      </c>
      <c r="AB115" s="457" t="str">
        <f t="shared" si="232"/>
        <v>0%</v>
      </c>
      <c r="AC115" s="456" t="str">
        <f t="shared" si="8"/>
        <v>2</v>
      </c>
      <c r="AD115" s="458" t="str">
        <f t="shared" si="195"/>
        <v>0</v>
      </c>
      <c r="AE115" s="458" t="str">
        <f t="shared" si="10"/>
        <v>1</v>
      </c>
      <c r="AF115" s="459" t="str">
        <f t="shared" si="212"/>
        <v>0</v>
      </c>
      <c r="AG115" s="460"/>
      <c r="AH115" s="521" t="s">
        <v>69</v>
      </c>
      <c r="AI115" s="106"/>
      <c r="AJ115" s="106"/>
      <c r="AK115" s="106"/>
      <c r="AL115" s="106"/>
      <c r="AM115" s="106"/>
      <c r="AN115" s="106"/>
      <c r="AO115" s="106"/>
      <c r="AP115" s="106"/>
      <c r="AQ115" s="106"/>
      <c r="AR115" s="106"/>
      <c r="AS115" s="106"/>
      <c r="AT115" s="106"/>
      <c r="AU115" s="106"/>
      <c r="AV115" s="106"/>
      <c r="AW115" s="106"/>
      <c r="AX115" s="106"/>
    </row>
    <row r="116">
      <c r="A116" s="442"/>
      <c r="B116" s="560">
        <v>2.0</v>
      </c>
      <c r="C116" s="561" t="s">
        <v>411</v>
      </c>
      <c r="D116" s="562" t="s">
        <v>21</v>
      </c>
      <c r="E116" s="563" t="s">
        <v>36</v>
      </c>
      <c r="F116" s="562" t="s">
        <v>65</v>
      </c>
      <c r="G116" s="564">
        <v>2.0</v>
      </c>
      <c r="H116" s="564">
        <v>0.0</v>
      </c>
      <c r="I116" s="565">
        <v>1.0</v>
      </c>
      <c r="J116" s="565">
        <v>1.0</v>
      </c>
      <c r="K116" s="563" t="s">
        <v>188</v>
      </c>
      <c r="L116" s="563"/>
      <c r="M116" s="563">
        <v>3.0</v>
      </c>
      <c r="N116" s="563">
        <v>2.0</v>
      </c>
      <c r="O116" s="566" t="s">
        <v>412</v>
      </c>
      <c r="P116" s="14"/>
      <c r="Q116" s="452" t="str">
        <f>MATCH($D116,Reference!$J$5:$J$9,0)</f>
        <v>3</v>
      </c>
      <c r="R116" s="452" t="str">
        <f>MATCH($E116,Reference!$J$26:$J$32,0)</f>
        <v>7</v>
      </c>
      <c r="S116" s="452" t="str">
        <f>MATCH($F116,Reference!$J$45:$J$54,0)</f>
        <v>3</v>
      </c>
      <c r="T116" s="453" t="str">
        <f>MATCH($K116,Reference!$J$37:$J$39,0)</f>
        <v>3</v>
      </c>
      <c r="U116" s="454" t="str">
        <f t="shared" si="192"/>
        <v>2</v>
      </c>
      <c r="V116" s="454" t="str">
        <f t="shared" si="3"/>
        <v>1</v>
      </c>
      <c r="W116" s="454" t="str">
        <f t="shared" ref="W116:W119" si="234">(MIN(G116,2)+H116-U116)*100</f>
        <v>0</v>
      </c>
      <c r="X116" s="454" t="str">
        <f t="shared" si="193"/>
        <v>2</v>
      </c>
      <c r="Y116" s="456" t="str">
        <f t="shared" si="5"/>
        <v>FALSE</v>
      </c>
      <c r="Z116" s="456" t="str">
        <f t="shared" si="6"/>
        <v>FALSE</v>
      </c>
      <c r="AA116" s="457" t="str">
        <f t="shared" ref="AA116:AB116" si="233">1-I116</f>
        <v>0%</v>
      </c>
      <c r="AB116" s="457" t="str">
        <f t="shared" si="233"/>
        <v>0%</v>
      </c>
      <c r="AC116" s="456" t="str">
        <f t="shared" si="8"/>
        <v>2</v>
      </c>
      <c r="AD116" s="458" t="str">
        <f t="shared" si="195"/>
        <v>0</v>
      </c>
      <c r="AE116" s="458" t="str">
        <f t="shared" si="10"/>
        <v>1</v>
      </c>
      <c r="AF116" s="459" t="str">
        <f t="shared" ref="AF116:AF127" si="236">(MIN(H116,2)+G116-U116)*20</f>
        <v>0</v>
      </c>
      <c r="AG116" s="460"/>
      <c r="AH116" s="523" t="s">
        <v>141</v>
      </c>
      <c r="AI116" s="524" t="s">
        <v>24</v>
      </c>
      <c r="AJ116" s="106"/>
      <c r="AK116" s="524" t="s">
        <v>33</v>
      </c>
      <c r="AL116" s="106"/>
      <c r="AM116" s="524" t="s">
        <v>37</v>
      </c>
      <c r="AN116" s="106"/>
      <c r="AO116" s="524" t="s">
        <v>41</v>
      </c>
      <c r="AP116" s="106"/>
      <c r="AQ116" s="524" t="s">
        <v>35</v>
      </c>
      <c r="AR116" s="106"/>
      <c r="AS116" s="525" t="s">
        <v>217</v>
      </c>
      <c r="AT116" s="106"/>
      <c r="AU116" s="525" t="s">
        <v>36</v>
      </c>
      <c r="AV116" s="106"/>
      <c r="AW116" s="525" t="s">
        <v>218</v>
      </c>
      <c r="AX116" s="106"/>
    </row>
    <row r="117">
      <c r="A117" s="442"/>
      <c r="B117" s="594">
        <v>2.0</v>
      </c>
      <c r="C117" s="595" t="s">
        <v>413</v>
      </c>
      <c r="D117" s="575" t="s">
        <v>21</v>
      </c>
      <c r="E117" s="575" t="s">
        <v>35</v>
      </c>
      <c r="F117" s="576" t="s">
        <v>65</v>
      </c>
      <c r="G117" s="597">
        <v>2.0</v>
      </c>
      <c r="H117" s="597">
        <v>0.0</v>
      </c>
      <c r="I117" s="598">
        <v>1.0</v>
      </c>
      <c r="J117" s="598">
        <v>1.0</v>
      </c>
      <c r="K117" s="600" t="s">
        <v>162</v>
      </c>
      <c r="L117" s="600"/>
      <c r="M117" s="600"/>
      <c r="N117" s="600"/>
      <c r="O117" s="599" t="s">
        <v>414</v>
      </c>
      <c r="P117" s="14"/>
      <c r="Q117" s="452" t="str">
        <f>MATCH($D117,Reference!$J$5:$J$9,0)</f>
        <v>3</v>
      </c>
      <c r="R117" s="452" t="str">
        <f>MATCH($E117,Reference!$J$26:$J$32,0)</f>
        <v>5</v>
      </c>
      <c r="S117" s="452" t="str">
        <f>MATCH($F117,Reference!$J$45:$J$54,0)</f>
        <v>3</v>
      </c>
      <c r="T117" s="453" t="str">
        <f>MATCH($K117,Reference!$J$37:$J$39,0)</f>
        <v>2</v>
      </c>
      <c r="U117" s="454" t="str">
        <f t="shared" si="192"/>
        <v>2</v>
      </c>
      <c r="V117" s="454" t="str">
        <f t="shared" si="3"/>
        <v>1</v>
      </c>
      <c r="W117" s="454" t="str">
        <f t="shared" si="234"/>
        <v>0</v>
      </c>
      <c r="X117" s="454" t="str">
        <f t="shared" si="193"/>
        <v>2</v>
      </c>
      <c r="Y117" s="456" t="str">
        <f t="shared" si="5"/>
        <v>FALSE</v>
      </c>
      <c r="Z117" s="456" t="str">
        <f t="shared" si="6"/>
        <v>FALSE</v>
      </c>
      <c r="AA117" s="457" t="str">
        <f t="shared" ref="AA117:AB117" si="235">1-I117</f>
        <v>0%</v>
      </c>
      <c r="AB117" s="457" t="str">
        <f t="shared" si="235"/>
        <v>0%</v>
      </c>
      <c r="AC117" s="456" t="str">
        <f t="shared" si="8"/>
        <v>2</v>
      </c>
      <c r="AD117" s="458" t="str">
        <f t="shared" si="195"/>
        <v>0</v>
      </c>
      <c r="AE117" s="458" t="str">
        <f t="shared" si="10"/>
        <v>1</v>
      </c>
      <c r="AF117" s="459" t="str">
        <f t="shared" si="236"/>
        <v>0</v>
      </c>
      <c r="AG117" s="460"/>
      <c r="AH117" s="587" t="s">
        <v>221</v>
      </c>
      <c r="AI117" s="499"/>
      <c r="AJ117" s="588"/>
      <c r="AK117" s="499"/>
      <c r="AL117" s="588"/>
      <c r="AM117" s="499"/>
      <c r="AN117" s="588"/>
      <c r="AO117" s="499"/>
      <c r="AP117" s="588"/>
      <c r="AQ117" s="499"/>
      <c r="AR117" s="588"/>
      <c r="AS117" s="499"/>
      <c r="AT117" s="588"/>
      <c r="AU117" s="499"/>
      <c r="AV117" s="588"/>
      <c r="AW117" s="499"/>
      <c r="AX117" s="588"/>
    </row>
    <row r="118">
      <c r="A118" s="442"/>
      <c r="B118" s="547">
        <v>3.0</v>
      </c>
      <c r="C118" s="548" t="s">
        <v>415</v>
      </c>
      <c r="D118" s="549" t="s">
        <v>21</v>
      </c>
      <c r="E118" s="549" t="s">
        <v>33</v>
      </c>
      <c r="F118" s="550" t="s">
        <v>65</v>
      </c>
      <c r="G118" s="551">
        <v>2.0</v>
      </c>
      <c r="H118" s="552">
        <v>0.0</v>
      </c>
      <c r="I118" s="553">
        <v>1.0</v>
      </c>
      <c r="J118" s="553">
        <v>1.0</v>
      </c>
      <c r="K118" s="554" t="s">
        <v>162</v>
      </c>
      <c r="L118" s="554" t="s">
        <v>299</v>
      </c>
      <c r="M118" s="554"/>
      <c r="N118" s="554"/>
      <c r="O118" s="555" t="s">
        <v>416</v>
      </c>
      <c r="P118" s="14"/>
      <c r="Q118" s="452" t="str">
        <f>MATCH($D118,Reference!$J$5:$J$9,0)</f>
        <v>3</v>
      </c>
      <c r="R118" s="452" t="str">
        <f>MATCH($E118,Reference!$J$26:$J$32,0)</f>
        <v>2</v>
      </c>
      <c r="S118" s="452" t="str">
        <f>MATCH($F118,Reference!$J$45:$J$54,0)</f>
        <v>3</v>
      </c>
      <c r="T118" s="453" t="str">
        <f>MATCH($K118,Reference!$J$37:$J$39,0)</f>
        <v>2</v>
      </c>
      <c r="U118" s="454" t="str">
        <f t="shared" si="192"/>
        <v>2</v>
      </c>
      <c r="V118" s="454" t="str">
        <f t="shared" si="3"/>
        <v>1</v>
      </c>
      <c r="W118" s="454" t="str">
        <f t="shared" si="234"/>
        <v>0</v>
      </c>
      <c r="X118" s="454" t="str">
        <f t="shared" si="193"/>
        <v>2</v>
      </c>
      <c r="Y118" s="456" t="str">
        <f t="shared" si="5"/>
        <v>FALSE</v>
      </c>
      <c r="Z118" s="456" t="str">
        <f t="shared" si="6"/>
        <v>FALSE</v>
      </c>
      <c r="AA118" s="457" t="str">
        <f t="shared" ref="AA118:AB118" si="237">1-I118</f>
        <v>0%</v>
      </c>
      <c r="AB118" s="457" t="str">
        <f t="shared" si="237"/>
        <v>0%</v>
      </c>
      <c r="AC118" s="456" t="str">
        <f t="shared" si="8"/>
        <v>2</v>
      </c>
      <c r="AD118" s="458" t="str">
        <f t="shared" si="195"/>
        <v>0</v>
      </c>
      <c r="AE118" s="458" t="str">
        <f t="shared" si="10"/>
        <v>1</v>
      </c>
      <c r="AF118" s="459" t="str">
        <f t="shared" si="236"/>
        <v>0</v>
      </c>
      <c r="AG118" s="460"/>
      <c r="AH118" s="643" t="s">
        <v>10</v>
      </c>
      <c r="AI118" s="534" t="str">
        <f t="shared" ref="AI118:AJ118" si="238">SUM(AM118+AK118+AO118+AQ118+AS118+AU118)</f>
        <v>10</v>
      </c>
      <c r="AJ118" s="535" t="str">
        <f t="shared" si="238"/>
        <v>10</v>
      </c>
      <c r="AK118" s="449" t="str">
        <f>sumifs($V$2:$V700, $E$2:$E700, "Basic", $F$2:F700, "Priest")</f>
        <v>10</v>
      </c>
      <c r="AL118" s="537" t="str">
        <f>COUNTIFS($E$2:$E700, "Basic", $E$2:$E700, "Basic", $F$2:F700, "Priest" )</f>
        <v>10</v>
      </c>
      <c r="AM118" s="644"/>
      <c r="AN118" s="645"/>
      <c r="AO118" s="449"/>
      <c r="AP118" s="537"/>
      <c r="AQ118" s="449"/>
      <c r="AR118" s="537"/>
      <c r="AS118" s="449"/>
      <c r="AT118" s="537"/>
      <c r="AU118" s="449"/>
      <c r="AV118" s="537"/>
      <c r="AW118" s="449"/>
      <c r="AX118" s="537"/>
    </row>
    <row r="119">
      <c r="A119" s="682"/>
      <c r="B119" s="560">
        <v>3.0</v>
      </c>
      <c r="C119" s="561" t="s">
        <v>417</v>
      </c>
      <c r="D119" s="562" t="s">
        <v>21</v>
      </c>
      <c r="E119" s="563" t="s">
        <v>36</v>
      </c>
      <c r="F119" s="562" t="s">
        <v>65</v>
      </c>
      <c r="G119" s="564">
        <v>2.0</v>
      </c>
      <c r="H119" s="564">
        <v>0.0</v>
      </c>
      <c r="I119" s="565">
        <v>1.33</v>
      </c>
      <c r="J119" s="565">
        <v>1.0</v>
      </c>
      <c r="K119" s="563" t="s">
        <v>162</v>
      </c>
      <c r="L119" s="563"/>
      <c r="M119" s="563"/>
      <c r="N119" s="563"/>
      <c r="O119" s="566" t="s">
        <v>418</v>
      </c>
      <c r="P119" s="14"/>
      <c r="Q119" s="452" t="str">
        <f>MATCH($D119,Reference!$J$5:$J$9,0)</f>
        <v>3</v>
      </c>
      <c r="R119" s="452" t="str">
        <f>MATCH($E119,Reference!$J$26:$J$32,0)</f>
        <v>7</v>
      </c>
      <c r="S119" s="452" t="str">
        <f>MATCH($F119,Reference!$J$45:$J$54,0)</f>
        <v>3</v>
      </c>
      <c r="T119" s="453" t="str">
        <f>MATCH($K119,Reference!$J$37:$J$39,0)</f>
        <v>2</v>
      </c>
      <c r="U119" s="454" t="str">
        <f t="shared" si="192"/>
        <v>2</v>
      </c>
      <c r="V119" s="454" t="str">
        <f t="shared" si="3"/>
        <v>1</v>
      </c>
      <c r="W119" s="454" t="str">
        <f t="shared" si="234"/>
        <v>0</v>
      </c>
      <c r="X119" s="454" t="str">
        <f t="shared" si="193"/>
        <v>2</v>
      </c>
      <c r="Y119" s="456" t="str">
        <f t="shared" si="5"/>
        <v>FALSE</v>
      </c>
      <c r="Z119" s="456" t="str">
        <f t="shared" si="6"/>
        <v>FALSE</v>
      </c>
      <c r="AA119" s="457" t="str">
        <f t="shared" ref="AA119:AB119" si="239">1-I119</f>
        <v>-33%</v>
      </c>
      <c r="AB119" s="457" t="str">
        <f t="shared" si="239"/>
        <v>0%</v>
      </c>
      <c r="AC119" s="456" t="str">
        <f t="shared" si="8"/>
        <v>2</v>
      </c>
      <c r="AD119" s="458" t="str">
        <f t="shared" si="195"/>
        <v>0</v>
      </c>
      <c r="AE119" s="458" t="str">
        <f t="shared" si="10"/>
        <v>1</v>
      </c>
      <c r="AF119" s="459" t="str">
        <f t="shared" si="236"/>
        <v>0</v>
      </c>
      <c r="AG119" s="460"/>
      <c r="AH119" s="405" t="s">
        <v>15</v>
      </c>
      <c r="AI119" s="522" t="str">
        <f t="shared" ref="AI119:AJ119" si="240">SUM(AM119+AK119+AO119+AQ119+AS119+AU119)</f>
        <v>13</v>
      </c>
      <c r="AJ119" s="544" t="str">
        <f t="shared" si="240"/>
        <v>13</v>
      </c>
      <c r="AK119" s="499" t="str">
        <f>sumifs($V$2:$V700, $D$2:$D700, "Common", $E$2:$E700, "Classic", $F$2:F700, "Priest")</f>
        <v>6</v>
      </c>
      <c r="AL119" s="588" t="str">
        <f>COUNTIFS($D$2:$D700, "Common", $E$2:$E700, "Classic", $F$2:F700, "Priest" )</f>
        <v>6</v>
      </c>
      <c r="AM119" s="531" t="str">
        <f>sumifs($V$2:$V700, $D$2:$D700, "Common", $E$2:$E700, "Promo", $F$2:F700, "Priest")</f>
        <v>0</v>
      </c>
      <c r="AN119" s="647" t="str">
        <f>COUNTIFS($D$2:$D700, "Common", $E$2:$E700, "Promo", $F$2:F700, "Priest" )</f>
        <v>0</v>
      </c>
      <c r="AO119" s="499" t="str">
        <f>sumifs($V$2:$V700, $D$2:$D700, "Common", $E$2:$E700, "Naxx", $F$2:F700, "Priest")</f>
        <v>1</v>
      </c>
      <c r="AP119" s="588" t="str">
        <f>COUNTIFS($D$2:$D700, "Common", $E$2:$E700, "Naxx", $F$2:F700, "Priest" )</f>
        <v>1</v>
      </c>
      <c r="AQ119" s="499" t="str">
        <f>sumifs($V$2:$V700, $D$2:$D700, "Common", $E$2:$E700, "GvG", $F$2:F700, "Priest")</f>
        <v>2</v>
      </c>
      <c r="AR119" s="588" t="str">
        <f>COUNTIFS($D$2:$D700, "Common", $E$2:$E700, "GvG", $F$2:F700, "Priest" )</f>
        <v>2</v>
      </c>
      <c r="AS119" s="499" t="str">
        <f>sumifs($V$2:$V700, $D$2:$D700, "Common", $E$2:$E700, "Blackrock", $F$2:F700, "Priest")</f>
        <v>1</v>
      </c>
      <c r="AT119" s="588" t="str">
        <f>COUNTIFS($D$2:$D700, "Common", $E$2:$E700, "Blackrock", $F$2:F700, "Priest" )</f>
        <v>1</v>
      </c>
      <c r="AU119" s="499" t="str">
        <f>sumifs($V$2:$V700, $D$2:$D700, "Common", $E$2:$E700, "TGT", $F$2:F700, "Priest")</f>
        <v>3</v>
      </c>
      <c r="AV119" s="588" t="str">
        <f>COUNTIFS($D$2:$D700, "Common", $E$2:$E700, "TGT", $F$2:F700, "Priest" )</f>
        <v>3</v>
      </c>
      <c r="AW119" s="531">
        <v>0.0</v>
      </c>
      <c r="AX119" s="647">
        <v>0.0</v>
      </c>
    </row>
    <row r="120">
      <c r="A120" s="442"/>
      <c r="B120" s="607">
        <v>3.0</v>
      </c>
      <c r="C120" s="608" t="s">
        <v>419</v>
      </c>
      <c r="D120" s="609" t="s">
        <v>21</v>
      </c>
      <c r="E120" s="609" t="s">
        <v>47</v>
      </c>
      <c r="F120" s="610" t="s">
        <v>65</v>
      </c>
      <c r="G120" s="611" t="str">
        <f>IF(Summary!$Y$27&gt;=VLOOKUP(C120,Reference!$N$6:$O$36,2,0),2,0)</f>
        <v>2</v>
      </c>
      <c r="H120" s="611">
        <v>0.0</v>
      </c>
      <c r="I120" s="612">
        <v>1.0</v>
      </c>
      <c r="J120" s="612"/>
      <c r="K120" s="613" t="s">
        <v>188</v>
      </c>
      <c r="L120" s="613"/>
      <c r="M120" s="613">
        <v>2.0</v>
      </c>
      <c r="N120" s="613">
        <v>4.0</v>
      </c>
      <c r="O120" s="614" t="s">
        <v>420</v>
      </c>
      <c r="P120" s="14"/>
      <c r="Q120" s="452" t="str">
        <f>MATCH($D120,Reference!$J$5:$J$9,0)</f>
        <v>3</v>
      </c>
      <c r="R120" s="452" t="str">
        <f>MATCH($E120,Reference!$J$26:$J$32,0)</f>
        <v>6</v>
      </c>
      <c r="S120" s="452" t="str">
        <f>MATCH($F120,Reference!$J$45:$J$54,0)</f>
        <v>3</v>
      </c>
      <c r="T120" s="453" t="str">
        <f>MATCH($K120,Reference!$J$37:$J$39,0)</f>
        <v>3</v>
      </c>
      <c r="U120" s="454" t="str">
        <f t="shared" si="192"/>
        <v>2</v>
      </c>
      <c r="V120" s="454" t="str">
        <f t="shared" si="3"/>
        <v>1</v>
      </c>
      <c r="W120" s="455">
        <v>0.0</v>
      </c>
      <c r="X120" s="454" t="str">
        <f t="shared" si="193"/>
        <v>2</v>
      </c>
      <c r="Y120" s="456" t="str">
        <f t="shared" si="5"/>
        <v>FALSE</v>
      </c>
      <c r="Z120" s="456" t="str">
        <f t="shared" si="6"/>
        <v>FALSE</v>
      </c>
      <c r="AA120" s="457" t="str">
        <f t="shared" ref="AA120:AB120" si="241">1-I120</f>
        <v>0%</v>
      </c>
      <c r="AB120" s="457" t="str">
        <f t="shared" si="241"/>
        <v>100%</v>
      </c>
      <c r="AC120" s="456" t="str">
        <f t="shared" si="8"/>
        <v>2</v>
      </c>
      <c r="AD120" s="458" t="str">
        <f t="shared" si="195"/>
        <v>0</v>
      </c>
      <c r="AE120" s="458" t="str">
        <f t="shared" si="10"/>
        <v>1</v>
      </c>
      <c r="AF120" s="459" t="str">
        <f t="shared" si="236"/>
        <v>0</v>
      </c>
      <c r="AG120" s="460"/>
      <c r="AH120" s="556" t="s">
        <v>21</v>
      </c>
      <c r="AI120" s="557" t="str">
        <f>SUM(AM121+AK120+AO120+AQ120+AS120+AU120)</f>
        <v>12</v>
      </c>
      <c r="AJ120" s="558" t="str">
        <f>SUM(AN120+AL120+AP120+AR120+AT120+AV120)</f>
        <v>12</v>
      </c>
      <c r="AK120" s="554" t="str">
        <f>sumifs($V$2:$V700, $D$2:$D700, "Rare", $E$2:$E700, "Classic", $F$2:F700, "Priest")</f>
        <v>5</v>
      </c>
      <c r="AL120" s="656" t="str">
        <f>COUNTIFS($D$2:$D700, "Rare", $E$2:$E700, "Classic", $F$2:F700, "Priest" )</f>
        <v>5</v>
      </c>
      <c r="AM120" s="657" t="str">
        <f>sumifs($V$2:$V700, $D$2:$D700, "Rare", $E$2:$E700, "Promo", $F$2:F700, "Priest")</f>
        <v>0</v>
      </c>
      <c r="AN120" s="658" t="str">
        <f>COUNTIFS($D$2:$D700, "Rare", $E$2:$E700, "Promo", $F$2:F700, "Priest" )</f>
        <v>0</v>
      </c>
      <c r="AO120" s="554" t="str">
        <f>sumifs($V$2:$V700, $D$2:$D700, "Rare", $E$2:$E700, "Naxx", $F$2:F700, "Priest")</f>
        <v>0</v>
      </c>
      <c r="AP120" s="656" t="str">
        <f>COUNTIFS($D$2:$D700, "Rare", $E$2:$E700, "Naxx", $F$2:F700, "Priest" )</f>
        <v>0</v>
      </c>
      <c r="AQ120" s="554" t="str">
        <f>sumifs($V$2:$V700, $D$2:$D700, "Rare", $E$2:$E700, "GvG", $F$2:F700, "Priest")</f>
        <v>3</v>
      </c>
      <c r="AR120" s="656" t="str">
        <f>COUNTIFS($D$2:$D700, "Rare", $E$2:$E700, "GvG", $F$2:F700, "Priest" )</f>
        <v>3</v>
      </c>
      <c r="AS120" s="554" t="str">
        <f>sumifs($V$2:$V700, $D$2:$D700, "Rare", $E$2:$E700, "Blackrock", $F$2:F700, "Priest")</f>
        <v>1</v>
      </c>
      <c r="AT120" s="656" t="str">
        <f>COUNTIFS($D$2:$D700, "Rare", $E$2:$E700, "Blackrock", $F$2:F700, "Priest" )</f>
        <v>1</v>
      </c>
      <c r="AU120" s="554" t="str">
        <f>sumifs($V$2:$V700, $D$2:$D700, "Rare", $E$2:$E700, "TGT", $F$2:F700, "Priest")</f>
        <v>3</v>
      </c>
      <c r="AV120" s="656" t="str">
        <f>COUNTIFS($D$2:$D700, "Rare", $E$2:$E700, "TGT", $F$2:F700, "Priest" )</f>
        <v>3</v>
      </c>
      <c r="AW120" s="657">
        <v>0.0</v>
      </c>
      <c r="AX120" s="658">
        <v>0.0</v>
      </c>
    </row>
    <row r="121">
      <c r="A121" s="469"/>
      <c r="B121" s="547">
        <v>3.0</v>
      </c>
      <c r="C121" s="548" t="s">
        <v>421</v>
      </c>
      <c r="D121" s="549" t="s">
        <v>21</v>
      </c>
      <c r="E121" s="549" t="s">
        <v>33</v>
      </c>
      <c r="F121" s="550" t="s">
        <v>65</v>
      </c>
      <c r="G121" s="551">
        <v>2.0</v>
      </c>
      <c r="H121" s="552">
        <v>0.0</v>
      </c>
      <c r="I121" s="553">
        <v>1.0</v>
      </c>
      <c r="J121" s="553">
        <v>1.0</v>
      </c>
      <c r="K121" s="554" t="s">
        <v>188</v>
      </c>
      <c r="L121" s="554"/>
      <c r="M121" s="554">
        <v>4.0</v>
      </c>
      <c r="N121" s="554">
        <v>3.0</v>
      </c>
      <c r="O121" s="555" t="s">
        <v>422</v>
      </c>
      <c r="P121" s="5"/>
      <c r="Q121" s="452" t="str">
        <f>MATCH($D121,Reference!$J$5:$J$9,0)</f>
        <v>3</v>
      </c>
      <c r="R121" s="452" t="str">
        <f>MATCH($E121,Reference!$J$26:$J$32,0)</f>
        <v>2</v>
      </c>
      <c r="S121" s="452" t="str">
        <f>MATCH($F121,Reference!$J$45:$J$54,0)</f>
        <v>3</v>
      </c>
      <c r="T121" s="453" t="str">
        <f>MATCH($K121,Reference!$J$37:$J$39,0)</f>
        <v>3</v>
      </c>
      <c r="U121" s="454" t="str">
        <f t="shared" si="192"/>
        <v>2</v>
      </c>
      <c r="V121" s="454" t="str">
        <f t="shared" si="3"/>
        <v>1</v>
      </c>
      <c r="W121" s="454" t="str">
        <f t="shared" ref="W121:W127" si="244">(MIN(G121,2)+H121-U121)*100</f>
        <v>0</v>
      </c>
      <c r="X121" s="454" t="str">
        <f t="shared" si="193"/>
        <v>2</v>
      </c>
      <c r="Y121" s="456" t="str">
        <f t="shared" si="5"/>
        <v>FALSE</v>
      </c>
      <c r="Z121" s="456" t="str">
        <f t="shared" si="6"/>
        <v>FALSE</v>
      </c>
      <c r="AA121" s="457" t="str">
        <f t="shared" ref="AA121:AB121" si="242">1-I121</f>
        <v>0%</v>
      </c>
      <c r="AB121" s="457" t="str">
        <f t="shared" si="242"/>
        <v>0%</v>
      </c>
      <c r="AC121" s="456" t="str">
        <f t="shared" si="8"/>
        <v>2</v>
      </c>
      <c r="AD121" s="458" t="str">
        <f t="shared" si="195"/>
        <v>0</v>
      </c>
      <c r="AE121" s="458" t="str">
        <f t="shared" si="10"/>
        <v>1</v>
      </c>
      <c r="AF121" s="459" t="str">
        <f t="shared" si="236"/>
        <v>0</v>
      </c>
      <c r="AG121" s="460"/>
      <c r="AH121" s="567" t="s">
        <v>22</v>
      </c>
      <c r="AI121" s="568" t="str">
        <f t="shared" ref="AI121:AJ121" si="243">SUM(AM121+AK121+AO121+AQ121+AS121+AU121)</f>
        <v>6</v>
      </c>
      <c r="AJ121" s="569" t="str">
        <f t="shared" si="243"/>
        <v>7</v>
      </c>
      <c r="AK121" s="641" t="str">
        <f>sumifs($V$2:$V700, $D$2:$D700, "Epic", $E$2:$E700, "Classic", $F$2:F700, "Priest")</f>
        <v>3</v>
      </c>
      <c r="AL121" s="666" t="str">
        <f>COUNTIFS($D$2:$D700, "Epic", $E$2:$E700, "Classic", $F$2:F700, "Priest" )</f>
        <v>3</v>
      </c>
      <c r="AM121" s="667" t="str">
        <f>sumifs($V$2:$V700, $D$2:$D700, "Epic", $E$2:$E700, "Promo", $F$2:F700, "Priest")</f>
        <v>0</v>
      </c>
      <c r="AN121" s="668" t="str">
        <f>COUNTIFS($D$2:$D700, "Epic", $E$2:$E700, "Promo", $F$2:F700, "Priest" )</f>
        <v>0</v>
      </c>
      <c r="AO121" s="641" t="str">
        <f>sumifs($V$2:$V700, $D$2:$D700, "Epic", $E$2:$E700, "Naxx", $F$2:F700, "Priest")</f>
        <v>0</v>
      </c>
      <c r="AP121" s="666" t="str">
        <f>COUNTIFS($D$2:$D700, "Epic", $E$2:$E700, "Naxx", $F$2:F700, "Priest" )</f>
        <v>0</v>
      </c>
      <c r="AQ121" s="641" t="str">
        <f>sumifs($V$2:$V700, $D$2:$D700, "Epic", $E$2:$E700, "GvG", $F$2:F700, "Priest")</f>
        <v>1</v>
      </c>
      <c r="AR121" s="666" t="str">
        <f>COUNTIFS($D$2:$D700, "Epic", $E$2:$E700, "GvG", $F$2:F700, "Priest" )</f>
        <v>2</v>
      </c>
      <c r="AS121" s="641" t="str">
        <f>sumifs($V$2:$V700, $D$2:$D700, "Epic", $E$2:$E700, "Blackrock", $F$2:F700, "Priest")</f>
        <v>0</v>
      </c>
      <c r="AT121" s="666" t="str">
        <f>COUNTIFS($D$2:$D700, "Epic", $E$2:$E700, "Blackrock", $F$2:F700, "Priest" )</f>
        <v>0</v>
      </c>
      <c r="AU121" s="641" t="str">
        <f>sumifs($V$2:$V700, $D$2:$D700, "Epic", $E$2:$E700, "TGT", $F$2:F700, "Priest")</f>
        <v>2</v>
      </c>
      <c r="AV121" s="666" t="str">
        <f>COUNTIFS($D$2:$D700, "Epic", $E$2:$E700, "TGT", $F$2:F700, "Priest" )</f>
        <v>2</v>
      </c>
      <c r="AW121" s="667">
        <v>0.0</v>
      </c>
      <c r="AX121" s="668">
        <v>0.0</v>
      </c>
    </row>
    <row r="122">
      <c r="A122" s="442"/>
      <c r="B122" s="560">
        <v>3.0</v>
      </c>
      <c r="C122" s="561" t="s">
        <v>423</v>
      </c>
      <c r="D122" s="562" t="s">
        <v>21</v>
      </c>
      <c r="E122" s="563" t="s">
        <v>36</v>
      </c>
      <c r="F122" s="562" t="s">
        <v>65</v>
      </c>
      <c r="G122" s="564">
        <v>2.0</v>
      </c>
      <c r="H122" s="564">
        <v>0.0</v>
      </c>
      <c r="I122" s="565">
        <v>1.0</v>
      </c>
      <c r="J122" s="565">
        <v>1.0</v>
      </c>
      <c r="K122" s="563" t="s">
        <v>162</v>
      </c>
      <c r="L122" s="563"/>
      <c r="M122" s="563"/>
      <c r="N122" s="563"/>
      <c r="O122" s="566" t="s">
        <v>424</v>
      </c>
      <c r="P122" s="14"/>
      <c r="Q122" s="452" t="str">
        <f>MATCH($D122,Reference!$J$5:$J$9,0)</f>
        <v>3</v>
      </c>
      <c r="R122" s="452" t="str">
        <f>MATCH($E122,Reference!$J$26:$J$32,0)</f>
        <v>7</v>
      </c>
      <c r="S122" s="452" t="str">
        <f>MATCH($F122,Reference!$J$45:$J$54,0)</f>
        <v>3</v>
      </c>
      <c r="T122" s="453" t="str">
        <f>MATCH($K122,Reference!$J$37:$J$39,0)</f>
        <v>2</v>
      </c>
      <c r="U122" s="454" t="str">
        <f t="shared" si="192"/>
        <v>2</v>
      </c>
      <c r="V122" s="454" t="str">
        <f t="shared" si="3"/>
        <v>1</v>
      </c>
      <c r="W122" s="454" t="str">
        <f t="shared" si="244"/>
        <v>0</v>
      </c>
      <c r="X122" s="454" t="str">
        <f t="shared" si="193"/>
        <v>2</v>
      </c>
      <c r="Y122" s="456" t="str">
        <f t="shared" si="5"/>
        <v>FALSE</v>
      </c>
      <c r="Z122" s="456" t="str">
        <f t="shared" si="6"/>
        <v>FALSE</v>
      </c>
      <c r="AA122" s="457" t="str">
        <f t="shared" ref="AA122:AB122" si="245">1-I122</f>
        <v>0%</v>
      </c>
      <c r="AB122" s="457" t="str">
        <f t="shared" si="245"/>
        <v>0%</v>
      </c>
      <c r="AC122" s="456" t="str">
        <f t="shared" si="8"/>
        <v>2</v>
      </c>
      <c r="AD122" s="458" t="str">
        <f t="shared" si="195"/>
        <v>0</v>
      </c>
      <c r="AE122" s="458" t="str">
        <f t="shared" si="10"/>
        <v>1</v>
      </c>
      <c r="AF122" s="459" t="str">
        <f t="shared" si="236"/>
        <v>0</v>
      </c>
      <c r="AG122" s="460"/>
      <c r="AH122" s="583" t="s">
        <v>23</v>
      </c>
      <c r="AI122" s="584" t="str">
        <f t="shared" ref="AI122:AJ122" si="246">SUM(AM122+AK122+AO122+AQ122+AS122+AU122)</f>
        <v>2</v>
      </c>
      <c r="AJ122" s="585" t="str">
        <f t="shared" si="246"/>
        <v>3</v>
      </c>
      <c r="AK122" s="677" t="str">
        <f>sumifs($V$2:$V700, $D$2:$D700, "Legendary", $E$2:$E700, "Classic", $F$2:F700, "Priest")</f>
        <v>0</v>
      </c>
      <c r="AL122" s="678" t="str">
        <f>COUNTIFS($D$2:$D700, "Legendary", $E$2:$E700, "Classic", $F$2:F700, "Priest" )</f>
        <v>1</v>
      </c>
      <c r="AM122" s="679" t="str">
        <f>sumifs($V$2:$V700, $D$2:$D700, "Legendary", $E$2:$E700, "Promo", $F$2:F700, "Priest")</f>
        <v>0</v>
      </c>
      <c r="AN122" s="680" t="str">
        <f>COUNTIFS($D$2:$D700, "Legendary", $E$2:$E700, "Promo", $F$2:F700, "Priest" )</f>
        <v>0</v>
      </c>
      <c r="AO122" s="677" t="str">
        <f>sumifs($V$2:$V700, $D$2:$D700, "Legendary", $E$2:$E700, "Naxx", $F$2:F700, "Priest")</f>
        <v>0</v>
      </c>
      <c r="AP122" s="678" t="str">
        <f>COUNTIFS($D$2:$D700, "Legendary", $E$2:$E700, "Naxx", $F$2:F700, "Priest" )</f>
        <v>0</v>
      </c>
      <c r="AQ122" s="677" t="str">
        <f>sumifs($V$2:$V700, $D$2:$D700, "Legendary", $E$2:$E700, "GvG", $F$2:F700, "Priest")</f>
        <v>1</v>
      </c>
      <c r="AR122" s="678" t="str">
        <f>COUNTIFS($D$2:$D700, "Legendary", $E$2:$E700, "GvG", $F$2:F700, "Priest" )</f>
        <v>1</v>
      </c>
      <c r="AS122" s="677" t="str">
        <f>sumifs($V$2:$V700, $D$2:$D700, "Legendary", $E$2:$E700, "Blackrock", $F$2:F700, "Priest")</f>
        <v>0</v>
      </c>
      <c r="AT122" s="678" t="str">
        <f>COUNTIFS($D$2:$D700, "Legendary", $E$2:$E700, "Blackrock", $F$2:F700, "Priest" )</f>
        <v>0</v>
      </c>
      <c r="AU122" s="677" t="str">
        <f>sumifs($V$2:$V700, $D$2:$D700, "Legendary", $E$2:$E700, "TGT", $F$2:F700, "Priest")</f>
        <v>1</v>
      </c>
      <c r="AV122" s="678" t="str">
        <f>COUNTIFS($D$2:$D700, "Legendary", $E$2:$E700, "TGT", $F$2:F700, "Priest" )</f>
        <v>1</v>
      </c>
      <c r="AW122" s="679">
        <v>0.0</v>
      </c>
      <c r="AX122" s="680">
        <v>0.0</v>
      </c>
    </row>
    <row r="123">
      <c r="A123" s="469"/>
      <c r="B123" s="594">
        <v>3.0</v>
      </c>
      <c r="C123" s="595" t="s">
        <v>425</v>
      </c>
      <c r="D123" s="575" t="s">
        <v>21</v>
      </c>
      <c r="E123" s="575" t="s">
        <v>35</v>
      </c>
      <c r="F123" s="576" t="s">
        <v>65</v>
      </c>
      <c r="G123" s="596">
        <v>1.0</v>
      </c>
      <c r="H123" s="597">
        <v>0.0</v>
      </c>
      <c r="I123" s="598">
        <v>1.0</v>
      </c>
      <c r="J123" s="598">
        <v>1.0</v>
      </c>
      <c r="K123" s="600" t="s">
        <v>188</v>
      </c>
      <c r="L123" s="600" t="s">
        <v>198</v>
      </c>
      <c r="M123" s="600">
        <v>3.0</v>
      </c>
      <c r="N123" s="600">
        <v>3.0</v>
      </c>
      <c r="O123" s="599" t="s">
        <v>426</v>
      </c>
      <c r="P123" s="14"/>
      <c r="Q123" s="452" t="str">
        <f>MATCH($D123,Reference!$J$5:$J$9,0)</f>
        <v>3</v>
      </c>
      <c r="R123" s="452" t="str">
        <f>MATCH($E123,Reference!$J$26:$J$32,0)</f>
        <v>5</v>
      </c>
      <c r="S123" s="452" t="str">
        <f>MATCH($F123,Reference!$J$45:$J$54,0)</f>
        <v>3</v>
      </c>
      <c r="T123" s="453" t="str">
        <f>MATCH($K123,Reference!$J$37:$J$39,0)</f>
        <v>3</v>
      </c>
      <c r="U123" s="454" t="str">
        <f t="shared" si="192"/>
        <v>1</v>
      </c>
      <c r="V123" s="454" t="str">
        <f t="shared" si="3"/>
        <v>1</v>
      </c>
      <c r="W123" s="454" t="str">
        <f t="shared" si="244"/>
        <v>0</v>
      </c>
      <c r="X123" s="454" t="str">
        <f t="shared" si="193"/>
        <v>1</v>
      </c>
      <c r="Y123" s="456" t="str">
        <f t="shared" si="5"/>
        <v>FALSE</v>
      </c>
      <c r="Z123" s="456" t="str">
        <f t="shared" si="6"/>
        <v>TRUE</v>
      </c>
      <c r="AA123" s="457" t="str">
        <f t="shared" ref="AA123:AB123" si="247">1-I123</f>
        <v>0%</v>
      </c>
      <c r="AB123" s="457" t="str">
        <f t="shared" si="247"/>
        <v>0%</v>
      </c>
      <c r="AC123" s="456" t="str">
        <f t="shared" si="8"/>
        <v>1</v>
      </c>
      <c r="AD123" s="458" t="str">
        <f t="shared" si="195"/>
        <v>0</v>
      </c>
      <c r="AE123" s="458" t="str">
        <f t="shared" si="10"/>
        <v>1</v>
      </c>
      <c r="AF123" s="459" t="str">
        <f t="shared" si="236"/>
        <v>0</v>
      </c>
      <c r="AG123" s="460"/>
      <c r="AH123" s="587" t="s">
        <v>234</v>
      </c>
      <c r="AI123" s="499"/>
      <c r="AJ123" s="588"/>
      <c r="AK123" s="499"/>
      <c r="AL123" s="588"/>
      <c r="AM123" s="499"/>
      <c r="AN123" s="588"/>
      <c r="AO123" s="499"/>
      <c r="AP123" s="588"/>
      <c r="AQ123" s="499"/>
      <c r="AR123" s="588"/>
      <c r="AS123" s="499"/>
      <c r="AT123" s="588"/>
      <c r="AU123" s="499"/>
      <c r="AV123" s="588"/>
      <c r="AW123" s="499"/>
      <c r="AX123" s="588"/>
    </row>
    <row r="124">
      <c r="A124" s="682"/>
      <c r="B124" s="547">
        <v>3.0</v>
      </c>
      <c r="C124" s="548" t="s">
        <v>427</v>
      </c>
      <c r="D124" s="549" t="s">
        <v>21</v>
      </c>
      <c r="E124" s="549" t="s">
        <v>33</v>
      </c>
      <c r="F124" s="550" t="s">
        <v>65</v>
      </c>
      <c r="G124" s="551">
        <v>2.0</v>
      </c>
      <c r="H124" s="552">
        <v>0.0</v>
      </c>
      <c r="I124" s="553">
        <v>1.0</v>
      </c>
      <c r="J124" s="553">
        <v>1.0</v>
      </c>
      <c r="K124" s="554" t="s">
        <v>162</v>
      </c>
      <c r="L124" s="554" t="s">
        <v>299</v>
      </c>
      <c r="M124" s="554"/>
      <c r="N124" s="554"/>
      <c r="O124" s="555" t="s">
        <v>428</v>
      </c>
      <c r="P124" s="14"/>
      <c r="Q124" s="452" t="str">
        <f>MATCH($D124,Reference!$J$5:$J$9,0)</f>
        <v>3</v>
      </c>
      <c r="R124" s="452" t="str">
        <f>MATCH($E124,Reference!$J$26:$J$32,0)</f>
        <v>2</v>
      </c>
      <c r="S124" s="452" t="str">
        <f>MATCH($F124,Reference!$J$45:$J$54,0)</f>
        <v>3</v>
      </c>
      <c r="T124" s="453" t="str">
        <f>MATCH($K124,Reference!$J$37:$J$39,0)</f>
        <v>2</v>
      </c>
      <c r="U124" s="454" t="str">
        <f t="shared" si="192"/>
        <v>2</v>
      </c>
      <c r="V124" s="454" t="str">
        <f t="shared" si="3"/>
        <v>1</v>
      </c>
      <c r="W124" s="454" t="str">
        <f t="shared" si="244"/>
        <v>0</v>
      </c>
      <c r="X124" s="454" t="str">
        <f t="shared" si="193"/>
        <v>2</v>
      </c>
      <c r="Y124" s="456" t="str">
        <f t="shared" si="5"/>
        <v>FALSE</v>
      </c>
      <c r="Z124" s="456" t="str">
        <f t="shared" si="6"/>
        <v>FALSE</v>
      </c>
      <c r="AA124" s="457" t="str">
        <f t="shared" ref="AA124:AB124" si="248">1-I124</f>
        <v>0%</v>
      </c>
      <c r="AB124" s="457" t="str">
        <f t="shared" si="248"/>
        <v>0%</v>
      </c>
      <c r="AC124" s="456" t="str">
        <f t="shared" si="8"/>
        <v>2</v>
      </c>
      <c r="AD124" s="458" t="str">
        <f t="shared" si="195"/>
        <v>0</v>
      </c>
      <c r="AE124" s="458" t="str">
        <f t="shared" si="10"/>
        <v>1</v>
      </c>
      <c r="AF124" s="459" t="str">
        <f t="shared" si="236"/>
        <v>0</v>
      </c>
      <c r="AG124" s="460"/>
      <c r="AH124" s="643" t="s">
        <v>10</v>
      </c>
      <c r="AI124" s="534" t="str">
        <f t="shared" ref="AI124:AJ124" si="249">SUM(AM124+AK124+AO124+AQ124+AS124+AU124)</f>
        <v>20</v>
      </c>
      <c r="AJ124" s="535" t="str">
        <f t="shared" si="249"/>
        <v>20</v>
      </c>
      <c r="AK124" s="449" t="str">
        <f>sumifs($U$2:$U700, $E$2:$E700, "Basic", $F$2:F700, "Priest")</f>
        <v>20</v>
      </c>
      <c r="AL124" s="535" t="str">
        <f>COUNTIFS($E$2:$E700, "Basic", $F$2:F700, "Priest" )*2</f>
        <v>20</v>
      </c>
      <c r="AM124" s="449"/>
      <c r="AN124" s="537"/>
      <c r="AO124" s="449"/>
      <c r="AP124" s="537"/>
      <c r="AQ124" s="449"/>
      <c r="AR124" s="537"/>
      <c r="AS124" s="449"/>
      <c r="AT124" s="537"/>
      <c r="AU124" s="449"/>
      <c r="AV124" s="537"/>
      <c r="AW124" s="449"/>
      <c r="AX124" s="537"/>
    </row>
    <row r="125">
      <c r="A125" s="442"/>
      <c r="B125" s="547">
        <v>4.0</v>
      </c>
      <c r="C125" s="548" t="s">
        <v>429</v>
      </c>
      <c r="D125" s="549" t="s">
        <v>21</v>
      </c>
      <c r="E125" s="549" t="s">
        <v>33</v>
      </c>
      <c r="F125" s="550" t="s">
        <v>65</v>
      </c>
      <c r="G125" s="551">
        <v>2.0</v>
      </c>
      <c r="H125" s="551">
        <v>0.0</v>
      </c>
      <c r="I125" s="553">
        <v>1.0</v>
      </c>
      <c r="J125" s="553">
        <v>1.0</v>
      </c>
      <c r="K125" s="554" t="s">
        <v>188</v>
      </c>
      <c r="L125" s="554"/>
      <c r="M125" s="554">
        <v>3.0</v>
      </c>
      <c r="N125" s="554">
        <v>3.0</v>
      </c>
      <c r="O125" s="555" t="s">
        <v>430</v>
      </c>
      <c r="P125" s="14"/>
      <c r="Q125" s="452" t="str">
        <f>MATCH($D125,Reference!$J$5:$J$9,0)</f>
        <v>3</v>
      </c>
      <c r="R125" s="452" t="str">
        <f>MATCH($E125,Reference!$J$26:$J$32,0)</f>
        <v>2</v>
      </c>
      <c r="S125" s="452" t="str">
        <f>MATCH($F125,Reference!$J$45:$J$54,0)</f>
        <v>3</v>
      </c>
      <c r="T125" s="453" t="str">
        <f>MATCH($K125,Reference!$J$37:$J$39,0)</f>
        <v>3</v>
      </c>
      <c r="U125" s="454" t="str">
        <f t="shared" si="192"/>
        <v>2</v>
      </c>
      <c r="V125" s="454" t="str">
        <f t="shared" si="3"/>
        <v>1</v>
      </c>
      <c r="W125" s="454" t="str">
        <f t="shared" si="244"/>
        <v>0</v>
      </c>
      <c r="X125" s="454" t="str">
        <f t="shared" si="193"/>
        <v>2</v>
      </c>
      <c r="Y125" s="456" t="str">
        <f t="shared" si="5"/>
        <v>FALSE</v>
      </c>
      <c r="Z125" s="456" t="str">
        <f t="shared" si="6"/>
        <v>FALSE</v>
      </c>
      <c r="AA125" s="457" t="str">
        <f t="shared" ref="AA125:AB125" si="250">1-I125</f>
        <v>0%</v>
      </c>
      <c r="AB125" s="457" t="str">
        <f t="shared" si="250"/>
        <v>0%</v>
      </c>
      <c r="AC125" s="456" t="str">
        <f t="shared" si="8"/>
        <v>2</v>
      </c>
      <c r="AD125" s="458" t="str">
        <f t="shared" si="195"/>
        <v>0</v>
      </c>
      <c r="AE125" s="458" t="str">
        <f t="shared" si="10"/>
        <v>1</v>
      </c>
      <c r="AF125" s="459" t="str">
        <f t="shared" si="236"/>
        <v>0</v>
      </c>
      <c r="AG125" s="460"/>
      <c r="AH125" s="591" t="s">
        <v>15</v>
      </c>
      <c r="AI125" s="522" t="str">
        <f t="shared" ref="AI125:AJ125" si="251">SUM(AM125+AK125+AO125+AQ125+AS125+AU125)</f>
        <v>26</v>
      </c>
      <c r="AJ125" s="544" t="str">
        <f t="shared" si="251"/>
        <v>26</v>
      </c>
      <c r="AK125" s="499" t="str">
        <f>sumifs($U$2:$U700, $D$2:$D700, "Common", $E$2:$E700, "Classic", $F$2:F700, "Priest")</f>
        <v>12</v>
      </c>
      <c r="AL125" s="544" t="str">
        <f>COUNTIFS($D$2:$D700, "Common", $E$2:$E700, "Classic", $F$2:F700, "Priest" )*2</f>
        <v>12</v>
      </c>
      <c r="AM125" s="531" t="str">
        <f>sumifs($U$2:$U700, $D$2:$D700, "Common", $E$2:$E700, "Promo", $F$2:F700, "Priest")</f>
        <v>0</v>
      </c>
      <c r="AN125" s="647" t="str">
        <f>COUNTIFS($D$2:$D700, "Common", $E$2:$E700, "Promo", $F$2:F700, "Priest" )*2</f>
        <v>0</v>
      </c>
      <c r="AO125" s="499" t="str">
        <f>sumifs($U$2:$U700, $D$2:$D700, "Common", $E$2:$E700, "Naxx", $F$2:F700, "Priest")</f>
        <v>2</v>
      </c>
      <c r="AP125" s="544" t="str">
        <f>COUNTIFS($D$2:$D700, "Common", $E$2:$E700, "Naxx", $F$2:F700, "Priest" )*2</f>
        <v>2</v>
      </c>
      <c r="AQ125" s="499" t="str">
        <f>sumifs($U$2:$U700, $D$2:$D700, "Common", $E$2:$E700, "GvG", $F$2:F700, "Priest")</f>
        <v>4</v>
      </c>
      <c r="AR125" s="544" t="str">
        <f>COUNTIFS($D$2:$D700, "Common", $E$2:$E700, "GvG", $F$2:F700, "Priest" )*2</f>
        <v>4</v>
      </c>
      <c r="AS125" s="499" t="str">
        <f>sumifs($U$2:$U700, $D$2:$D700, "Common", $E$2:$E700, "Blackrock", $F$2:F700, "Priest")</f>
        <v>2</v>
      </c>
      <c r="AT125" s="544" t="str">
        <f>COUNTIFS($D$2:$D700, "Common", $E$2:$E700, "Blackrock", $F$2:F700, "Priest" )*2</f>
        <v>2</v>
      </c>
      <c r="AU125" s="499" t="str">
        <f>sumifs($U$2:$U700, $D$2:$D700, "Common", $E$2:$E700, "TGT", $F$2:F700, "Priest")</f>
        <v>6</v>
      </c>
      <c r="AV125" s="544" t="str">
        <f>COUNTIFS($D$2:$D700, "Common", $E$2:$E700, "TGT", $F$2:F700, "Priest" )*2</f>
        <v>6</v>
      </c>
      <c r="AW125" s="531">
        <v>0.0</v>
      </c>
      <c r="AX125" s="647">
        <v>0.0</v>
      </c>
    </row>
    <row r="126">
      <c r="A126" s="442"/>
      <c r="B126" s="594">
        <v>4.0</v>
      </c>
      <c r="C126" s="595" t="s">
        <v>431</v>
      </c>
      <c r="D126" s="575" t="s">
        <v>21</v>
      </c>
      <c r="E126" s="575" t="s">
        <v>35</v>
      </c>
      <c r="F126" s="576" t="s">
        <v>65</v>
      </c>
      <c r="G126" s="597">
        <v>2.0</v>
      </c>
      <c r="H126" s="597">
        <v>0.0</v>
      </c>
      <c r="I126" s="598">
        <v>1.0</v>
      </c>
      <c r="J126" s="598">
        <v>1.0</v>
      </c>
      <c r="K126" s="600" t="s">
        <v>188</v>
      </c>
      <c r="L126" s="600"/>
      <c r="M126" s="600">
        <v>5.0</v>
      </c>
      <c r="N126" s="600">
        <v>4.0</v>
      </c>
      <c r="O126" s="599" t="s">
        <v>432</v>
      </c>
      <c r="P126" s="14"/>
      <c r="Q126" s="452" t="str">
        <f>MATCH($D126,Reference!$J$5:$J$9,0)</f>
        <v>3</v>
      </c>
      <c r="R126" s="452" t="str">
        <f>MATCH($E126,Reference!$J$26:$J$32,0)</f>
        <v>5</v>
      </c>
      <c r="S126" s="452" t="str">
        <f>MATCH($F126,Reference!$J$45:$J$54,0)</f>
        <v>3</v>
      </c>
      <c r="T126" s="453" t="str">
        <f>MATCH($K126,Reference!$J$37:$J$39,0)</f>
        <v>3</v>
      </c>
      <c r="U126" s="454" t="str">
        <f t="shared" si="192"/>
        <v>2</v>
      </c>
      <c r="V126" s="454" t="str">
        <f t="shared" si="3"/>
        <v>1</v>
      </c>
      <c r="W126" s="454" t="str">
        <f t="shared" si="244"/>
        <v>0</v>
      </c>
      <c r="X126" s="454" t="str">
        <f t="shared" si="193"/>
        <v>2</v>
      </c>
      <c r="Y126" s="456" t="str">
        <f t="shared" si="5"/>
        <v>FALSE</v>
      </c>
      <c r="Z126" s="456" t="str">
        <f t="shared" si="6"/>
        <v>FALSE</v>
      </c>
      <c r="AA126" s="457" t="str">
        <f t="shared" ref="AA126:AB126" si="252">1-I126</f>
        <v>0%</v>
      </c>
      <c r="AB126" s="457" t="str">
        <f t="shared" si="252"/>
        <v>0%</v>
      </c>
      <c r="AC126" s="456" t="str">
        <f t="shared" si="8"/>
        <v>2</v>
      </c>
      <c r="AD126" s="458" t="str">
        <f t="shared" si="195"/>
        <v>0</v>
      </c>
      <c r="AE126" s="458" t="str">
        <f t="shared" si="10"/>
        <v>1</v>
      </c>
      <c r="AF126" s="459" t="str">
        <f t="shared" si="236"/>
        <v>0</v>
      </c>
      <c r="AG126" s="460"/>
      <c r="AH126" s="592" t="s">
        <v>21</v>
      </c>
      <c r="AI126" s="557" t="str">
        <f t="shared" ref="AI126:AJ126" si="253">SUM(AM126+AK126+AO126+AQ126+AS126+AU126)</f>
        <v>24</v>
      </c>
      <c r="AJ126" s="558" t="str">
        <f t="shared" si="253"/>
        <v>24</v>
      </c>
      <c r="AK126" s="554" t="str">
        <f>sumifs($U$2:$U700, $D$2:$D700, "Rare", $E$2:$E700, "Classic", $F$2:F700, "Priest")</f>
        <v>10</v>
      </c>
      <c r="AL126" s="558" t="str">
        <f>COUNTIFS($D$2:$D700, "Rare", $E$2:$E700, "Classic", $F$2:F700, "Priest" )*2</f>
        <v>10</v>
      </c>
      <c r="AM126" s="657" t="str">
        <f>sumifs($U$2:$U700, $D$2:$D700, "Rare", $E$2:$E700, "Promo", $F$2:F700, "Priest")</f>
        <v>0</v>
      </c>
      <c r="AN126" s="658" t="str">
        <f>COUNTIFS($D$2:$D700, "Rare", $E$2:$E700, "Promo", $F$2:F700, "Priest" )*2</f>
        <v>0</v>
      </c>
      <c r="AO126" s="554" t="str">
        <f>sumifs($U$2:$U700, $D$2:$D700, "Rare", $E$2:$E700, "Naxx", $F$2:F700, "Priest")</f>
        <v>0</v>
      </c>
      <c r="AP126" s="558" t="str">
        <f>COUNTIFS($D$2:$D700, "Rare", $E$2:$E700, "Naxx", $F$2:F700, "Priest" )*2</f>
        <v>0</v>
      </c>
      <c r="AQ126" s="554" t="str">
        <f>sumifs($U$2:$U700, $D$2:$D700, "Rare", $E$2:$E700, "GvG", $F$2:F700, "Priest")</f>
        <v>6</v>
      </c>
      <c r="AR126" s="558" t="str">
        <f>COUNTIFS($D$2:$D700, "Rare", $E$2:$E700, "GvG", $F$2:F700, "Priest" )*2</f>
        <v>6</v>
      </c>
      <c r="AS126" s="554" t="str">
        <f>sumifs($U$2:$U700, $D$2:$D700, "Rare", $E$2:$E700, "Blackrock", $F$2:F700, "Priest")</f>
        <v>2</v>
      </c>
      <c r="AT126" s="558" t="str">
        <f>COUNTIFS($D$2:$D700, "Rare", $E$2:$E700, "Blackrock", $F$2:F700, "Priest" )*2</f>
        <v>2</v>
      </c>
      <c r="AU126" s="554" t="str">
        <f>sumifs($U$2:$U700, $D$2:$D700, "Rare", $E$2:$E700, "TGT", $F$2:F700, "Priest")</f>
        <v>6</v>
      </c>
      <c r="AV126" s="558" t="str">
        <f>COUNTIFS($D$2:$D700, "Rare", $E$2:$E700, "TGT", $F$2:F700, "Priest" )*2</f>
        <v>6</v>
      </c>
      <c r="AW126" s="657">
        <v>0.0</v>
      </c>
      <c r="AX126" s="658">
        <v>0.0</v>
      </c>
    </row>
    <row r="127">
      <c r="A127" s="442"/>
      <c r="B127" s="547">
        <v>6.0</v>
      </c>
      <c r="C127" s="548" t="s">
        <v>433</v>
      </c>
      <c r="D127" s="549" t="s">
        <v>21</v>
      </c>
      <c r="E127" s="549" t="s">
        <v>33</v>
      </c>
      <c r="F127" s="550" t="s">
        <v>65</v>
      </c>
      <c r="G127" s="551">
        <v>2.0</v>
      </c>
      <c r="H127" s="552">
        <v>1.0</v>
      </c>
      <c r="I127" s="553">
        <v>1.0</v>
      </c>
      <c r="J127" s="553">
        <v>1.0</v>
      </c>
      <c r="K127" s="554" t="s">
        <v>162</v>
      </c>
      <c r="L127" s="557"/>
      <c r="M127" s="554"/>
      <c r="N127" s="554"/>
      <c r="O127" s="704" t="s">
        <v>434</v>
      </c>
      <c r="P127" s="14"/>
      <c r="Q127" s="452" t="str">
        <f>MATCH($D127,Reference!$J$5:$J$9,0)</f>
        <v>3</v>
      </c>
      <c r="R127" s="452" t="str">
        <f>MATCH($E127,Reference!$J$26:$J$32,0)</f>
        <v>2</v>
      </c>
      <c r="S127" s="452" t="str">
        <f>MATCH($F127,Reference!$J$45:$J$54,0)</f>
        <v>3</v>
      </c>
      <c r="T127" s="453" t="str">
        <f>MATCH($K127,Reference!$J$37:$J$39,0)</f>
        <v>2</v>
      </c>
      <c r="U127" s="454" t="str">
        <f t="shared" si="192"/>
        <v>2</v>
      </c>
      <c r="V127" s="454" t="str">
        <f t="shared" si="3"/>
        <v>1</v>
      </c>
      <c r="W127" s="454" t="str">
        <f t="shared" si="244"/>
        <v>100</v>
      </c>
      <c r="X127" s="454" t="str">
        <f t="shared" si="193"/>
        <v>2</v>
      </c>
      <c r="Y127" s="456" t="str">
        <f t="shared" si="5"/>
        <v>FALSE</v>
      </c>
      <c r="Z127" s="456" t="str">
        <f t="shared" si="6"/>
        <v>FALSE</v>
      </c>
      <c r="AA127" s="457" t="str">
        <f t="shared" ref="AA127:AB127" si="254">1-I127</f>
        <v>0%</v>
      </c>
      <c r="AB127" s="457" t="str">
        <f t="shared" si="254"/>
        <v>0%</v>
      </c>
      <c r="AC127" s="456" t="str">
        <f t="shared" si="8"/>
        <v>2</v>
      </c>
      <c r="AD127" s="458" t="str">
        <f t="shared" si="195"/>
        <v>1</v>
      </c>
      <c r="AE127" s="458" t="str">
        <f t="shared" si="10"/>
        <v>1</v>
      </c>
      <c r="AF127" s="459" t="str">
        <f t="shared" si="236"/>
        <v>20</v>
      </c>
      <c r="AG127" s="460"/>
      <c r="AH127" s="593" t="s">
        <v>22</v>
      </c>
      <c r="AI127" s="568" t="str">
        <f t="shared" ref="AI127:AJ127" si="255">SUM(AM127+AK127+AO127+AQ127+AS127+AU127)</f>
        <v>8</v>
      </c>
      <c r="AJ127" s="569" t="str">
        <f t="shared" si="255"/>
        <v>14</v>
      </c>
      <c r="AK127" s="641" t="str">
        <f>sumifs($U$2:$U700, $D$2:$D700, "Epic", $E$2:$E700, "Classic", $F$2:F700, "Priest")</f>
        <v>5</v>
      </c>
      <c r="AL127" s="569" t="str">
        <f>COUNTIFS($D$2:$D700, "Epic", $E$2:$E700, "Classic", $F$2:F700, "Priest" )*2</f>
        <v>6</v>
      </c>
      <c r="AM127" s="667" t="str">
        <f>sumifs($U$2:$U700, $D$2:$D700, "Epic", $E$2:$E700, "Promo", $F$2:F700, "Priest")</f>
        <v>0</v>
      </c>
      <c r="AN127" s="668" t="str">
        <f>COUNTIFS($D$2:$D700, "Epic", $E$2:$E700, "Promo", $F$2:F700, "Priest" )*2</f>
        <v>0</v>
      </c>
      <c r="AO127" s="641" t="str">
        <f>sumifs($U$2:$U700, $D$2:$D700, "Epic", $E$2:$E700, "Naxx", $F$2:F700, "Priest")</f>
        <v>0</v>
      </c>
      <c r="AP127" s="569" t="str">
        <f>COUNTIFS($D$2:$D700, "Epic", $E$2:$E700, "Naxx", $F$2:F700, "Priest" )*2</f>
        <v>0</v>
      </c>
      <c r="AQ127" s="641" t="str">
        <f>sumifs($U$2:$U700, $D$2:$D700, "Epic", $E$2:$E700, "GvG", $F$2:F700, "Priest")</f>
        <v>1</v>
      </c>
      <c r="AR127" s="569" t="str">
        <f>COUNTIFS($D$2:$D700, "Epic", $E$2:$E700, "GvG", $F$2:F700, "Priest" )*2</f>
        <v>4</v>
      </c>
      <c r="AS127" s="641" t="str">
        <f>sumifs($U$2:$U700, $D$2:$D700, "Epic", $E$2:$E700, "Blackrock", $F$2:F700, "Priest")</f>
        <v>0</v>
      </c>
      <c r="AT127" s="569" t="str">
        <f>COUNTIFS($D$2:$D700, "Epic", $E$2:$E700, "Blackrock", $F$2:F700, "Priest" )*2</f>
        <v>0</v>
      </c>
      <c r="AU127" s="641" t="str">
        <f>sumifs($U$2:$U700, $D$2:$D700, "Epic", $E$2:$E700, "TGT", $F$2:F700, "Priest")</f>
        <v>2</v>
      </c>
      <c r="AV127" s="569" t="str">
        <f>COUNTIFS($D$2:$D700, "Epic", $E$2:$E700, "TGT", $F$2:F700, "Priest" )*2</f>
        <v>4</v>
      </c>
      <c r="AW127" s="667">
        <v>0.0</v>
      </c>
      <c r="AX127" s="668">
        <v>0.0</v>
      </c>
    </row>
    <row r="128">
      <c r="A128" s="509"/>
      <c r="B128" s="618">
        <v>1.0</v>
      </c>
      <c r="C128" s="619" t="s">
        <v>435</v>
      </c>
      <c r="D128" s="620" t="s">
        <v>22</v>
      </c>
      <c r="E128" s="621" t="s">
        <v>36</v>
      </c>
      <c r="F128" s="620" t="s">
        <v>65</v>
      </c>
      <c r="G128" s="622">
        <v>1.0</v>
      </c>
      <c r="H128" s="622">
        <v>0.0</v>
      </c>
      <c r="I128" s="623">
        <v>1.0</v>
      </c>
      <c r="J128" s="623">
        <v>1.0</v>
      </c>
      <c r="K128" s="621" t="s">
        <v>162</v>
      </c>
      <c r="L128" s="621"/>
      <c r="M128" s="621"/>
      <c r="N128" s="621"/>
      <c r="O128" s="624" t="s">
        <v>436</v>
      </c>
      <c r="P128" s="14"/>
      <c r="Q128" s="452" t="str">
        <f>MATCH($D128,Reference!$J$5:$J$9,0)</f>
        <v>4</v>
      </c>
      <c r="R128" s="452" t="str">
        <f>MATCH($E128,Reference!$J$26:$J$32,0)</f>
        <v>7</v>
      </c>
      <c r="S128" s="452" t="str">
        <f>MATCH($F128,Reference!$J$45:$J$54,0)</f>
        <v>3</v>
      </c>
      <c r="T128" s="453" t="str">
        <f>MATCH($K128,Reference!$J$37:$J$39,0)</f>
        <v>2</v>
      </c>
      <c r="U128" s="454" t="str">
        <f t="shared" si="192"/>
        <v>1</v>
      </c>
      <c r="V128" s="454" t="str">
        <f t="shared" si="3"/>
        <v>1</v>
      </c>
      <c r="W128" s="454" t="str">
        <f t="shared" ref="W128:W134" si="258">(MIN(G128,2)+H128-U128)*400</f>
        <v>0</v>
      </c>
      <c r="X128" s="454" t="str">
        <f t="shared" si="193"/>
        <v>1</v>
      </c>
      <c r="Y128" s="456" t="str">
        <f t="shared" si="5"/>
        <v>FALSE</v>
      </c>
      <c r="Z128" s="456" t="str">
        <f t="shared" si="6"/>
        <v>FALSE</v>
      </c>
      <c r="AA128" s="457" t="str">
        <f t="shared" ref="AA128:AB128" si="256">1-I128</f>
        <v>0%</v>
      </c>
      <c r="AB128" s="457" t="str">
        <f t="shared" si="256"/>
        <v>0%</v>
      </c>
      <c r="AC128" s="456" t="str">
        <f t="shared" si="8"/>
        <v>1</v>
      </c>
      <c r="AD128" s="458" t="str">
        <f t="shared" si="195"/>
        <v>0</v>
      </c>
      <c r="AE128" s="458" t="str">
        <f t="shared" si="10"/>
        <v>1</v>
      </c>
      <c r="AF128" s="459" t="str">
        <f t="shared" ref="AF128:AF134" si="260">(MIN(H128,2)+G128-U128)*100</f>
        <v>0</v>
      </c>
      <c r="AG128" s="460"/>
      <c r="AH128" s="583" t="s">
        <v>23</v>
      </c>
      <c r="AI128" s="584" t="str">
        <f t="shared" ref="AI128:AJ128" si="257">SUM(AM128+AK128+AO128+AQ128+AS128+AU128)</f>
        <v>2</v>
      </c>
      <c r="AJ128" s="585" t="str">
        <f t="shared" si="257"/>
        <v>3</v>
      </c>
      <c r="AK128" s="677" t="str">
        <f>sumifs($U$2:$U700, $D$2:$D700, "Legendary", $E$2:$E700, "Classic", $F$2:F700, "Priest")</f>
        <v>0</v>
      </c>
      <c r="AL128" s="678" t="str">
        <f>COUNTIFS($D$2:$D700, "Legendary", $E$2:$E700, "Classic", $F$2:F700, "Priest" )</f>
        <v>1</v>
      </c>
      <c r="AM128" s="679" t="str">
        <f>sumifs($U$2:$U700, $D$2:$D700, "Legendary", $E$2:$E700, "Promo", $F$2:F700, "Priest")</f>
        <v>0</v>
      </c>
      <c r="AN128" s="680" t="str">
        <f>COUNTIFS($D$2:$D700, "Legendary", $E$2:$E700, "Promo", $F$2:F700, "Priest" )</f>
        <v>0</v>
      </c>
      <c r="AO128" s="677" t="str">
        <f>sumifs($U$2:$U700, $D$2:$D700, "Legendary", $E$2:$E700, "Naxx", $F$2:F700, "Priest")</f>
        <v>0</v>
      </c>
      <c r="AP128" s="678" t="str">
        <f>COUNTIFS($D$2:$D700, "Legendary", $E$2:$E700, "Naxx", $F$2:F700, "Priest" )</f>
        <v>0</v>
      </c>
      <c r="AQ128" s="677" t="str">
        <f>sumifs($U$2:$U700, $D$2:$D700, "Legendary", $E$2:$E700, "GvG", $F$2:F700, "Priest")</f>
        <v>1</v>
      </c>
      <c r="AR128" s="678" t="str">
        <f>COUNTIFS($D$2:$D700, "Legendary", $E$2:$E700, "GvG", $F$2:F700, "Priest" )</f>
        <v>1</v>
      </c>
      <c r="AS128" s="677" t="str">
        <f>sumifs($U$2:$U700, $D$2:$D700, "Legendary", $E$2:$E700, "Blackrock", $F$2:F700, "Priest")</f>
        <v>0</v>
      </c>
      <c r="AT128" s="678" t="str">
        <f>COUNTIFS($D$2:$D700, "Legendary", $E$2:$E700, "Blackrock", $F$2:F700, "Priest" )</f>
        <v>0</v>
      </c>
      <c r="AU128" s="677" t="str">
        <f>sumifs($U$2:$U700, $D$2:$D700, "Legendary", $E$2:$E700, "TGT", $F$2:F700, "Priest")</f>
        <v>1</v>
      </c>
      <c r="AV128" s="678" t="str">
        <f>COUNTIFS($D$2:$D700, "Legendary", $E$2:$E700, "TGT", $F$2:F700, "Priest" )</f>
        <v>1</v>
      </c>
      <c r="AW128" s="679">
        <v>0.0</v>
      </c>
      <c r="AX128" s="680">
        <v>0.0</v>
      </c>
    </row>
    <row r="129">
      <c r="A129" s="463"/>
      <c r="B129" s="634">
        <v>3.0</v>
      </c>
      <c r="C129" s="635" t="s">
        <v>437</v>
      </c>
      <c r="D129" s="636" t="s">
        <v>22</v>
      </c>
      <c r="E129" s="636" t="s">
        <v>33</v>
      </c>
      <c r="F129" s="637" t="s">
        <v>65</v>
      </c>
      <c r="G129" s="705">
        <v>2.0</v>
      </c>
      <c r="H129" s="638">
        <v>0.0</v>
      </c>
      <c r="I129" s="640">
        <v>1.0</v>
      </c>
      <c r="J129" s="640">
        <v>1.0</v>
      </c>
      <c r="K129" s="568" t="s">
        <v>162</v>
      </c>
      <c r="L129" s="641" t="s">
        <v>299</v>
      </c>
      <c r="M129" s="568"/>
      <c r="N129" s="568"/>
      <c r="O129" s="642" t="s">
        <v>438</v>
      </c>
      <c r="P129" s="14"/>
      <c r="Q129" s="452" t="str">
        <f>MATCH($D129,Reference!$J$5:$J$9,0)</f>
        <v>4</v>
      </c>
      <c r="R129" s="452" t="str">
        <f>MATCH($E129,Reference!$J$26:$J$32,0)</f>
        <v>2</v>
      </c>
      <c r="S129" s="452" t="str">
        <f>MATCH($F129,Reference!$J$45:$J$54,0)</f>
        <v>3</v>
      </c>
      <c r="T129" s="453" t="str">
        <f>MATCH($K129,Reference!$J$37:$J$39,0)</f>
        <v>2</v>
      </c>
      <c r="U129" s="454" t="str">
        <f t="shared" si="192"/>
        <v>2</v>
      </c>
      <c r="V129" s="454" t="str">
        <f t="shared" si="3"/>
        <v>1</v>
      </c>
      <c r="W129" s="454" t="str">
        <f t="shared" si="258"/>
        <v>0</v>
      </c>
      <c r="X129" s="454" t="str">
        <f t="shared" si="193"/>
        <v>2</v>
      </c>
      <c r="Y129" s="456" t="str">
        <f t="shared" si="5"/>
        <v>FALSE</v>
      </c>
      <c r="Z129" s="456" t="str">
        <f t="shared" si="6"/>
        <v>FALSE</v>
      </c>
      <c r="AA129" s="457" t="str">
        <f t="shared" ref="AA129:AB129" si="259">1-I129</f>
        <v>0%</v>
      </c>
      <c r="AB129" s="457" t="str">
        <f t="shared" si="259"/>
        <v>0%</v>
      </c>
      <c r="AC129" s="456" t="str">
        <f t="shared" si="8"/>
        <v>2</v>
      </c>
      <c r="AD129" s="458" t="str">
        <f t="shared" si="195"/>
        <v>0</v>
      </c>
      <c r="AE129" s="458" t="str">
        <f t="shared" si="10"/>
        <v>1</v>
      </c>
      <c r="AF129" s="459" t="str">
        <f t="shared" si="260"/>
        <v>0</v>
      </c>
      <c r="AG129" s="460"/>
      <c r="AH129" s="601" t="s">
        <v>24</v>
      </c>
      <c r="AI129" s="602"/>
      <c r="AJ129" s="603"/>
      <c r="AK129" s="602"/>
      <c r="AL129" s="603"/>
      <c r="AM129" s="602"/>
      <c r="AN129" s="603"/>
      <c r="AO129" s="602"/>
      <c r="AP129" s="603"/>
      <c r="AQ129" s="602"/>
      <c r="AR129" s="603"/>
      <c r="AS129" s="602"/>
      <c r="AT129" s="603"/>
      <c r="AU129" s="602"/>
      <c r="AV129" s="603"/>
      <c r="AW129" s="602"/>
      <c r="AX129" s="603"/>
    </row>
    <row r="130">
      <c r="A130" s="466"/>
      <c r="B130" s="634">
        <v>3.0</v>
      </c>
      <c r="C130" s="635" t="s">
        <v>439</v>
      </c>
      <c r="D130" s="636" t="s">
        <v>22</v>
      </c>
      <c r="E130" s="636" t="s">
        <v>33</v>
      </c>
      <c r="F130" s="637" t="s">
        <v>65</v>
      </c>
      <c r="G130" s="639">
        <v>2.0</v>
      </c>
      <c r="H130" s="638">
        <v>0.0</v>
      </c>
      <c r="I130" s="640">
        <v>1.0</v>
      </c>
      <c r="J130" s="640">
        <v>1.0</v>
      </c>
      <c r="K130" s="641" t="s">
        <v>162</v>
      </c>
      <c r="L130" s="641" t="s">
        <v>299</v>
      </c>
      <c r="M130" s="641"/>
      <c r="N130" s="641"/>
      <c r="O130" s="642" t="s">
        <v>440</v>
      </c>
      <c r="P130" s="14"/>
      <c r="Q130" s="452" t="str">
        <f>MATCH($D130,Reference!$J$5:$J$9,0)</f>
        <v>4</v>
      </c>
      <c r="R130" s="452" t="str">
        <f>MATCH($E130,Reference!$J$26:$J$32,0)</f>
        <v>2</v>
      </c>
      <c r="S130" s="452" t="str">
        <f>MATCH($F130,Reference!$J$45:$J$54,0)</f>
        <v>3</v>
      </c>
      <c r="T130" s="453" t="str">
        <f>MATCH($K130,Reference!$J$37:$J$39,0)</f>
        <v>2</v>
      </c>
      <c r="U130" s="454" t="str">
        <f t="shared" si="192"/>
        <v>2</v>
      </c>
      <c r="V130" s="454" t="str">
        <f t="shared" si="3"/>
        <v>1</v>
      </c>
      <c r="W130" s="454" t="str">
        <f t="shared" si="258"/>
        <v>0</v>
      </c>
      <c r="X130" s="454" t="str">
        <f t="shared" si="193"/>
        <v>2</v>
      </c>
      <c r="Y130" s="456" t="str">
        <f t="shared" si="5"/>
        <v>FALSE</v>
      </c>
      <c r="Z130" s="456" t="str">
        <f t="shared" si="6"/>
        <v>FALSE</v>
      </c>
      <c r="AA130" s="457" t="str">
        <f t="shared" ref="AA130:AB130" si="261">1-I130</f>
        <v>0%</v>
      </c>
      <c r="AB130" s="457" t="str">
        <f t="shared" si="261"/>
        <v>0%</v>
      </c>
      <c r="AC130" s="456" t="str">
        <f t="shared" si="8"/>
        <v>2</v>
      </c>
      <c r="AD130" s="458" t="str">
        <f t="shared" si="195"/>
        <v>0</v>
      </c>
      <c r="AE130" s="458" t="str">
        <f t="shared" si="10"/>
        <v>1</v>
      </c>
      <c r="AF130" s="459" t="str">
        <f t="shared" si="260"/>
        <v>0</v>
      </c>
      <c r="AG130" s="460"/>
      <c r="AH130" s="604" t="s">
        <v>221</v>
      </c>
      <c r="AI130" s="605" t="str">
        <f t="shared" ref="AI130:AN130" si="262">SUM(AI118:AI122)</f>
        <v>43</v>
      </c>
      <c r="AJ130" s="606" t="str">
        <f t="shared" si="262"/>
        <v>45</v>
      </c>
      <c r="AK130" s="605" t="str">
        <f t="shared" si="262"/>
        <v>24</v>
      </c>
      <c r="AL130" s="606" t="str">
        <f t="shared" si="262"/>
        <v>25</v>
      </c>
      <c r="AM130" s="605" t="str">
        <f t="shared" si="262"/>
        <v>0</v>
      </c>
      <c r="AN130" s="606" t="str">
        <f t="shared" si="262"/>
        <v>0</v>
      </c>
      <c r="AO130" s="605" t="str">
        <f>sum(AO118:AO122)</f>
        <v>1</v>
      </c>
      <c r="AP130" s="606" t="str">
        <f>SUM(AP118:AP122)</f>
        <v>1</v>
      </c>
      <c r="AQ130" s="605" t="str">
        <f>sum(AQ118:AQ122)</f>
        <v>7</v>
      </c>
      <c r="AR130" s="606" t="str">
        <f>SUM(AR118:AR122)</f>
        <v>8</v>
      </c>
      <c r="AS130" s="605" t="str">
        <f t="shared" ref="AS130:AX130" si="263">sum(AS118:AS122)</f>
        <v>2</v>
      </c>
      <c r="AT130" s="606" t="str">
        <f t="shared" si="263"/>
        <v>2</v>
      </c>
      <c r="AU130" s="605" t="str">
        <f t="shared" si="263"/>
        <v>9</v>
      </c>
      <c r="AV130" s="606" t="str">
        <f t="shared" si="263"/>
        <v>9</v>
      </c>
      <c r="AW130" s="605" t="str">
        <f t="shared" si="263"/>
        <v>0</v>
      </c>
      <c r="AX130" s="606" t="str">
        <f t="shared" si="263"/>
        <v>0</v>
      </c>
    </row>
    <row r="131">
      <c r="A131" s="466"/>
      <c r="B131" s="625">
        <v>4.0</v>
      </c>
      <c r="C131" s="646" t="s">
        <v>441</v>
      </c>
      <c r="D131" s="627" t="s">
        <v>22</v>
      </c>
      <c r="E131" s="627" t="s">
        <v>35</v>
      </c>
      <c r="F131" s="628" t="s">
        <v>65</v>
      </c>
      <c r="G131" s="629">
        <v>1.0</v>
      </c>
      <c r="H131" s="630">
        <v>0.0</v>
      </c>
      <c r="I131" s="631">
        <v>1.0</v>
      </c>
      <c r="J131" s="631">
        <v>1.0</v>
      </c>
      <c r="K131" s="632" t="s">
        <v>162</v>
      </c>
      <c r="L131" s="632"/>
      <c r="M131" s="632"/>
      <c r="N131" s="632"/>
      <c r="O131" s="633" t="s">
        <v>442</v>
      </c>
      <c r="P131" s="14"/>
      <c r="Q131" s="452" t="str">
        <f>MATCH($D131,Reference!$J$5:$J$9,0)</f>
        <v>4</v>
      </c>
      <c r="R131" s="452" t="str">
        <f>MATCH($E131,Reference!$J$26:$J$32,0)</f>
        <v>5</v>
      </c>
      <c r="S131" s="452" t="str">
        <f>MATCH($F131,Reference!$J$45:$J$54,0)</f>
        <v>3</v>
      </c>
      <c r="T131" s="453" t="str">
        <f>MATCH($K131,Reference!$J$37:$J$39,0)</f>
        <v>2</v>
      </c>
      <c r="U131" s="454" t="str">
        <f t="shared" si="192"/>
        <v>1</v>
      </c>
      <c r="V131" s="454" t="str">
        <f t="shared" si="3"/>
        <v>1</v>
      </c>
      <c r="W131" s="454" t="str">
        <f t="shared" si="258"/>
        <v>0</v>
      </c>
      <c r="X131" s="454" t="str">
        <f t="shared" si="193"/>
        <v>1</v>
      </c>
      <c r="Y131" s="456" t="str">
        <f t="shared" si="5"/>
        <v>FALSE</v>
      </c>
      <c r="Z131" s="456" t="str">
        <f t="shared" si="6"/>
        <v>FALSE</v>
      </c>
      <c r="AA131" s="457" t="str">
        <f t="shared" ref="AA131:AB131" si="264">1-I131</f>
        <v>0%</v>
      </c>
      <c r="AB131" s="457" t="str">
        <f t="shared" si="264"/>
        <v>0%</v>
      </c>
      <c r="AC131" s="456" t="str">
        <f t="shared" si="8"/>
        <v>1</v>
      </c>
      <c r="AD131" s="458" t="str">
        <f t="shared" si="195"/>
        <v>0</v>
      </c>
      <c r="AE131" s="458" t="str">
        <f t="shared" si="10"/>
        <v>1</v>
      </c>
      <c r="AF131" s="459" t="str">
        <f t="shared" si="260"/>
        <v>0</v>
      </c>
      <c r="AG131" s="460"/>
      <c r="AH131" s="615" t="s">
        <v>234</v>
      </c>
      <c r="AI131" s="616" t="str">
        <f t="shared" ref="AI131:AJ131" si="265">SUM(AI124:AI128)</f>
        <v>80</v>
      </c>
      <c r="AJ131" s="617" t="str">
        <f t="shared" si="265"/>
        <v>87</v>
      </c>
      <c r="AK131" s="616" t="str">
        <f>sum(AK124:AK128)</f>
        <v>47</v>
      </c>
      <c r="AL131" s="617" t="str">
        <f>SUM(AL124:AL128)</f>
        <v>49</v>
      </c>
      <c r="AM131" s="616" t="str">
        <f>sum(AM124:AM128)</f>
        <v>0</v>
      </c>
      <c r="AN131" s="617" t="str">
        <f>SUM(AN124:AN128)</f>
        <v>0</v>
      </c>
      <c r="AO131" s="616" t="str">
        <f>sum(AO124:AO128)</f>
        <v>2</v>
      </c>
      <c r="AP131" s="617" t="str">
        <f>SUM(AP124:AP128)</f>
        <v>2</v>
      </c>
      <c r="AQ131" s="616" t="str">
        <f>sum(AQ125:AQ128)</f>
        <v>12</v>
      </c>
      <c r="AR131" s="617" t="str">
        <f>SUM(AR124:AR128)</f>
        <v>15</v>
      </c>
      <c r="AS131" s="616" t="str">
        <f t="shared" ref="AS131:AX131" si="266">sum(AS124:AS128)</f>
        <v>4</v>
      </c>
      <c r="AT131" s="617" t="str">
        <f t="shared" si="266"/>
        <v>4</v>
      </c>
      <c r="AU131" s="616" t="str">
        <f t="shared" si="266"/>
        <v>15</v>
      </c>
      <c r="AV131" s="617" t="str">
        <f t="shared" si="266"/>
        <v>17</v>
      </c>
      <c r="AW131" s="616" t="str">
        <f t="shared" si="266"/>
        <v>0</v>
      </c>
      <c r="AX131" s="617" t="str">
        <f t="shared" si="266"/>
        <v>0</v>
      </c>
    </row>
    <row r="132">
      <c r="A132" s="442"/>
      <c r="B132" s="625">
        <v>4.0</v>
      </c>
      <c r="C132" s="646" t="s">
        <v>443</v>
      </c>
      <c r="D132" s="627" t="s">
        <v>22</v>
      </c>
      <c r="E132" s="627" t="s">
        <v>35</v>
      </c>
      <c r="F132" s="628" t="s">
        <v>65</v>
      </c>
      <c r="G132" s="629">
        <v>0.0</v>
      </c>
      <c r="H132" s="630">
        <v>0.0</v>
      </c>
      <c r="I132" s="631">
        <v>1.0</v>
      </c>
      <c r="J132" s="631">
        <v>1.0</v>
      </c>
      <c r="K132" s="701" t="s">
        <v>188</v>
      </c>
      <c r="L132" s="632"/>
      <c r="M132" s="701">
        <v>2.0</v>
      </c>
      <c r="N132" s="701">
        <v>5.0</v>
      </c>
      <c r="O132" s="633" t="s">
        <v>444</v>
      </c>
      <c r="P132" s="14"/>
      <c r="Q132" s="452" t="str">
        <f>MATCH($D132,Reference!$J$5:$J$9,0)</f>
        <v>4</v>
      </c>
      <c r="R132" s="452" t="str">
        <f>MATCH($E132,Reference!$J$26:$J$32,0)</f>
        <v>5</v>
      </c>
      <c r="S132" s="452" t="str">
        <f>MATCH($F132,Reference!$J$45:$J$54,0)</f>
        <v>3</v>
      </c>
      <c r="T132" s="453" t="str">
        <f>MATCH($K132,Reference!$J$37:$J$39,0)</f>
        <v>3</v>
      </c>
      <c r="U132" s="454" t="str">
        <f t="shared" si="192"/>
        <v>0</v>
      </c>
      <c r="V132" s="454" t="str">
        <f t="shared" si="3"/>
        <v>0</v>
      </c>
      <c r="W132" s="454" t="str">
        <f t="shared" si="258"/>
        <v>0</v>
      </c>
      <c r="X132" s="454" t="str">
        <f t="shared" si="193"/>
        <v>0</v>
      </c>
      <c r="Y132" s="456" t="str">
        <f t="shared" si="5"/>
        <v>TRUE</v>
      </c>
      <c r="Z132" s="456" t="str">
        <f t="shared" si="6"/>
        <v>FALSE</v>
      </c>
      <c r="AA132" s="457" t="str">
        <f t="shared" ref="AA132:AB132" si="267">1-I132</f>
        <v>0%</v>
      </c>
      <c r="AB132" s="457" t="str">
        <f t="shared" si="267"/>
        <v>0%</v>
      </c>
      <c r="AC132" s="456" t="str">
        <f t="shared" si="8"/>
        <v>0</v>
      </c>
      <c r="AD132" s="458" t="str">
        <f t="shared" si="195"/>
        <v>0</v>
      </c>
      <c r="AE132" s="458" t="str">
        <f t="shared" si="10"/>
        <v>0</v>
      </c>
      <c r="AF132" s="459" t="str">
        <f t="shared" si="260"/>
        <v>0</v>
      </c>
      <c r="AG132" s="460"/>
      <c r="AH132" s="14"/>
      <c r="AI132" s="14"/>
      <c r="AJ132" s="14"/>
      <c r="AK132" s="14"/>
      <c r="AL132" s="14"/>
      <c r="AM132" s="14"/>
      <c r="AN132" s="14"/>
      <c r="AO132" s="14"/>
      <c r="AP132" s="14"/>
      <c r="AQ132" s="14"/>
      <c r="AR132" s="14"/>
      <c r="AS132" s="14"/>
      <c r="AT132" s="14"/>
    </row>
    <row r="133">
      <c r="A133" s="509"/>
      <c r="B133" s="618">
        <v>6.0</v>
      </c>
      <c r="C133" s="619" t="s">
        <v>445</v>
      </c>
      <c r="D133" s="620" t="s">
        <v>22</v>
      </c>
      <c r="E133" s="621" t="s">
        <v>36</v>
      </c>
      <c r="F133" s="620" t="s">
        <v>65</v>
      </c>
      <c r="G133" s="622">
        <v>1.0</v>
      </c>
      <c r="H133" s="622">
        <v>0.0</v>
      </c>
      <c r="I133" s="623">
        <v>1.33</v>
      </c>
      <c r="J133" s="623">
        <v>1.33</v>
      </c>
      <c r="K133" s="621" t="s">
        <v>188</v>
      </c>
      <c r="L133" s="621" t="s">
        <v>446</v>
      </c>
      <c r="M133" s="621">
        <v>6.0</v>
      </c>
      <c r="N133" s="621">
        <v>6.0</v>
      </c>
      <c r="O133" s="624" t="s">
        <v>447</v>
      </c>
      <c r="P133" s="14"/>
      <c r="Q133" s="452" t="str">
        <f>MATCH($D133,Reference!$J$5:$J$9,0)</f>
        <v>4</v>
      </c>
      <c r="R133" s="452" t="str">
        <f>MATCH($E133,Reference!$J$26:$J$32,0)</f>
        <v>7</v>
      </c>
      <c r="S133" s="452" t="str">
        <f>MATCH($F133,Reference!$J$45:$J$54,0)</f>
        <v>3</v>
      </c>
      <c r="T133" s="453" t="str">
        <f>MATCH($K133,Reference!$J$37:$J$39,0)</f>
        <v>3</v>
      </c>
      <c r="U133" s="454" t="str">
        <f t="shared" si="192"/>
        <v>1</v>
      </c>
      <c r="V133" s="454" t="str">
        <f t="shared" si="3"/>
        <v>1</v>
      </c>
      <c r="W133" s="454" t="str">
        <f t="shared" si="258"/>
        <v>0</v>
      </c>
      <c r="X133" s="454" t="str">
        <f t="shared" si="193"/>
        <v>1</v>
      </c>
      <c r="Y133" s="456" t="str">
        <f t="shared" si="5"/>
        <v>FALSE</v>
      </c>
      <c r="Z133" s="456" t="str">
        <f t="shared" si="6"/>
        <v>FALSE</v>
      </c>
      <c r="AA133" s="457" t="str">
        <f t="shared" ref="AA133:AB133" si="268">1-I133</f>
        <v>-33%</v>
      </c>
      <c r="AB133" s="457" t="str">
        <f t="shared" si="268"/>
        <v>-33%</v>
      </c>
      <c r="AC133" s="456" t="str">
        <f t="shared" si="8"/>
        <v>1</v>
      </c>
      <c r="AD133" s="458" t="str">
        <f t="shared" si="195"/>
        <v>0</v>
      </c>
      <c r="AE133" s="458" t="str">
        <f t="shared" si="10"/>
        <v>1</v>
      </c>
      <c r="AF133" s="459" t="str">
        <f t="shared" si="260"/>
        <v>0</v>
      </c>
      <c r="AG133" s="460"/>
      <c r="AH133" s="14"/>
      <c r="AI133" s="14"/>
      <c r="AJ133" s="14"/>
      <c r="AK133" s="14"/>
      <c r="AL133" s="14"/>
      <c r="AM133" s="14"/>
      <c r="AN133" s="14"/>
      <c r="AO133" s="14"/>
      <c r="AP133" s="14"/>
      <c r="AQ133" s="14"/>
      <c r="AR133" s="14"/>
      <c r="AS133" s="14"/>
      <c r="AT133" s="14"/>
    </row>
    <row r="134">
      <c r="A134" s="509"/>
      <c r="B134" s="634">
        <v>10.0</v>
      </c>
      <c r="C134" s="635" t="s">
        <v>448</v>
      </c>
      <c r="D134" s="636" t="s">
        <v>22</v>
      </c>
      <c r="E134" s="636" t="s">
        <v>33</v>
      </c>
      <c r="F134" s="637" t="s">
        <v>65</v>
      </c>
      <c r="G134" s="639">
        <v>2.0</v>
      </c>
      <c r="H134" s="638">
        <v>0.0</v>
      </c>
      <c r="I134" s="706">
        <v>1.0</v>
      </c>
      <c r="J134" s="706">
        <v>1.33</v>
      </c>
      <c r="K134" s="641" t="s">
        <v>162</v>
      </c>
      <c r="L134" s="641"/>
      <c r="M134" s="641"/>
      <c r="N134" s="641"/>
      <c r="O134" s="642" t="s">
        <v>449</v>
      </c>
      <c r="P134" s="14"/>
      <c r="Q134" s="452" t="str">
        <f>MATCH($D134,Reference!$J$5:$J$9,0)</f>
        <v>4</v>
      </c>
      <c r="R134" s="452" t="str">
        <f>MATCH($E134,Reference!$J$26:$J$32,0)</f>
        <v>2</v>
      </c>
      <c r="S134" s="452" t="str">
        <f>MATCH($F134,Reference!$J$45:$J$54,0)</f>
        <v>3</v>
      </c>
      <c r="T134" s="453" t="str">
        <f>MATCH($K134,Reference!$J$37:$J$39,0)</f>
        <v>2</v>
      </c>
      <c r="U134" s="454" t="str">
        <f t="shared" si="192"/>
        <v>2</v>
      </c>
      <c r="V134" s="454" t="str">
        <f t="shared" si="3"/>
        <v>1</v>
      </c>
      <c r="W134" s="454" t="str">
        <f t="shared" si="258"/>
        <v>0</v>
      </c>
      <c r="X134" s="454" t="str">
        <f t="shared" si="193"/>
        <v>2</v>
      </c>
      <c r="Y134" s="456" t="str">
        <f t="shared" si="5"/>
        <v>FALSE</v>
      </c>
      <c r="Z134" s="456" t="str">
        <f t="shared" si="6"/>
        <v>FALSE</v>
      </c>
      <c r="AA134" s="457" t="str">
        <f t="shared" ref="AA134:AB134" si="269">1-I134</f>
        <v>0%</v>
      </c>
      <c r="AB134" s="457" t="str">
        <f t="shared" si="269"/>
        <v>-33%</v>
      </c>
      <c r="AC134" s="456" t="str">
        <f t="shared" si="8"/>
        <v>2</v>
      </c>
      <c r="AD134" s="458" t="str">
        <f t="shared" si="195"/>
        <v>0</v>
      </c>
      <c r="AE134" s="458" t="str">
        <f t="shared" si="10"/>
        <v>1</v>
      </c>
      <c r="AF134" s="459" t="str">
        <f t="shared" si="260"/>
        <v>0</v>
      </c>
      <c r="AG134" s="460"/>
      <c r="AH134" s="521"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669">
        <v>7.0</v>
      </c>
      <c r="C135" s="670" t="s">
        <v>450</v>
      </c>
      <c r="D135" s="671" t="s">
        <v>23</v>
      </c>
      <c r="E135" s="671" t="s">
        <v>33</v>
      </c>
      <c r="F135" s="672" t="s">
        <v>65</v>
      </c>
      <c r="G135" s="673">
        <v>1.0</v>
      </c>
      <c r="H135" s="673">
        <v>0.0</v>
      </c>
      <c r="I135" s="674">
        <v>1.0</v>
      </c>
      <c r="J135" s="674"/>
      <c r="K135" s="675" t="s">
        <v>188</v>
      </c>
      <c r="L135" s="675"/>
      <c r="M135" s="675">
        <v>5.0</v>
      </c>
      <c r="N135" s="675">
        <v>7.0</v>
      </c>
      <c r="O135" s="676" t="s">
        <v>451</v>
      </c>
      <c r="P135" s="14"/>
      <c r="Q135" s="452" t="str">
        <f>MATCH($D135,Reference!$J$5:$J$9,0)</f>
        <v>5</v>
      </c>
      <c r="R135" s="452" t="str">
        <f>MATCH($E135,Reference!$J$26:$J$32,0)</f>
        <v>2</v>
      </c>
      <c r="S135" s="452" t="str">
        <f>MATCH($F135,Reference!$J$45:$J$54,0)</f>
        <v>3</v>
      </c>
      <c r="T135" s="453" t="str">
        <f>MATCH($K135,Reference!$J$37:$J$39,0)</f>
        <v>3</v>
      </c>
      <c r="U135" s="454" t="str">
        <f t="shared" ref="U135:U137" si="271">MIN((G135+H135),1)</f>
        <v>1</v>
      </c>
      <c r="V135" s="454" t="str">
        <f t="shared" si="3"/>
        <v>1</v>
      </c>
      <c r="W135" s="454" t="str">
        <f t="shared" ref="W135:W137" si="272">(MIN(G135,2)+H135-U135)*1600</f>
        <v>0</v>
      </c>
      <c r="X135" s="454" t="str">
        <f t="shared" ref="X135:X137" si="273">MIN((G135+H135+1),2)</f>
        <v>2</v>
      </c>
      <c r="Y135" s="456" t="str">
        <f t="shared" si="5"/>
        <v>FALSE</v>
      </c>
      <c r="Z135" s="456" t="str">
        <f t="shared" si="6"/>
        <v>TRUE</v>
      </c>
      <c r="AA135" s="457" t="str">
        <f t="shared" ref="AA135:AB135" si="270">1-I135</f>
        <v>0%</v>
      </c>
      <c r="AB135" s="457" t="str">
        <f t="shared" si="270"/>
        <v>100%</v>
      </c>
      <c r="AC135" s="456" t="str">
        <f t="shared" si="8"/>
        <v>2</v>
      </c>
      <c r="AD135" s="458" t="str">
        <f t="shared" ref="AD135:AD137" si="275">MIN((H135),1)</f>
        <v>0</v>
      </c>
      <c r="AE135" s="458" t="str">
        <f t="shared" si="10"/>
        <v>1</v>
      </c>
      <c r="AF135" s="459" t="str">
        <f t="shared" ref="AF135:AF137" si="276">(MIN(H135,2)+G135-U135)*400</f>
        <v>0</v>
      </c>
      <c r="AG135" s="460"/>
      <c r="AH135" s="523" t="s">
        <v>141</v>
      </c>
      <c r="AI135" s="524" t="s">
        <v>24</v>
      </c>
      <c r="AJ135" s="106"/>
      <c r="AK135" s="524" t="s">
        <v>33</v>
      </c>
      <c r="AL135" s="106"/>
      <c r="AM135" s="524" t="s">
        <v>37</v>
      </c>
      <c r="AN135" s="106"/>
      <c r="AO135" s="524" t="s">
        <v>41</v>
      </c>
      <c r="AP135" s="106"/>
      <c r="AQ135" s="524" t="s">
        <v>35</v>
      </c>
      <c r="AR135" s="106"/>
      <c r="AS135" s="525" t="s">
        <v>217</v>
      </c>
      <c r="AT135" s="106"/>
      <c r="AU135" s="525" t="s">
        <v>36</v>
      </c>
      <c r="AV135" s="106"/>
      <c r="AW135" s="525" t="s">
        <v>218</v>
      </c>
      <c r="AX135" s="106"/>
    </row>
    <row r="136">
      <c r="A136" s="509"/>
      <c r="B136" s="648">
        <v>7.0</v>
      </c>
      <c r="C136" s="649" t="s">
        <v>452</v>
      </c>
      <c r="D136" s="650" t="s">
        <v>23</v>
      </c>
      <c r="E136" s="650" t="s">
        <v>35</v>
      </c>
      <c r="F136" s="651" t="s">
        <v>65</v>
      </c>
      <c r="G136" s="653">
        <v>0.0</v>
      </c>
      <c r="H136" s="653">
        <v>0.0</v>
      </c>
      <c r="I136" s="654">
        <v>1.0</v>
      </c>
      <c r="J136" s="654"/>
      <c r="K136" s="703" t="s">
        <v>188</v>
      </c>
      <c r="L136" s="703" t="s">
        <v>198</v>
      </c>
      <c r="M136" s="703">
        <v>7.0</v>
      </c>
      <c r="N136" s="703">
        <v>7.0</v>
      </c>
      <c r="O136" s="655" t="s">
        <v>453</v>
      </c>
      <c r="P136" s="14"/>
      <c r="Q136" s="452" t="str">
        <f>MATCH($D136,Reference!$J$5:$J$9,0)</f>
        <v>5</v>
      </c>
      <c r="R136" s="452" t="str">
        <f>MATCH($E136,Reference!$J$26:$J$32,0)</f>
        <v>5</v>
      </c>
      <c r="S136" s="452" t="str">
        <f>MATCH($F136,Reference!$J$45:$J$54,0)</f>
        <v>3</v>
      </c>
      <c r="T136" s="453" t="str">
        <f>MATCH($K136,Reference!$J$37:$J$39,0)</f>
        <v>3</v>
      </c>
      <c r="U136" s="454" t="str">
        <f t="shared" si="271"/>
        <v>0</v>
      </c>
      <c r="V136" s="454" t="str">
        <f t="shared" si="3"/>
        <v>0</v>
      </c>
      <c r="W136" s="454" t="str">
        <f t="shared" si="272"/>
        <v>0</v>
      </c>
      <c r="X136" s="454" t="str">
        <f t="shared" si="273"/>
        <v>1</v>
      </c>
      <c r="Y136" s="456" t="str">
        <f t="shared" si="5"/>
        <v>TRUE</v>
      </c>
      <c r="Z136" s="456" t="str">
        <f t="shared" si="6"/>
        <v>TRUE</v>
      </c>
      <c r="AA136" s="457" t="str">
        <f t="shared" ref="AA136:AB136" si="274">1-I136</f>
        <v>0%</v>
      </c>
      <c r="AB136" s="457" t="str">
        <f t="shared" si="274"/>
        <v>100%</v>
      </c>
      <c r="AC136" s="456" t="str">
        <f t="shared" si="8"/>
        <v>1</v>
      </c>
      <c r="AD136" s="458" t="str">
        <f t="shared" si="275"/>
        <v>0</v>
      </c>
      <c r="AE136" s="458" t="str">
        <f t="shared" si="10"/>
        <v>0</v>
      </c>
      <c r="AF136" s="459" t="str">
        <f t="shared" si="276"/>
        <v>0</v>
      </c>
      <c r="AG136" s="460"/>
      <c r="AH136" s="587" t="s">
        <v>221</v>
      </c>
      <c r="AI136" s="499"/>
      <c r="AJ136" s="588"/>
      <c r="AK136" s="499"/>
      <c r="AL136" s="588"/>
      <c r="AM136" s="499"/>
      <c r="AN136" s="588"/>
      <c r="AO136" s="499"/>
      <c r="AP136" s="588"/>
      <c r="AQ136" s="499"/>
      <c r="AR136" s="588"/>
      <c r="AS136" s="499"/>
      <c r="AT136" s="588"/>
      <c r="AU136" s="499"/>
      <c r="AV136" s="588"/>
      <c r="AW136" s="499"/>
      <c r="AX136" s="588"/>
    </row>
    <row r="137">
      <c r="A137" s="509"/>
      <c r="B137" s="659">
        <v>8.0</v>
      </c>
      <c r="C137" s="660" t="s">
        <v>454</v>
      </c>
      <c r="D137" s="661" t="s">
        <v>23</v>
      </c>
      <c r="E137" s="662" t="s">
        <v>36</v>
      </c>
      <c r="F137" s="661" t="s">
        <v>65</v>
      </c>
      <c r="G137" s="663">
        <v>1.0</v>
      </c>
      <c r="H137" s="663">
        <v>0.0</v>
      </c>
      <c r="I137" s="664">
        <v>1.0</v>
      </c>
      <c r="J137" s="664">
        <v>1.0</v>
      </c>
      <c r="K137" s="662" t="s">
        <v>188</v>
      </c>
      <c r="L137" s="662"/>
      <c r="M137" s="662">
        <v>7.0</v>
      </c>
      <c r="N137" s="662">
        <v>7.0</v>
      </c>
      <c r="O137" s="665" t="s">
        <v>455</v>
      </c>
      <c r="P137" s="14"/>
      <c r="Q137" s="452" t="str">
        <f>MATCH($D137,Reference!$J$5:$J$9,0)</f>
        <v>5</v>
      </c>
      <c r="R137" s="452" t="str">
        <f>MATCH($E137,Reference!$J$26:$J$32,0)</f>
        <v>7</v>
      </c>
      <c r="S137" s="452" t="str">
        <f>MATCH($F137,Reference!$J$45:$J$54,0)</f>
        <v>3</v>
      </c>
      <c r="T137" s="453" t="str">
        <f>MATCH($K137,Reference!$J$37:$J$39,0)</f>
        <v>3</v>
      </c>
      <c r="U137" s="454" t="str">
        <f t="shared" si="271"/>
        <v>1</v>
      </c>
      <c r="V137" s="454" t="str">
        <f t="shared" si="3"/>
        <v>1</v>
      </c>
      <c r="W137" s="454" t="str">
        <f t="shared" si="272"/>
        <v>0</v>
      </c>
      <c r="X137" s="454" t="str">
        <f t="shared" si="273"/>
        <v>2</v>
      </c>
      <c r="Y137" s="456" t="str">
        <f t="shared" si="5"/>
        <v>FALSE</v>
      </c>
      <c r="Z137" s="456" t="str">
        <f t="shared" si="6"/>
        <v>TRUE</v>
      </c>
      <c r="AA137" s="457" t="str">
        <f t="shared" ref="AA137:AB137" si="277">1-I137</f>
        <v>0%</v>
      </c>
      <c r="AB137" s="457" t="str">
        <f t="shared" si="277"/>
        <v>0%</v>
      </c>
      <c r="AC137" s="456" t="str">
        <f t="shared" si="8"/>
        <v>1</v>
      </c>
      <c r="AD137" s="458" t="str">
        <f t="shared" si="275"/>
        <v>0</v>
      </c>
      <c r="AE137" s="458" t="str">
        <f t="shared" si="10"/>
        <v>1</v>
      </c>
      <c r="AF137" s="459" t="str">
        <f t="shared" si="276"/>
        <v>0</v>
      </c>
      <c r="AG137" s="460"/>
      <c r="AH137" s="643" t="s">
        <v>10</v>
      </c>
      <c r="AI137" s="534" t="str">
        <f t="shared" ref="AI137:AJ137" si="278">SUM(AM137+AK137+AO137+AQ137+AS137+AU137)</f>
        <v>10</v>
      </c>
      <c r="AJ137" s="535" t="str">
        <f t="shared" si="278"/>
        <v>10</v>
      </c>
      <c r="AK137" s="449" t="str">
        <f>sumifs($V$2:$V700, $E$2:$E700, "Basic", $F$2:F700, "Rogue")</f>
        <v>10</v>
      </c>
      <c r="AL137" s="537" t="str">
        <f>COUNTIFS($E$2:$E700, "Basic", $E$2:$E700, "Basic", $F$2:F700, "Rogue" )</f>
        <v>10</v>
      </c>
      <c r="AM137" s="644"/>
      <c r="AN137" s="645"/>
      <c r="AO137" s="449"/>
      <c r="AP137" s="537"/>
      <c r="AQ137" s="449"/>
      <c r="AR137" s="537"/>
      <c r="AS137" s="449"/>
      <c r="AT137" s="537"/>
      <c r="AU137" s="449"/>
      <c r="AV137" s="537"/>
      <c r="AW137" s="449"/>
      <c r="AX137" s="537"/>
    </row>
    <row r="138">
      <c r="A138" s="442"/>
      <c r="B138" s="443">
        <v>1.0</v>
      </c>
      <c r="C138" s="444" t="s">
        <v>456</v>
      </c>
      <c r="D138" s="445" t="s">
        <v>10</v>
      </c>
      <c r="E138" s="445" t="s">
        <v>10</v>
      </c>
      <c r="F138" s="445" t="s">
        <v>68</v>
      </c>
      <c r="G138" s="446" t="str">
        <f>COUNTIFS(Reference!F:F,C138,Reference!G:G,"&lt;="&amp;VLOOKUP($F138,Summary!$N$25:$O$33,2,0))</f>
        <v>2</v>
      </c>
      <c r="H138" s="447">
        <v>0.0</v>
      </c>
      <c r="I138" s="448">
        <v>1.0</v>
      </c>
      <c r="J138" s="448">
        <v>1.0</v>
      </c>
      <c r="K138" s="449" t="s">
        <v>162</v>
      </c>
      <c r="L138" s="449"/>
      <c r="M138" s="449"/>
      <c r="N138" s="449"/>
      <c r="O138" s="450" t="s">
        <v>457</v>
      </c>
      <c r="P138" s="14"/>
      <c r="Q138" s="452" t="str">
        <f>MATCH($D138,Reference!$J$5:$J$9,0)</f>
        <v>1</v>
      </c>
      <c r="R138" s="452" t="str">
        <f>MATCH($E138,Reference!$J$26:$J$32,0)</f>
        <v>1</v>
      </c>
      <c r="S138" s="452" t="str">
        <f>MATCH($F138,Reference!$J$45:$J$54,0)</f>
        <v>4</v>
      </c>
      <c r="T138" s="453" t="str">
        <f>MATCH($K138,Reference!$J$37:$J$39,0)</f>
        <v>2</v>
      </c>
      <c r="U138" s="454" t="str">
        <f t="shared" ref="U138:U179" si="281">MIN((G138+H138),2)</f>
        <v>2</v>
      </c>
      <c r="V138" s="454" t="str">
        <f t="shared" si="3"/>
        <v>1</v>
      </c>
      <c r="W138" s="455">
        <v>0.0</v>
      </c>
      <c r="X138" s="454" t="str">
        <f t="shared" ref="X138:X179" si="282">MIN((G138+H138),2)</f>
        <v>2</v>
      </c>
      <c r="Y138" s="456" t="str">
        <f t="shared" si="5"/>
        <v>FALSE</v>
      </c>
      <c r="Z138" s="456" t="str">
        <f t="shared" si="6"/>
        <v>FALSE</v>
      </c>
      <c r="AA138" s="457" t="str">
        <f t="shared" ref="AA138:AB138" si="279">1-I138</f>
        <v>0%</v>
      </c>
      <c r="AB138" s="457" t="str">
        <f t="shared" si="279"/>
        <v>0%</v>
      </c>
      <c r="AC138" s="456" t="str">
        <f t="shared" si="8"/>
        <v>2</v>
      </c>
      <c r="AD138" s="458" t="str">
        <f t="shared" ref="AD138:AD179" si="284">MIN((H138),2)</f>
        <v>0</v>
      </c>
      <c r="AE138" s="458" t="str">
        <f t="shared" si="10"/>
        <v>1</v>
      </c>
      <c r="AF138" s="459" t="str">
        <f t="shared" ref="AF138:AF147" si="285">(MIN(H138,2)+G138-U138)*0</f>
        <v>0</v>
      </c>
      <c r="AG138" s="460"/>
      <c r="AH138" s="405" t="s">
        <v>15</v>
      </c>
      <c r="AI138" s="522" t="str">
        <f t="shared" ref="AI138:AJ138" si="280">SUM(AM138+AK138+AO138+AQ138+AS138+AU138)</f>
        <v>13</v>
      </c>
      <c r="AJ138" s="544" t="str">
        <f t="shared" si="280"/>
        <v>13</v>
      </c>
      <c r="AK138" s="499" t="str">
        <f>sumifs($V$2:$V700, $D$2:$D700, "Common", $E$2:$E700, "Classic", $F$2:F700, "Rogue")</f>
        <v>6</v>
      </c>
      <c r="AL138" s="588" t="str">
        <f>COUNTIFS($D$2:$D700, "Common", $E$2:$E700, "Classic", $F$2:F700, "Rogue" )</f>
        <v>6</v>
      </c>
      <c r="AM138" s="531" t="str">
        <f>sumifs($V$2:$V700, $D$2:$D700, "Common", $E$2:$E700, "Promo", $F$2:F700, "Rogue")</f>
        <v>0</v>
      </c>
      <c r="AN138" s="647" t="str">
        <f>COUNTIFS($D$2:$D700, "Common", $E$2:$E700, "Promo", $F$2:F700, "Rogue" )</f>
        <v>0</v>
      </c>
      <c r="AO138" s="499" t="str">
        <f>sumifs($V$2:$V700, $D$2:$D700, "Common", $E$2:$E700, "Naxx", $F$2:F700, "Rogue")</f>
        <v>1</v>
      </c>
      <c r="AP138" s="588" t="str">
        <f>COUNTIFS($D$2:$D700, "Common", $E$2:$E700, "Naxx", $F$2:F700, "Rogue" )</f>
        <v>1</v>
      </c>
      <c r="AQ138" s="499" t="str">
        <f>sumifs($V$2:$V700, $D$2:$D700, "Common", $E$2:$E700, "GvG", $F$2:F700, "Rogue")</f>
        <v>2</v>
      </c>
      <c r="AR138" s="588" t="str">
        <f>COUNTIFS($D$2:$D700, "Common", $E$2:$E700, "GvG", $F$2:F700, "Rogue" )</f>
        <v>2</v>
      </c>
      <c r="AS138" s="499" t="str">
        <f>sumifs($V$2:$V700, $D$2:$D700, "Common", $E$2:$E700, "Blackrock", $F$2:F700, "Rogue")</f>
        <v>1</v>
      </c>
      <c r="AT138" s="588" t="str">
        <f>COUNTIFS($D$2:$D700, "Common", $E$2:$E700, "Blackrock", $F$2:F700, "Rogue" )</f>
        <v>1</v>
      </c>
      <c r="AU138" s="499" t="str">
        <f>sumifs($V$2:$V700, $D$2:$D700, "Common", $E$2:$E700, "TGT", $F$2:F700, "Rogue")</f>
        <v>3</v>
      </c>
      <c r="AV138" s="588" t="str">
        <f>COUNTIFS($D$2:$D700, "Common", $E$2:$E700, "TGT", $F$2:F700, "Rogue" )</f>
        <v>3</v>
      </c>
      <c r="AW138" s="531">
        <v>0.0</v>
      </c>
      <c r="AX138" s="647">
        <v>0.0</v>
      </c>
    </row>
    <row r="139">
      <c r="A139" s="442"/>
      <c r="B139" s="467">
        <v>1.0</v>
      </c>
      <c r="C139" s="468" t="s">
        <v>458</v>
      </c>
      <c r="D139" s="445" t="s">
        <v>10</v>
      </c>
      <c r="E139" s="445" t="s">
        <v>10</v>
      </c>
      <c r="F139" s="445" t="s">
        <v>68</v>
      </c>
      <c r="G139" s="446" t="str">
        <f>COUNTIFS(Reference!F:F,C139,Reference!G:G,"&lt;="&amp;VLOOKUP($F139,Summary!$N$25:$O$33,2,0))</f>
        <v>2</v>
      </c>
      <c r="H139" s="447">
        <v>0.0</v>
      </c>
      <c r="I139" s="448">
        <v>1.0</v>
      </c>
      <c r="J139" s="448">
        <v>1.0</v>
      </c>
      <c r="K139" s="449" t="s">
        <v>162</v>
      </c>
      <c r="L139" s="449"/>
      <c r="M139" s="449"/>
      <c r="N139" s="449"/>
      <c r="O139" s="450" t="s">
        <v>459</v>
      </c>
      <c r="P139" s="14"/>
      <c r="Q139" s="452" t="str">
        <f>MATCH($D139,Reference!$J$5:$J$9,0)</f>
        <v>1</v>
      </c>
      <c r="R139" s="452" t="str">
        <f>MATCH($E139,Reference!$J$26:$J$32,0)</f>
        <v>1</v>
      </c>
      <c r="S139" s="452" t="str">
        <f>MATCH($F139,Reference!$J$45:$J$54,0)</f>
        <v>4</v>
      </c>
      <c r="T139" s="453" t="str">
        <f>MATCH($K139,Reference!$J$37:$J$39,0)</f>
        <v>2</v>
      </c>
      <c r="U139" s="454" t="str">
        <f t="shared" si="281"/>
        <v>2</v>
      </c>
      <c r="V139" s="454" t="str">
        <f t="shared" si="3"/>
        <v>1</v>
      </c>
      <c r="W139" s="455">
        <v>0.0</v>
      </c>
      <c r="X139" s="454" t="str">
        <f t="shared" si="282"/>
        <v>2</v>
      </c>
      <c r="Y139" s="456" t="str">
        <f t="shared" si="5"/>
        <v>FALSE</v>
      </c>
      <c r="Z139" s="456" t="str">
        <f t="shared" si="6"/>
        <v>FALSE</v>
      </c>
      <c r="AA139" s="457" t="str">
        <f t="shared" ref="AA139:AB139" si="283">1-I139</f>
        <v>0%</v>
      </c>
      <c r="AB139" s="457" t="str">
        <f t="shared" si="283"/>
        <v>0%</v>
      </c>
      <c r="AC139" s="456" t="str">
        <f t="shared" si="8"/>
        <v>2</v>
      </c>
      <c r="AD139" s="458" t="str">
        <f t="shared" si="284"/>
        <v>0</v>
      </c>
      <c r="AE139" s="458" t="str">
        <f t="shared" si="10"/>
        <v>1</v>
      </c>
      <c r="AF139" s="459" t="str">
        <f t="shared" si="285"/>
        <v>0</v>
      </c>
      <c r="AG139" s="460"/>
      <c r="AH139" s="556" t="s">
        <v>21</v>
      </c>
      <c r="AI139" s="557" t="str">
        <f>SUM(AM140+AK139+AO139+AQ139+AS139+AU139)</f>
        <v>12</v>
      </c>
      <c r="AJ139" s="558" t="str">
        <f>SUM(AN139+AL139+AP139+AR139+AT139+AV139)</f>
        <v>12</v>
      </c>
      <c r="AK139" s="554" t="str">
        <f>sumifs($V$2:$V700, $D$2:$D700, "Rare", $E$2:$E700, "Classic", $F$2:F700, "Rogue")</f>
        <v>5</v>
      </c>
      <c r="AL139" s="656" t="str">
        <f>COUNTIFS($D$2:$D700, "Rare", $E$2:$E700, "Classic", $F$2:F700, "Rogue" )</f>
        <v>5</v>
      </c>
      <c r="AM139" s="657" t="str">
        <f>sumifs($V$2:$V700, $D$2:$D700, "Rare", $E$2:$E700, "Promo", $F$2:F700, "Rogue")</f>
        <v>0</v>
      </c>
      <c r="AN139" s="658" t="str">
        <f>COUNTIFS($D$2:$D700, "Rare", $E$2:$E700, "Promo", $F$2:F700, "Rogue" )</f>
        <v>0</v>
      </c>
      <c r="AO139" s="554" t="str">
        <f>sumifs($V$2:$V700, $D$2:$D700, "Rare", $E$2:$E700, "Naxx", $F$2:F700, "Rogue")</f>
        <v>0</v>
      </c>
      <c r="AP139" s="656" t="str">
        <f>COUNTIFS($D$2:$D700, "Rare", $E$2:$E700, "Naxx", $F$2:F700, "Rogue" )</f>
        <v>0</v>
      </c>
      <c r="AQ139" s="554" t="str">
        <f>sumifs($V$2:$V700, $D$2:$D700, "Rare", $E$2:$E700, "GvG", $F$2:F700, "Rogue")</f>
        <v>3</v>
      </c>
      <c r="AR139" s="656" t="str">
        <f>COUNTIFS($D$2:$D700, "Rare", $E$2:$E700, "GvG", $F$2:F700, "Rogue" )</f>
        <v>3</v>
      </c>
      <c r="AS139" s="554" t="str">
        <f>sumifs($V$2:$V700, $D$2:$D700, "Rare", $E$2:$E700, "Blackrock", $F$2:F700, "Rogue")</f>
        <v>1</v>
      </c>
      <c r="AT139" s="656" t="str">
        <f>COUNTIFS($D$2:$D700, "Rare", $E$2:$E700, "Blackrock", $F$2:F700, "Rogue" )</f>
        <v>1</v>
      </c>
      <c r="AU139" s="554" t="str">
        <f>sumifs($V$2:$V700, $D$2:$D700, "Rare", $E$2:$E700, "TGT", $F$2:F700, "Rogue")</f>
        <v>3</v>
      </c>
      <c r="AV139" s="656" t="str">
        <f>COUNTIFS($D$2:$D700, "Rare", $E$2:$E700, "TGT", $F$2:F700, "Rogue" )</f>
        <v>3</v>
      </c>
      <c r="AW139" s="657">
        <v>0.0</v>
      </c>
      <c r="AX139" s="658">
        <v>0.0</v>
      </c>
    </row>
    <row r="140">
      <c r="A140" s="463"/>
      <c r="B140" s="443">
        <v>1.0</v>
      </c>
      <c r="C140" s="444" t="s">
        <v>460</v>
      </c>
      <c r="D140" s="445" t="s">
        <v>10</v>
      </c>
      <c r="E140" s="445" t="s">
        <v>10</v>
      </c>
      <c r="F140" s="445" t="s">
        <v>68</v>
      </c>
      <c r="G140" s="446" t="str">
        <f>COUNTIFS(Reference!F:F,C140,Reference!G:G,"&lt;="&amp;VLOOKUP($F140,Summary!$N$25:$O$33,2,0))</f>
        <v>2</v>
      </c>
      <c r="H140" s="447">
        <v>0.0</v>
      </c>
      <c r="I140" s="448">
        <v>1.0</v>
      </c>
      <c r="J140" s="448">
        <v>1.0</v>
      </c>
      <c r="K140" s="449" t="s">
        <v>162</v>
      </c>
      <c r="L140" s="449"/>
      <c r="M140" s="449"/>
      <c r="N140" s="449"/>
      <c r="O140" s="450" t="s">
        <v>461</v>
      </c>
      <c r="P140" s="14"/>
      <c r="Q140" s="452" t="str">
        <f>MATCH($D140,Reference!$J$5:$J$9,0)</f>
        <v>1</v>
      </c>
      <c r="R140" s="452" t="str">
        <f>MATCH($E140,Reference!$J$26:$J$32,0)</f>
        <v>1</v>
      </c>
      <c r="S140" s="452" t="str">
        <f>MATCH($F140,Reference!$J$45:$J$54,0)</f>
        <v>4</v>
      </c>
      <c r="T140" s="453" t="str">
        <f>MATCH($K140,Reference!$J$37:$J$39,0)</f>
        <v>2</v>
      </c>
      <c r="U140" s="454" t="str">
        <f t="shared" si="281"/>
        <v>2</v>
      </c>
      <c r="V140" s="454" t="str">
        <f t="shared" si="3"/>
        <v>1</v>
      </c>
      <c r="W140" s="455">
        <v>0.0</v>
      </c>
      <c r="X140" s="454" t="str">
        <f t="shared" si="282"/>
        <v>2</v>
      </c>
      <c r="Y140" s="456" t="str">
        <f t="shared" si="5"/>
        <v>FALSE</v>
      </c>
      <c r="Z140" s="456" t="str">
        <f t="shared" si="6"/>
        <v>FALSE</v>
      </c>
      <c r="AA140" s="457" t="str">
        <f t="shared" ref="AA140:AB140" si="286">1-I140</f>
        <v>0%</v>
      </c>
      <c r="AB140" s="457" t="str">
        <f t="shared" si="286"/>
        <v>0%</v>
      </c>
      <c r="AC140" s="456" t="str">
        <f t="shared" si="8"/>
        <v>2</v>
      </c>
      <c r="AD140" s="458" t="str">
        <f t="shared" si="284"/>
        <v>0</v>
      </c>
      <c r="AE140" s="458" t="str">
        <f t="shared" si="10"/>
        <v>1</v>
      </c>
      <c r="AF140" s="459" t="str">
        <f t="shared" si="285"/>
        <v>0</v>
      </c>
      <c r="AG140" s="460"/>
      <c r="AH140" s="567" t="s">
        <v>22</v>
      </c>
      <c r="AI140" s="568" t="str">
        <f t="shared" ref="AI140:AJ140" si="287">SUM(AM140+AK140+AO140+AQ140+AS140+AU140)</f>
        <v>5</v>
      </c>
      <c r="AJ140" s="569" t="str">
        <f t="shared" si="287"/>
        <v>7</v>
      </c>
      <c r="AK140" s="641" t="str">
        <f>sumifs($V$2:$V700, $D$2:$D700, "Epic", $E$2:$E700, "Classic", $F$2:F700, "Rogue")</f>
        <v>2</v>
      </c>
      <c r="AL140" s="666" t="str">
        <f>COUNTIFS($D$2:$D700, "Epic", $E$2:$E700, "Classic", $F$2:F700, "Rogue" )</f>
        <v>3</v>
      </c>
      <c r="AM140" s="667" t="str">
        <f>sumifs($V$2:$V700, $D$2:$D700, "Epic", $E$2:$E700, "Promo", $F$2:F700, "Rogue")</f>
        <v>0</v>
      </c>
      <c r="AN140" s="668" t="str">
        <f>COUNTIFS($D$2:$D700, "Epic", $E$2:$E700, "Promo", $F$2:F700, "Rogue" )</f>
        <v>0</v>
      </c>
      <c r="AO140" s="641" t="str">
        <f>sumifs($V$2:$V700, $D$2:$D700, "Epic", $E$2:$E700, "Naxx", $F$2:F700, "Rogue")</f>
        <v>0</v>
      </c>
      <c r="AP140" s="666" t="str">
        <f>COUNTIFS($D$2:$D700, "Epic", $E$2:$E700, "Naxx", $F$2:F700, "Rogue" )</f>
        <v>0</v>
      </c>
      <c r="AQ140" s="641" t="str">
        <f>sumifs($V$2:$V700, $D$2:$D700, "Epic", $E$2:$E700, "GvG", $F$2:F700, "Rogue")</f>
        <v>2</v>
      </c>
      <c r="AR140" s="666" t="str">
        <f>COUNTIFS($D$2:$D700, "Epic", $E$2:$E700, "GvG", $F$2:F700, "Rogue" )</f>
        <v>2</v>
      </c>
      <c r="AS140" s="641" t="str">
        <f>sumifs($V$2:$V700, $D$2:$D700, "Epic", $E$2:$E700, "Blackrock", $F$2:F700, "Rogue")</f>
        <v>0</v>
      </c>
      <c r="AT140" s="666" t="str">
        <f>COUNTIFS($D$2:$D700, "Epic", $E$2:$E700, "Blackrock", $F$2:F700, "Rogue" )</f>
        <v>0</v>
      </c>
      <c r="AU140" s="641" t="str">
        <f>sumifs($V$2:$V700, $D$2:$D700, "Epic", $E$2:$E700, "TGT", $F$2:F700, "Rogue")</f>
        <v>1</v>
      </c>
      <c r="AV140" s="666" t="str">
        <f>COUNTIFS($D$2:$D700, "Epic", $E$2:$E700, "TGT", $F$2:F700, "Rogue" )</f>
        <v>2</v>
      </c>
      <c r="AW140" s="667">
        <v>0.0</v>
      </c>
      <c r="AX140" s="668">
        <v>0.0</v>
      </c>
    </row>
    <row r="141">
      <c r="A141" s="469"/>
      <c r="B141" s="443">
        <v>1.0</v>
      </c>
      <c r="C141" s="444" t="s">
        <v>462</v>
      </c>
      <c r="D141" s="445" t="s">
        <v>10</v>
      </c>
      <c r="E141" s="445" t="s">
        <v>10</v>
      </c>
      <c r="F141" s="445" t="s">
        <v>68</v>
      </c>
      <c r="G141" s="446" t="str">
        <f>COUNTIFS(Reference!F:F,C141,Reference!G:G,"&lt;="&amp;VLOOKUP($F141,Summary!$N$25:$O$33,2,0))</f>
        <v>2</v>
      </c>
      <c r="H141" s="447">
        <v>0.0</v>
      </c>
      <c r="I141" s="448">
        <v>1.0</v>
      </c>
      <c r="J141" s="448">
        <v>1.0</v>
      </c>
      <c r="K141" s="449" t="s">
        <v>304</v>
      </c>
      <c r="L141" s="449"/>
      <c r="M141" s="449">
        <v>1.0</v>
      </c>
      <c r="N141" s="449">
        <v>4.0</v>
      </c>
      <c r="O141" s="450"/>
      <c r="P141" s="14"/>
      <c r="Q141" s="452" t="str">
        <f>MATCH($D141,Reference!$J$5:$J$9,0)</f>
        <v>1</v>
      </c>
      <c r="R141" s="452" t="str">
        <f>MATCH($E141,Reference!$J$26:$J$32,0)</f>
        <v>1</v>
      </c>
      <c r="S141" s="452" t="str">
        <f>MATCH($F141,Reference!$J$45:$J$54,0)</f>
        <v>4</v>
      </c>
      <c r="T141" s="453" t="str">
        <f>MATCH($K141,Reference!$J$37:$J$39,0)</f>
        <v>1</v>
      </c>
      <c r="U141" s="454" t="str">
        <f t="shared" si="281"/>
        <v>2</v>
      </c>
      <c r="V141" s="454" t="str">
        <f t="shared" si="3"/>
        <v>1</v>
      </c>
      <c r="W141" s="455">
        <v>0.0</v>
      </c>
      <c r="X141" s="454" t="str">
        <f t="shared" si="282"/>
        <v>2</v>
      </c>
      <c r="Y141" s="456" t="str">
        <f t="shared" si="5"/>
        <v>FALSE</v>
      </c>
      <c r="Z141" s="456" t="str">
        <f t="shared" si="6"/>
        <v>FALSE</v>
      </c>
      <c r="AA141" s="457" t="str">
        <f t="shared" ref="AA141:AB141" si="288">1-I141</f>
        <v>0%</v>
      </c>
      <c r="AB141" s="457" t="str">
        <f t="shared" si="288"/>
        <v>0%</v>
      </c>
      <c r="AC141" s="456" t="str">
        <f t="shared" si="8"/>
        <v>2</v>
      </c>
      <c r="AD141" s="458" t="str">
        <f t="shared" si="284"/>
        <v>0</v>
      </c>
      <c r="AE141" s="458" t="str">
        <f t="shared" si="10"/>
        <v>1</v>
      </c>
      <c r="AF141" s="459" t="str">
        <f t="shared" si="285"/>
        <v>0</v>
      </c>
      <c r="AG141" s="460"/>
      <c r="AH141" s="583" t="s">
        <v>23</v>
      </c>
      <c r="AI141" s="584" t="str">
        <f t="shared" ref="AI141:AJ141" si="289">SUM(AM141+AK141+AO141+AQ141+AS141+AU141)</f>
        <v>0</v>
      </c>
      <c r="AJ141" s="585" t="str">
        <f t="shared" si="289"/>
        <v>3</v>
      </c>
      <c r="AK141" s="677" t="str">
        <f>sumifs($V$2:$V700, $D$2:$D700, "Legendary", $E$2:$E700, "Classic", $F$2:F700, "Rogue")</f>
        <v>0</v>
      </c>
      <c r="AL141" s="678" t="str">
        <f>COUNTIFS($D$2:$D700, "Legendary", $E$2:$E700, "Classic", $F$2:F700, "Rogue" )</f>
        <v>1</v>
      </c>
      <c r="AM141" s="679" t="str">
        <f>sumifs($V$2:$V700, $D$2:$D700, "Legendary", $E$2:$E700, "Promo", $F$2:F700, "Rogue")</f>
        <v>0</v>
      </c>
      <c r="AN141" s="680" t="str">
        <f>COUNTIFS($D$2:$D700, "Legendary", $E$2:$E700, "Promo", $F$2:F700, "Rogue" )</f>
        <v>0</v>
      </c>
      <c r="AO141" s="677" t="str">
        <f>sumifs($V$2:$V700, $D$2:$D700, "Legendary", $E$2:$E700, "Naxx", $F$2:F700, "Rogue")</f>
        <v>0</v>
      </c>
      <c r="AP141" s="678" t="str">
        <f>COUNTIFS($D$2:$D700, "Legendary", $E$2:$E700, "Naxx", $F$2:F700, "Rogue" )</f>
        <v>0</v>
      </c>
      <c r="AQ141" s="677" t="str">
        <f>sumifs($V$2:$V700, $D$2:$D700, "Legendary", $E$2:$E700, "GvG", $F$2:F700, "Rogue")</f>
        <v>0</v>
      </c>
      <c r="AR141" s="678" t="str">
        <f>COUNTIFS($D$2:$D700, "Legendary", $E$2:$E700, "GvG", $F$2:F700, "Rogue" )</f>
        <v>1</v>
      </c>
      <c r="AS141" s="677" t="str">
        <f>sumifs($V$2:$V700, $D$2:$D700, "Legendary", $E$2:$E700, "Blackrock", $F$2:F700, "Rogue")</f>
        <v>0</v>
      </c>
      <c r="AT141" s="678" t="str">
        <f>COUNTIFS($D$2:$D700, "Legendary", $E$2:$E700, "Blackrock", $F$2:F700, "Rogue" )</f>
        <v>0</v>
      </c>
      <c r="AU141" s="677" t="str">
        <f>sumifs($V$2:$V700, $D$2:$D700, "Legendary", $E$2:$E700, "TGT", $F$2:F700, "Rogue")</f>
        <v>0</v>
      </c>
      <c r="AV141" s="678" t="str">
        <f>COUNTIFS($D$2:$D700, "Legendary", $E$2:$E700, "TGT", $F$2:F700, "Rogue" )</f>
        <v>1</v>
      </c>
      <c r="AW141" s="679">
        <v>0.0</v>
      </c>
      <c r="AX141" s="680">
        <v>0.0</v>
      </c>
    </row>
    <row r="142">
      <c r="A142" s="469"/>
      <c r="B142" s="443">
        <v>2.0</v>
      </c>
      <c r="C142" s="444" t="s">
        <v>463</v>
      </c>
      <c r="D142" s="445" t="s">
        <v>10</v>
      </c>
      <c r="E142" s="445" t="s">
        <v>10</v>
      </c>
      <c r="F142" s="445" t="s">
        <v>68</v>
      </c>
      <c r="G142" s="446" t="str">
        <f>COUNTIFS(Reference!F:F,C142,Reference!G:G,"&lt;="&amp;VLOOKUP($F142,Summary!$N$25:$O$33,2,0))</f>
        <v>2</v>
      </c>
      <c r="H142" s="447">
        <v>1.0</v>
      </c>
      <c r="I142" s="448">
        <v>1.0</v>
      </c>
      <c r="J142" s="448">
        <v>1.0</v>
      </c>
      <c r="K142" s="449" t="s">
        <v>162</v>
      </c>
      <c r="L142" s="449"/>
      <c r="M142" s="449"/>
      <c r="N142" s="449"/>
      <c r="O142" s="450" t="s">
        <v>464</v>
      </c>
      <c r="P142" s="14"/>
      <c r="Q142" s="452" t="str">
        <f>MATCH($D142,Reference!$J$5:$J$9,0)</f>
        <v>1</v>
      </c>
      <c r="R142" s="452" t="str">
        <f>MATCH($E142,Reference!$J$26:$J$32,0)</f>
        <v>1</v>
      </c>
      <c r="S142" s="452" t="str">
        <f>MATCH($F142,Reference!$J$45:$J$54,0)</f>
        <v>4</v>
      </c>
      <c r="T142" s="453" t="str">
        <f>MATCH($K142,Reference!$J$37:$J$39,0)</f>
        <v>2</v>
      </c>
      <c r="U142" s="454" t="str">
        <f t="shared" si="281"/>
        <v>2</v>
      </c>
      <c r="V142" s="454" t="str">
        <f t="shared" si="3"/>
        <v>1</v>
      </c>
      <c r="W142" s="455">
        <v>0.0</v>
      </c>
      <c r="X142" s="454" t="str">
        <f t="shared" si="282"/>
        <v>2</v>
      </c>
      <c r="Y142" s="456" t="str">
        <f t="shared" si="5"/>
        <v>FALSE</v>
      </c>
      <c r="Z142" s="456" t="str">
        <f t="shared" si="6"/>
        <v>FALSE</v>
      </c>
      <c r="AA142" s="457" t="str">
        <f t="shared" ref="AA142:AB142" si="290">1-I142</f>
        <v>0%</v>
      </c>
      <c r="AB142" s="457" t="str">
        <f t="shared" si="290"/>
        <v>0%</v>
      </c>
      <c r="AC142" s="456" t="str">
        <f t="shared" si="8"/>
        <v>2</v>
      </c>
      <c r="AD142" s="458" t="str">
        <f t="shared" si="284"/>
        <v>1</v>
      </c>
      <c r="AE142" s="458" t="str">
        <f t="shared" si="10"/>
        <v>1</v>
      </c>
      <c r="AF142" s="459" t="str">
        <f t="shared" si="285"/>
        <v>0</v>
      </c>
      <c r="AG142" s="460"/>
      <c r="AH142" s="587" t="s">
        <v>234</v>
      </c>
      <c r="AI142" s="499"/>
      <c r="AJ142" s="588"/>
      <c r="AK142" s="499"/>
      <c r="AL142" s="588"/>
      <c r="AM142" s="499"/>
      <c r="AN142" s="588"/>
      <c r="AO142" s="499"/>
      <c r="AP142" s="588"/>
      <c r="AQ142" s="499"/>
      <c r="AR142" s="588"/>
      <c r="AS142" s="499"/>
      <c r="AT142" s="588"/>
      <c r="AU142" s="499"/>
      <c r="AV142" s="588"/>
      <c r="AW142" s="499"/>
      <c r="AX142" s="588"/>
    </row>
    <row r="143">
      <c r="A143" s="442"/>
      <c r="B143" s="467">
        <v>4.0</v>
      </c>
      <c r="C143" s="468" t="s">
        <v>465</v>
      </c>
      <c r="D143" s="445" t="s">
        <v>10</v>
      </c>
      <c r="E143" s="445" t="s">
        <v>10</v>
      </c>
      <c r="F143" s="445" t="s">
        <v>68</v>
      </c>
      <c r="G143" s="446" t="str">
        <f>COUNTIFS(Reference!F:F,C143,Reference!G:G,"&lt;="&amp;VLOOKUP($F143,Summary!$N$25:$O$33,2,0))</f>
        <v>2</v>
      </c>
      <c r="H143" s="447">
        <v>0.0</v>
      </c>
      <c r="I143" s="448">
        <v>1.0</v>
      </c>
      <c r="J143" s="448">
        <v>1.0</v>
      </c>
      <c r="K143" s="449" t="s">
        <v>162</v>
      </c>
      <c r="L143" s="449"/>
      <c r="M143" s="449"/>
      <c r="N143" s="449"/>
      <c r="O143" s="450" t="s">
        <v>466</v>
      </c>
      <c r="P143" s="14"/>
      <c r="Q143" s="452" t="str">
        <f>MATCH($D143,Reference!$J$5:$J$9,0)</f>
        <v>1</v>
      </c>
      <c r="R143" s="452" t="str">
        <f>MATCH($E143,Reference!$J$26:$J$32,0)</f>
        <v>1</v>
      </c>
      <c r="S143" s="452" t="str">
        <f>MATCH($F143,Reference!$J$45:$J$54,0)</f>
        <v>4</v>
      </c>
      <c r="T143" s="453" t="str">
        <f>MATCH($K143,Reference!$J$37:$J$39,0)</f>
        <v>2</v>
      </c>
      <c r="U143" s="454" t="str">
        <f t="shared" si="281"/>
        <v>2</v>
      </c>
      <c r="V143" s="454" t="str">
        <f t="shared" si="3"/>
        <v>1</v>
      </c>
      <c r="W143" s="455">
        <v>0.0</v>
      </c>
      <c r="X143" s="454" t="str">
        <f t="shared" si="282"/>
        <v>2</v>
      </c>
      <c r="Y143" s="456" t="str">
        <f t="shared" si="5"/>
        <v>FALSE</v>
      </c>
      <c r="Z143" s="456" t="str">
        <f t="shared" si="6"/>
        <v>FALSE</v>
      </c>
      <c r="AA143" s="457" t="str">
        <f t="shared" ref="AA143:AB143" si="291">1-I143</f>
        <v>0%</v>
      </c>
      <c r="AB143" s="457" t="str">
        <f t="shared" si="291"/>
        <v>0%</v>
      </c>
      <c r="AC143" s="456" t="str">
        <f t="shared" si="8"/>
        <v>2</v>
      </c>
      <c r="AD143" s="458" t="str">
        <f t="shared" si="284"/>
        <v>0</v>
      </c>
      <c r="AE143" s="458" t="str">
        <f t="shared" si="10"/>
        <v>1</v>
      </c>
      <c r="AF143" s="459" t="str">
        <f t="shared" si="285"/>
        <v>0</v>
      </c>
      <c r="AG143" s="460"/>
      <c r="AH143" s="643" t="s">
        <v>10</v>
      </c>
      <c r="AI143" s="534" t="str">
        <f t="shared" ref="AI143:AJ143" si="292">SUM(AM143+AK143+AO143+AQ143+AS143+AU143)</f>
        <v>20</v>
      </c>
      <c r="AJ143" s="535" t="str">
        <f t="shared" si="292"/>
        <v>20</v>
      </c>
      <c r="AK143" s="449" t="str">
        <f>sumifs($U$2:$U700, $E$2:$E700, "Basic", $F$2:F700, "Rogue")</f>
        <v>20</v>
      </c>
      <c r="AL143" s="535" t="str">
        <f>COUNTIFS($E$2:$E700, "Basic", $F$2:F700, "Rogue" )*2</f>
        <v>20</v>
      </c>
      <c r="AM143" s="449"/>
      <c r="AN143" s="537"/>
      <c r="AO143" s="449"/>
      <c r="AP143" s="537"/>
      <c r="AQ143" s="449"/>
      <c r="AR143" s="537"/>
      <c r="AS143" s="449"/>
      <c r="AT143" s="537"/>
      <c r="AU143" s="449"/>
      <c r="AV143" s="537"/>
      <c r="AW143" s="449"/>
      <c r="AX143" s="537"/>
    </row>
    <row r="144">
      <c r="A144" s="466"/>
      <c r="B144" s="467">
        <v>4.0</v>
      </c>
      <c r="C144" s="468" t="s">
        <v>467</v>
      </c>
      <c r="D144" s="445" t="s">
        <v>10</v>
      </c>
      <c r="E144" s="445" t="s">
        <v>10</v>
      </c>
      <c r="F144" s="445" t="s">
        <v>68</v>
      </c>
      <c r="G144" s="446" t="str">
        <f>COUNTIFS(Reference!F:F,C144,Reference!G:G,"&lt;="&amp;VLOOKUP($F144,Summary!$N$25:$O$33,2,0))</f>
        <v>2</v>
      </c>
      <c r="H144" s="447">
        <v>0.0</v>
      </c>
      <c r="I144" s="448">
        <v>1.0</v>
      </c>
      <c r="J144" s="448">
        <v>1.0</v>
      </c>
      <c r="K144" s="449" t="s">
        <v>162</v>
      </c>
      <c r="L144" s="449"/>
      <c r="M144" s="449"/>
      <c r="N144" s="449"/>
      <c r="O144" s="450" t="s">
        <v>468</v>
      </c>
      <c r="P144" s="14"/>
      <c r="Q144" s="452" t="str">
        <f>MATCH($D144,Reference!$J$5:$J$9,0)</f>
        <v>1</v>
      </c>
      <c r="R144" s="452" t="str">
        <f>MATCH($E144,Reference!$J$26:$J$32,0)</f>
        <v>1</v>
      </c>
      <c r="S144" s="452" t="str">
        <f>MATCH($F144,Reference!$J$45:$J$54,0)</f>
        <v>4</v>
      </c>
      <c r="T144" s="453" t="str">
        <f>MATCH($K144,Reference!$J$37:$J$39,0)</f>
        <v>2</v>
      </c>
      <c r="U144" s="454" t="str">
        <f t="shared" si="281"/>
        <v>2</v>
      </c>
      <c r="V144" s="454" t="str">
        <f t="shared" si="3"/>
        <v>1</v>
      </c>
      <c r="W144" s="455">
        <v>0.0</v>
      </c>
      <c r="X144" s="454" t="str">
        <f t="shared" si="282"/>
        <v>2</v>
      </c>
      <c r="Y144" s="456" t="str">
        <f t="shared" si="5"/>
        <v>FALSE</v>
      </c>
      <c r="Z144" s="456" t="str">
        <f t="shared" si="6"/>
        <v>FALSE</v>
      </c>
      <c r="AA144" s="457" t="str">
        <f t="shared" ref="AA144:AB144" si="293">1-I144</f>
        <v>0%</v>
      </c>
      <c r="AB144" s="457" t="str">
        <f t="shared" si="293"/>
        <v>0%</v>
      </c>
      <c r="AC144" s="456" t="str">
        <f t="shared" si="8"/>
        <v>2</v>
      </c>
      <c r="AD144" s="458" t="str">
        <f t="shared" si="284"/>
        <v>0</v>
      </c>
      <c r="AE144" s="458" t="str">
        <f t="shared" si="10"/>
        <v>1</v>
      </c>
      <c r="AF144" s="459" t="str">
        <f t="shared" si="285"/>
        <v>0</v>
      </c>
      <c r="AG144" s="460"/>
      <c r="AH144" s="591" t="s">
        <v>15</v>
      </c>
      <c r="AI144" s="522" t="str">
        <f t="shared" ref="AI144:AJ144" si="294">SUM(AM144+AK144+AO144+AQ144+AS144+AU144)</f>
        <v>26</v>
      </c>
      <c r="AJ144" s="544" t="str">
        <f t="shared" si="294"/>
        <v>26</v>
      </c>
      <c r="AK144" s="499" t="str">
        <f>sumifs($U$2:$U700, $D$2:$D700, "Common", $E$2:$E700, "Classic", $F$2:F700, "Rogue")</f>
        <v>12</v>
      </c>
      <c r="AL144" s="544" t="str">
        <f>COUNTIFS($D$2:$D700, "Common", $E$2:$E700, "Classic", $F$2:F700, "Rogue" )*2</f>
        <v>12</v>
      </c>
      <c r="AM144" s="531" t="str">
        <f>sumifs($U$2:$U700, $D$2:$D700, "Common", $E$2:$E700, "Promo", $F$2:F700, "Rogue")</f>
        <v>0</v>
      </c>
      <c r="AN144" s="647" t="str">
        <f>COUNTIFS($D$2:$D700, "Common", $E$2:$E700, "Promo", $F$2:F700, "Rogue" )*2</f>
        <v>0</v>
      </c>
      <c r="AO144" s="499" t="str">
        <f>sumifs($U$2:$U700, $D$2:$D700, "Common", $E$2:$E700, "Naxx", $F$2:F700, "Rogue")</f>
        <v>2</v>
      </c>
      <c r="AP144" s="544" t="str">
        <f>COUNTIFS($D$2:$D700, "Common", $E$2:$E700, "Naxx", $F$2:F700, "Rogue" )*2</f>
        <v>2</v>
      </c>
      <c r="AQ144" s="499" t="str">
        <f>sumifs($U$2:$U700, $D$2:$D700, "Common", $E$2:$E700, "GvG", $F$2:F700, "Rogue")</f>
        <v>4</v>
      </c>
      <c r="AR144" s="544" t="str">
        <f>COUNTIFS($D$2:$D700, "Common", $E$2:$E700, "GvG", $F$2:F700, "Rogue" )*2</f>
        <v>4</v>
      </c>
      <c r="AS144" s="499" t="str">
        <f>sumifs($U$2:$U700, $D$2:$D700, "Common", $E$2:$E700, "Blackrock", $F$2:F700, "Rogue")</f>
        <v>2</v>
      </c>
      <c r="AT144" s="544" t="str">
        <f>COUNTIFS($D$2:$D700, "Common", $E$2:$E700, "Blackrock", $F$2:F700, "Rogue" )*2</f>
        <v>2</v>
      </c>
      <c r="AU144" s="499" t="str">
        <f>sumifs($U$2:$U700, $D$2:$D700, "Common", $E$2:$E700, "TGT", $F$2:F700, "Rogue")</f>
        <v>6</v>
      </c>
      <c r="AV144" s="544" t="str">
        <f>COUNTIFS($D$2:$D700, "Common", $E$2:$E700, "TGT", $F$2:F700, "Rogue" )*2</f>
        <v>6</v>
      </c>
      <c r="AW144" s="531">
        <v>0.0</v>
      </c>
      <c r="AX144" s="647">
        <v>0.0</v>
      </c>
    </row>
    <row r="145">
      <c r="A145" s="463"/>
      <c r="B145" s="467">
        <v>4.0</v>
      </c>
      <c r="C145" s="468" t="s">
        <v>469</v>
      </c>
      <c r="D145" s="445" t="s">
        <v>10</v>
      </c>
      <c r="E145" s="445" t="s">
        <v>10</v>
      </c>
      <c r="F145" s="445" t="s">
        <v>68</v>
      </c>
      <c r="G145" s="446" t="str">
        <f>COUNTIFS(Reference!F:F,C145,Reference!G:G,"&lt;="&amp;VLOOKUP($F145,Summary!$N$25:$O$33,2,0))</f>
        <v>2</v>
      </c>
      <c r="H145" s="447">
        <v>0.0</v>
      </c>
      <c r="I145" s="448">
        <v>1.0</v>
      </c>
      <c r="J145" s="448">
        <v>1.0</v>
      </c>
      <c r="K145" s="449" t="s">
        <v>162</v>
      </c>
      <c r="L145" s="449"/>
      <c r="M145" s="449"/>
      <c r="N145" s="449"/>
      <c r="O145" s="450" t="s">
        <v>470</v>
      </c>
      <c r="P145" s="14"/>
      <c r="Q145" s="452" t="str">
        <f>MATCH($D145,Reference!$J$5:$J$9,0)</f>
        <v>1</v>
      </c>
      <c r="R145" s="452" t="str">
        <f>MATCH($E145,Reference!$J$26:$J$32,0)</f>
        <v>1</v>
      </c>
      <c r="S145" s="452" t="str">
        <f>MATCH($F145,Reference!$J$45:$J$54,0)</f>
        <v>4</v>
      </c>
      <c r="T145" s="453" t="str">
        <f>MATCH($K145,Reference!$J$37:$J$39,0)</f>
        <v>2</v>
      </c>
      <c r="U145" s="454" t="str">
        <f t="shared" si="281"/>
        <v>2</v>
      </c>
      <c r="V145" s="454" t="str">
        <f t="shared" si="3"/>
        <v>1</v>
      </c>
      <c r="W145" s="455">
        <v>0.0</v>
      </c>
      <c r="X145" s="454" t="str">
        <f t="shared" si="282"/>
        <v>2</v>
      </c>
      <c r="Y145" s="456" t="str">
        <f t="shared" si="5"/>
        <v>FALSE</v>
      </c>
      <c r="Z145" s="456" t="str">
        <f t="shared" si="6"/>
        <v>FALSE</v>
      </c>
      <c r="AA145" s="457" t="str">
        <f t="shared" ref="AA145:AB145" si="295">1-I145</f>
        <v>0%</v>
      </c>
      <c r="AB145" s="457" t="str">
        <f t="shared" si="295"/>
        <v>0%</v>
      </c>
      <c r="AC145" s="456" t="str">
        <f t="shared" si="8"/>
        <v>2</v>
      </c>
      <c r="AD145" s="458" t="str">
        <f t="shared" si="284"/>
        <v>0</v>
      </c>
      <c r="AE145" s="458" t="str">
        <f t="shared" si="10"/>
        <v>1</v>
      </c>
      <c r="AF145" s="459" t="str">
        <f t="shared" si="285"/>
        <v>0</v>
      </c>
      <c r="AG145" s="460"/>
      <c r="AH145" s="592" t="s">
        <v>21</v>
      </c>
      <c r="AI145" s="557" t="str">
        <f t="shared" ref="AI145:AJ145" si="296">SUM(AM145+AK145+AO145+AQ145+AS145+AU145)</f>
        <v>23</v>
      </c>
      <c r="AJ145" s="558" t="str">
        <f t="shared" si="296"/>
        <v>24</v>
      </c>
      <c r="AK145" s="554" t="str">
        <f>sumifs($U$2:$U700, $D$2:$D700, "Rare", $E$2:$E700, "Classic", $F$2:F700, "Rogue")</f>
        <v>10</v>
      </c>
      <c r="AL145" s="558" t="str">
        <f>COUNTIFS($D$2:$D700, "Rare", $E$2:$E700, "Classic", $F$2:F700, "Rogue" )*2</f>
        <v>10</v>
      </c>
      <c r="AM145" s="657" t="str">
        <f>sumifs($U$2:$U700, $D$2:$D700, "Rare", $E$2:$E700, "Promo", $F$2:F700, "Rogue")</f>
        <v>0</v>
      </c>
      <c r="AN145" s="658" t="str">
        <f>COUNTIFS($D$2:$D700, "Rare", $E$2:$E700, "Promo", $F$2:F700, "Rogue" )*2</f>
        <v>0</v>
      </c>
      <c r="AO145" s="554" t="str">
        <f>sumifs($U$2:$U700, $D$2:$D700, "Rare", $E$2:$E700, "Naxx", $F$2:F700, "Rogue")</f>
        <v>0</v>
      </c>
      <c r="AP145" s="558" t="str">
        <f>COUNTIFS($D$2:$D700, "Rare", $E$2:$E700, "Naxx", $F$2:F700, "Rogue" )*2</f>
        <v>0</v>
      </c>
      <c r="AQ145" s="554" t="str">
        <f>sumifs($U$2:$U700, $D$2:$D700, "Rare", $E$2:$E700, "GvG", $F$2:F700, "Rogue")</f>
        <v>5</v>
      </c>
      <c r="AR145" s="558" t="str">
        <f>COUNTIFS($D$2:$D700, "Rare", $E$2:$E700, "GvG", $F$2:F700, "Rogue" )*2</f>
        <v>6</v>
      </c>
      <c r="AS145" s="554" t="str">
        <f>sumifs($U$2:$U700, $D$2:$D700, "Rare", $E$2:$E700, "Blackrock", $F$2:F700, "Rogue")</f>
        <v>2</v>
      </c>
      <c r="AT145" s="558" t="str">
        <f>COUNTIFS($D$2:$D700, "Rare", $E$2:$E700, "Blackrock", $F$2:F700, "Rogue" )*2</f>
        <v>2</v>
      </c>
      <c r="AU145" s="554" t="str">
        <f>sumifs($U$2:$U700, $D$2:$D700, "Rare", $E$2:$E700, "TGT", $F$2:F700, "Rogue")</f>
        <v>6</v>
      </c>
      <c r="AV145" s="558" t="str">
        <f>COUNTIFS($D$2:$D700, "Rare", $E$2:$E700, "TGT", $F$2:F700, "Rogue" )*2</f>
        <v>6</v>
      </c>
      <c r="AW145" s="657">
        <v>0.0</v>
      </c>
      <c r="AX145" s="658">
        <v>0.0</v>
      </c>
    </row>
    <row r="146">
      <c r="A146" s="463"/>
      <c r="B146" s="443">
        <v>4.0</v>
      </c>
      <c r="C146" s="444" t="s">
        <v>471</v>
      </c>
      <c r="D146" s="445" t="s">
        <v>10</v>
      </c>
      <c r="E146" s="445" t="s">
        <v>10</v>
      </c>
      <c r="F146" s="445" t="s">
        <v>68</v>
      </c>
      <c r="G146" s="446" t="str">
        <f>COUNTIFS(Reference!F:F,C146,Reference!G:G,"&lt;="&amp;VLOOKUP($F146,Summary!$N$25:$O$33,2,0))</f>
        <v>2</v>
      </c>
      <c r="H146" s="447">
        <v>0.0</v>
      </c>
      <c r="I146" s="448">
        <v>1.0</v>
      </c>
      <c r="J146" s="448">
        <v>1.0</v>
      </c>
      <c r="K146" s="449" t="s">
        <v>304</v>
      </c>
      <c r="L146" s="449"/>
      <c r="M146" s="449">
        <v>4.0</v>
      </c>
      <c r="N146" s="449">
        <v>2.0</v>
      </c>
      <c r="O146" s="450" t="s">
        <v>472</v>
      </c>
      <c r="P146" s="14"/>
      <c r="Q146" s="452" t="str">
        <f>MATCH($D146,Reference!$J$5:$J$9,0)</f>
        <v>1</v>
      </c>
      <c r="R146" s="452" t="str">
        <f>MATCH($E146,Reference!$J$26:$J$32,0)</f>
        <v>1</v>
      </c>
      <c r="S146" s="452" t="str">
        <f>MATCH($F146,Reference!$J$45:$J$54,0)</f>
        <v>4</v>
      </c>
      <c r="T146" s="453" t="str">
        <f>MATCH($K146,Reference!$J$37:$J$39,0)</f>
        <v>1</v>
      </c>
      <c r="U146" s="454" t="str">
        <f t="shared" si="281"/>
        <v>2</v>
      </c>
      <c r="V146" s="454" t="str">
        <f t="shared" si="3"/>
        <v>1</v>
      </c>
      <c r="W146" s="455">
        <v>0.0</v>
      </c>
      <c r="X146" s="454" t="str">
        <f t="shared" si="282"/>
        <v>2</v>
      </c>
      <c r="Y146" s="456" t="str">
        <f t="shared" si="5"/>
        <v>FALSE</v>
      </c>
      <c r="Z146" s="456" t="str">
        <f t="shared" si="6"/>
        <v>FALSE</v>
      </c>
      <c r="AA146" s="457" t="str">
        <f t="shared" ref="AA146:AB146" si="297">1-I146</f>
        <v>0%</v>
      </c>
      <c r="AB146" s="457" t="str">
        <f t="shared" si="297"/>
        <v>0%</v>
      </c>
      <c r="AC146" s="456" t="str">
        <f t="shared" si="8"/>
        <v>2</v>
      </c>
      <c r="AD146" s="458" t="str">
        <f t="shared" si="284"/>
        <v>0</v>
      </c>
      <c r="AE146" s="458" t="str">
        <f t="shared" si="10"/>
        <v>1</v>
      </c>
      <c r="AF146" s="459" t="str">
        <f t="shared" si="285"/>
        <v>0</v>
      </c>
      <c r="AG146" s="460"/>
      <c r="AH146" s="593" t="s">
        <v>22</v>
      </c>
      <c r="AI146" s="568" t="str">
        <f t="shared" ref="AI146:AJ146" si="298">SUM(AM146+AK146+AO146+AQ146+AS146+AU146)</f>
        <v>7</v>
      </c>
      <c r="AJ146" s="569" t="str">
        <f t="shared" si="298"/>
        <v>14</v>
      </c>
      <c r="AK146" s="641" t="str">
        <f>sumifs($U$2:$U700, $D$2:$D700, "Epic", $E$2:$E700, "Classic", $F$2:F700, "Rogue")</f>
        <v>3</v>
      </c>
      <c r="AL146" s="569" t="str">
        <f>COUNTIFS($D$2:$D700, "Epic", $E$2:$E700, "Classic", $F$2:F700, "Rogue" )*2</f>
        <v>6</v>
      </c>
      <c r="AM146" s="667" t="str">
        <f>sumifs($U$2:$U700, $D$2:$D700, "Epic", $E$2:$E700, "Promo", $F$2:F700, "Rogue")</f>
        <v>0</v>
      </c>
      <c r="AN146" s="668" t="str">
        <f>COUNTIFS($D$2:$D700, "Epic", $E$2:$E700, "Promo", $F$2:F700, "Rogue" )*2</f>
        <v>0</v>
      </c>
      <c r="AO146" s="641" t="str">
        <f>sumifs($U$2:$U700, $D$2:$D700, "Epic", $E$2:$E700, "Naxx", $F$2:F700, "Rogue")</f>
        <v>0</v>
      </c>
      <c r="AP146" s="569" t="str">
        <f>COUNTIFS($D$2:$D700, "Epic", $E$2:$E700, "Naxx", $F$2:F700, "Rogue" )*2</f>
        <v>0</v>
      </c>
      <c r="AQ146" s="641" t="str">
        <f>sumifs($U$2:$U700, $D$2:$D700, "Epic", $E$2:$E700, "GvG", $F$2:F700, "Rogue")</f>
        <v>2</v>
      </c>
      <c r="AR146" s="569" t="str">
        <f>COUNTIFS($D$2:$D700, "Epic", $E$2:$E700, "GvG", $F$2:F700, "Rogue" )*2</f>
        <v>4</v>
      </c>
      <c r="AS146" s="641" t="str">
        <f>sumifs($U$2:$U700, $D$2:$D700, "Epic", $E$2:$E700, "Blackrock", $F$2:F700, "Rogue")</f>
        <v>0</v>
      </c>
      <c r="AT146" s="569" t="str">
        <f>COUNTIFS($D$2:$D700, "Epic", $E$2:$E700, "Blackrock", $F$2:F700, "Rogue" )*2</f>
        <v>0</v>
      </c>
      <c r="AU146" s="641" t="str">
        <f>sumifs($U$2:$U700, $D$2:$D700, "Epic", $E$2:$E700, "TGT", $F$2:F700, "Rogue")</f>
        <v>2</v>
      </c>
      <c r="AV146" s="569" t="str">
        <f>COUNTIFS($D$2:$D700, "Epic", $E$2:$E700, "TGT", $F$2:F700, "Rogue" )*2</f>
        <v>4</v>
      </c>
      <c r="AW146" s="667">
        <v>0.0</v>
      </c>
      <c r="AX146" s="668">
        <v>0.0</v>
      </c>
    </row>
    <row r="147">
      <c r="A147" s="463"/>
      <c r="B147" s="443">
        <v>7.0</v>
      </c>
      <c r="C147" s="444" t="s">
        <v>473</v>
      </c>
      <c r="D147" s="445" t="s">
        <v>10</v>
      </c>
      <c r="E147" s="445" t="s">
        <v>10</v>
      </c>
      <c r="F147" s="445" t="s">
        <v>68</v>
      </c>
      <c r="G147" s="446" t="str">
        <f>COUNTIFS(Reference!F:F,C147,Reference!G:G,"&lt;="&amp;VLOOKUP($F147,Summary!$N$25:$O$33,2,0))</f>
        <v>2</v>
      </c>
      <c r="H147" s="447">
        <v>0.0</v>
      </c>
      <c r="I147" s="448">
        <v>1.0</v>
      </c>
      <c r="J147" s="448">
        <v>1.0</v>
      </c>
      <c r="K147" s="449" t="s">
        <v>188</v>
      </c>
      <c r="L147" s="449"/>
      <c r="M147" s="449">
        <v>5.0</v>
      </c>
      <c r="N147" s="449">
        <v>6.0</v>
      </c>
      <c r="O147" s="450" t="s">
        <v>474</v>
      </c>
      <c r="P147" s="14"/>
      <c r="Q147" s="452" t="str">
        <f>MATCH($D147,Reference!$J$5:$J$9,0)</f>
        <v>1</v>
      </c>
      <c r="R147" s="452" t="str">
        <f>MATCH($E147,Reference!$J$26:$J$32,0)</f>
        <v>1</v>
      </c>
      <c r="S147" s="452" t="str">
        <f>MATCH($F147,Reference!$J$45:$J$54,0)</f>
        <v>4</v>
      </c>
      <c r="T147" s="453" t="str">
        <f>MATCH($K147,Reference!$J$37:$J$39,0)</f>
        <v>3</v>
      </c>
      <c r="U147" s="454" t="str">
        <f t="shared" si="281"/>
        <v>2</v>
      </c>
      <c r="V147" s="454" t="str">
        <f t="shared" si="3"/>
        <v>1</v>
      </c>
      <c r="W147" s="455">
        <v>0.0</v>
      </c>
      <c r="X147" s="454" t="str">
        <f t="shared" si="282"/>
        <v>2</v>
      </c>
      <c r="Y147" s="456" t="str">
        <f t="shared" si="5"/>
        <v>FALSE</v>
      </c>
      <c r="Z147" s="456" t="str">
        <f t="shared" si="6"/>
        <v>FALSE</v>
      </c>
      <c r="AA147" s="457" t="str">
        <f t="shared" ref="AA147:AB147" si="299">1-I147</f>
        <v>0%</v>
      </c>
      <c r="AB147" s="457" t="str">
        <f t="shared" si="299"/>
        <v>0%</v>
      </c>
      <c r="AC147" s="456" t="str">
        <f t="shared" si="8"/>
        <v>2</v>
      </c>
      <c r="AD147" s="458" t="str">
        <f t="shared" si="284"/>
        <v>0</v>
      </c>
      <c r="AE147" s="458" t="str">
        <f t="shared" si="10"/>
        <v>1</v>
      </c>
      <c r="AF147" s="459" t="str">
        <f t="shared" si="285"/>
        <v>0</v>
      </c>
      <c r="AG147" s="460"/>
      <c r="AH147" s="583" t="s">
        <v>23</v>
      </c>
      <c r="AI147" s="584" t="str">
        <f t="shared" ref="AI147:AJ147" si="300">SUM(AM147+AK147+AO147+AQ147+AS147+AU147)</f>
        <v>0</v>
      </c>
      <c r="AJ147" s="585" t="str">
        <f t="shared" si="300"/>
        <v>3</v>
      </c>
      <c r="AK147" s="677" t="str">
        <f>sumifs($U$2:$U700, $D$2:$D700, "Legendary", $E$2:$E700, "Classic", $F$2:F700, "Rogue")</f>
        <v>0</v>
      </c>
      <c r="AL147" s="678" t="str">
        <f>COUNTIFS($D$2:$D700, "Legendary", $E$2:$E700, "Classic", $F$2:F700, "Rogue" )</f>
        <v>1</v>
      </c>
      <c r="AM147" s="679" t="str">
        <f>sumifs($U$2:$U700, $D$2:$D700, "Legendary", $E$2:$E700, "Promo", $F$2:F700, "Rogue")</f>
        <v>0</v>
      </c>
      <c r="AN147" s="680" t="str">
        <f>COUNTIFS($D$2:$D700, "Legendary", $E$2:$E700, "Promo", $F$2:F700, "Rogue" )</f>
        <v>0</v>
      </c>
      <c r="AO147" s="677" t="str">
        <f>sumifs($U$2:$U700, $D$2:$D700, "Legendary", $E$2:$E700, "Naxx", $F$2:F700, "Rogue")</f>
        <v>0</v>
      </c>
      <c r="AP147" s="678" t="str">
        <f>COUNTIFS($D$2:$D700, "Legendary", $E$2:$E700, "Naxx", $F$2:F700, "Rogue" )</f>
        <v>0</v>
      </c>
      <c r="AQ147" s="677" t="str">
        <f>sumifs($U$2:$U700, $D$2:$D700, "Legendary", $E$2:$E700, "GvG", $F$2:F700, "Rogue")</f>
        <v>0</v>
      </c>
      <c r="AR147" s="678" t="str">
        <f>COUNTIFS($D$2:$D700, "Legendary", $E$2:$E700, "GvG", $F$2:F700, "Rogue" )</f>
        <v>1</v>
      </c>
      <c r="AS147" s="677" t="str">
        <f>sumifs($U$2:$U700, $D$2:$D700, "Legendary", $E$2:$E700, "Blackrock", $F$2:F700, "Rogue")</f>
        <v>0</v>
      </c>
      <c r="AT147" s="678" t="str">
        <f>COUNTIFS($D$2:$D700, "Legendary", $E$2:$E700, "Blackrock", $F$2:F700, "Rogue" )</f>
        <v>0</v>
      </c>
      <c r="AU147" s="677" t="str">
        <f>sumifs($U$2:$U700, $D$2:$D700, "Legendary", $E$2:$E700, "TGT", $F$2:F700, "Rogue")</f>
        <v>0</v>
      </c>
      <c r="AV147" s="678" t="str">
        <f>COUNTIFS($D$2:$D700, "Legendary", $E$2:$E700, "TGT", $F$2:F700, "Rogue" )</f>
        <v>1</v>
      </c>
      <c r="AW147" s="679">
        <v>0.0</v>
      </c>
      <c r="AX147" s="680">
        <v>0.0</v>
      </c>
    </row>
    <row r="148">
      <c r="A148" s="442"/>
      <c r="B148" s="682">
        <v>1.0</v>
      </c>
      <c r="C148" s="683" t="s">
        <v>475</v>
      </c>
      <c r="D148" s="684" t="s">
        <v>15</v>
      </c>
      <c r="E148" s="684" t="s">
        <v>41</v>
      </c>
      <c r="F148" s="685" t="s">
        <v>68</v>
      </c>
      <c r="G148" s="686" t="str">
        <f>IF(Summary!$Y$25&gt;=VLOOKUP(C148,Reference!$N$41:$O$70,2,0),2,0)</f>
        <v>2</v>
      </c>
      <c r="H148" s="686">
        <v>0.0</v>
      </c>
      <c r="I148" s="518">
        <v>1.0</v>
      </c>
      <c r="J148" s="518"/>
      <c r="K148" s="687" t="s">
        <v>162</v>
      </c>
      <c r="L148" s="687" t="s">
        <v>299</v>
      </c>
      <c r="M148" s="687"/>
      <c r="N148" s="687"/>
      <c r="O148" s="688" t="s">
        <v>476</v>
      </c>
      <c r="P148" s="14"/>
      <c r="Q148" s="452" t="str">
        <f>MATCH($D148,Reference!$J$5:$J$9,0)</f>
        <v>2</v>
      </c>
      <c r="R148" s="452" t="str">
        <f>MATCH($E148,Reference!$J$26:$J$32,0)</f>
        <v>4</v>
      </c>
      <c r="S148" s="452" t="str">
        <f>MATCH($F148,Reference!$J$45:$J$54,0)</f>
        <v>4</v>
      </c>
      <c r="T148" s="453" t="str">
        <f>MATCH($K148,Reference!$J$37:$J$39,0)</f>
        <v>2</v>
      </c>
      <c r="U148" s="454" t="str">
        <f t="shared" si="281"/>
        <v>2</v>
      </c>
      <c r="V148" s="454" t="str">
        <f t="shared" si="3"/>
        <v>1</v>
      </c>
      <c r="W148" s="454" t="str">
        <f t="shared" ref="W148:W160" si="302">(MIN(G148,2)+H148-U148)*50</f>
        <v>0</v>
      </c>
      <c r="X148" s="454" t="str">
        <f t="shared" si="282"/>
        <v>2</v>
      </c>
      <c r="Y148" s="456" t="str">
        <f t="shared" si="5"/>
        <v>FALSE</v>
      </c>
      <c r="Z148" s="456" t="str">
        <f t="shared" si="6"/>
        <v>FALSE</v>
      </c>
      <c r="AA148" s="457" t="str">
        <f t="shared" ref="AA148:AB148" si="301">1-I148</f>
        <v>0%</v>
      </c>
      <c r="AB148" s="457" t="str">
        <f t="shared" si="301"/>
        <v>100%</v>
      </c>
      <c r="AC148" s="456" t="str">
        <f t="shared" si="8"/>
        <v>2</v>
      </c>
      <c r="AD148" s="458" t="str">
        <f t="shared" si="284"/>
        <v>0</v>
      </c>
      <c r="AE148" s="458" t="str">
        <f t="shared" si="10"/>
        <v>1</v>
      </c>
      <c r="AF148" s="459" t="str">
        <f t="shared" ref="AF148:AF160" si="304">(MIN(H148,2)+G148-U148)*5</f>
        <v>0</v>
      </c>
      <c r="AG148" s="460"/>
      <c r="AH148" s="601" t="s">
        <v>24</v>
      </c>
      <c r="AI148" s="602"/>
      <c r="AJ148" s="603"/>
      <c r="AK148" s="602"/>
      <c r="AL148" s="603"/>
      <c r="AM148" s="602"/>
      <c r="AN148" s="603"/>
      <c r="AO148" s="602"/>
      <c r="AP148" s="603"/>
      <c r="AQ148" s="602"/>
      <c r="AR148" s="603"/>
      <c r="AS148" s="602"/>
      <c r="AT148" s="603"/>
      <c r="AU148" s="602"/>
      <c r="AV148" s="603"/>
      <c r="AW148" s="602"/>
      <c r="AX148" s="603"/>
    </row>
    <row r="149">
      <c r="A149" s="442"/>
      <c r="B149" s="509">
        <v>1.0</v>
      </c>
      <c r="C149" s="510" t="s">
        <v>477</v>
      </c>
      <c r="D149" s="511" t="s">
        <v>15</v>
      </c>
      <c r="E149" s="511" t="s">
        <v>33</v>
      </c>
      <c r="F149" s="512" t="s">
        <v>68</v>
      </c>
      <c r="G149" s="508">
        <v>2.0</v>
      </c>
      <c r="H149" s="508">
        <v>0.0</v>
      </c>
      <c r="I149" s="486">
        <v>1.0</v>
      </c>
      <c r="J149" s="486">
        <v>1.0</v>
      </c>
      <c r="K149" s="522" t="s">
        <v>162</v>
      </c>
      <c r="L149" s="522"/>
      <c r="M149" s="522"/>
      <c r="N149" s="522"/>
      <c r="O149" s="224" t="s">
        <v>478</v>
      </c>
      <c r="P149" s="14"/>
      <c r="Q149" s="452" t="str">
        <f>MATCH($D149,Reference!$J$5:$J$9,0)</f>
        <v>2</v>
      </c>
      <c r="R149" s="452" t="str">
        <f>MATCH($E149,Reference!$J$26:$J$32,0)</f>
        <v>2</v>
      </c>
      <c r="S149" s="452" t="str">
        <f>MATCH($F149,Reference!$J$45:$J$54,0)</f>
        <v>4</v>
      </c>
      <c r="T149" s="453" t="str">
        <f>MATCH($K149,Reference!$J$37:$J$39,0)</f>
        <v>2</v>
      </c>
      <c r="U149" s="454" t="str">
        <f t="shared" si="281"/>
        <v>2</v>
      </c>
      <c r="V149" s="454" t="str">
        <f t="shared" si="3"/>
        <v>1</v>
      </c>
      <c r="W149" s="454" t="str">
        <f t="shared" si="302"/>
        <v>0</v>
      </c>
      <c r="X149" s="454" t="str">
        <f t="shared" si="282"/>
        <v>2</v>
      </c>
      <c r="Y149" s="456" t="str">
        <f t="shared" si="5"/>
        <v>FALSE</v>
      </c>
      <c r="Z149" s="456" t="str">
        <f t="shared" si="6"/>
        <v>FALSE</v>
      </c>
      <c r="AA149" s="457" t="str">
        <f t="shared" ref="AA149:AB149" si="303">1-I149</f>
        <v>0%</v>
      </c>
      <c r="AB149" s="457" t="str">
        <f t="shared" si="303"/>
        <v>0%</v>
      </c>
      <c r="AC149" s="456" t="str">
        <f t="shared" si="8"/>
        <v>2</v>
      </c>
      <c r="AD149" s="458" t="str">
        <f t="shared" si="284"/>
        <v>0</v>
      </c>
      <c r="AE149" s="458" t="str">
        <f t="shared" si="10"/>
        <v>1</v>
      </c>
      <c r="AF149" s="459" t="str">
        <f t="shared" si="304"/>
        <v>0</v>
      </c>
      <c r="AG149" s="460"/>
      <c r="AH149" s="604" t="s">
        <v>221</v>
      </c>
      <c r="AI149" s="605" t="str">
        <f t="shared" ref="AI149:AN149" si="305">SUM(AI137:AI141)</f>
        <v>40</v>
      </c>
      <c r="AJ149" s="606" t="str">
        <f t="shared" si="305"/>
        <v>45</v>
      </c>
      <c r="AK149" s="605" t="str">
        <f t="shared" si="305"/>
        <v>23</v>
      </c>
      <c r="AL149" s="606" t="str">
        <f t="shared" si="305"/>
        <v>25</v>
      </c>
      <c r="AM149" s="605" t="str">
        <f t="shared" si="305"/>
        <v>0</v>
      </c>
      <c r="AN149" s="606" t="str">
        <f t="shared" si="305"/>
        <v>0</v>
      </c>
      <c r="AO149" s="605" t="str">
        <f>sum(AO137:AO141)</f>
        <v>1</v>
      </c>
      <c r="AP149" s="606" t="str">
        <f>SUM(AP137:AP141)</f>
        <v>1</v>
      </c>
      <c r="AQ149" s="605" t="str">
        <f>sum(AQ137:AQ141)</f>
        <v>7</v>
      </c>
      <c r="AR149" s="606" t="str">
        <f>SUM(AR137:AR141)</f>
        <v>8</v>
      </c>
      <c r="AS149" s="605" t="str">
        <f t="shared" ref="AS149:AX149" si="306">sum(AS137:AS141)</f>
        <v>2</v>
      </c>
      <c r="AT149" s="606" t="str">
        <f t="shared" si="306"/>
        <v>2</v>
      </c>
      <c r="AU149" s="605" t="str">
        <f t="shared" si="306"/>
        <v>7</v>
      </c>
      <c r="AV149" s="606" t="str">
        <f t="shared" si="306"/>
        <v>9</v>
      </c>
      <c r="AW149" s="605" t="str">
        <f t="shared" si="306"/>
        <v>0</v>
      </c>
      <c r="AX149" s="606" t="str">
        <f t="shared" si="306"/>
        <v>0</v>
      </c>
    </row>
    <row r="150">
      <c r="A150" s="442"/>
      <c r="B150" s="509">
        <v>1.0</v>
      </c>
      <c r="C150" s="510" t="s">
        <v>479</v>
      </c>
      <c r="D150" s="511" t="s">
        <v>15</v>
      </c>
      <c r="E150" s="511" t="s">
        <v>33</v>
      </c>
      <c r="F150" s="512" t="s">
        <v>68</v>
      </c>
      <c r="G150" s="508">
        <v>2.0</v>
      </c>
      <c r="H150" s="485">
        <v>0.0</v>
      </c>
      <c r="I150" s="486">
        <v>1.0</v>
      </c>
      <c r="J150" s="486">
        <v>1.0</v>
      </c>
      <c r="K150" s="522" t="s">
        <v>162</v>
      </c>
      <c r="L150" s="522" t="s">
        <v>299</v>
      </c>
      <c r="M150" s="522"/>
      <c r="N150" s="522"/>
      <c r="O150" s="224" t="s">
        <v>480</v>
      </c>
      <c r="P150" s="14"/>
      <c r="Q150" s="452" t="str">
        <f>MATCH($D150,Reference!$J$5:$J$9,0)</f>
        <v>2</v>
      </c>
      <c r="R150" s="452" t="str">
        <f>MATCH($E150,Reference!$J$26:$J$32,0)</f>
        <v>2</v>
      </c>
      <c r="S150" s="452" t="str">
        <f>MATCH($F150,Reference!$J$45:$J$54,0)</f>
        <v>4</v>
      </c>
      <c r="T150" s="453" t="str">
        <f>MATCH($K150,Reference!$J$37:$J$39,0)</f>
        <v>2</v>
      </c>
      <c r="U150" s="454" t="str">
        <f t="shared" si="281"/>
        <v>2</v>
      </c>
      <c r="V150" s="454" t="str">
        <f t="shared" si="3"/>
        <v>1</v>
      </c>
      <c r="W150" s="454" t="str">
        <f t="shared" si="302"/>
        <v>0</v>
      </c>
      <c r="X150" s="454" t="str">
        <f t="shared" si="282"/>
        <v>2</v>
      </c>
      <c r="Y150" s="456" t="str">
        <f t="shared" si="5"/>
        <v>FALSE</v>
      </c>
      <c r="Z150" s="456" t="str">
        <f t="shared" si="6"/>
        <v>FALSE</v>
      </c>
      <c r="AA150" s="457" t="str">
        <f t="shared" ref="AA150:AB150" si="307">1-I150</f>
        <v>0%</v>
      </c>
      <c r="AB150" s="457" t="str">
        <f t="shared" si="307"/>
        <v>0%</v>
      </c>
      <c r="AC150" s="456" t="str">
        <f t="shared" si="8"/>
        <v>2</v>
      </c>
      <c r="AD150" s="458" t="str">
        <f t="shared" si="284"/>
        <v>0</v>
      </c>
      <c r="AE150" s="458" t="str">
        <f t="shared" si="10"/>
        <v>1</v>
      </c>
      <c r="AF150" s="459" t="str">
        <f t="shared" si="304"/>
        <v>0</v>
      </c>
      <c r="AG150" s="460"/>
      <c r="AH150" s="615" t="s">
        <v>234</v>
      </c>
      <c r="AI150" s="616" t="str">
        <f t="shared" ref="AI150:AJ150" si="308">SUM(AI143:AI147)</f>
        <v>76</v>
      </c>
      <c r="AJ150" s="617" t="str">
        <f t="shared" si="308"/>
        <v>87</v>
      </c>
      <c r="AK150" s="616" t="str">
        <f>sum(AK143:AK147)</f>
        <v>45</v>
      </c>
      <c r="AL150" s="617" t="str">
        <f>SUM(AL143:AL147)</f>
        <v>49</v>
      </c>
      <c r="AM150" s="616" t="str">
        <f>sum(AM143:AM147)</f>
        <v>0</v>
      </c>
      <c r="AN150" s="617" t="str">
        <f>SUM(AN143:AN147)</f>
        <v>0</v>
      </c>
      <c r="AO150" s="616" t="str">
        <f>sum(AO143:AO147)</f>
        <v>2</v>
      </c>
      <c r="AP150" s="617" t="str">
        <f>SUM(AP143:AP147)</f>
        <v>2</v>
      </c>
      <c r="AQ150" s="616" t="str">
        <f>sum(AQ144:AQ147)</f>
        <v>11</v>
      </c>
      <c r="AR150" s="617" t="str">
        <f>SUM(AR143:AR147)</f>
        <v>15</v>
      </c>
      <c r="AS150" s="616" t="str">
        <f t="shared" ref="AS150:AX150" si="309">sum(AS143:AS147)</f>
        <v>4</v>
      </c>
      <c r="AT150" s="617" t="str">
        <f t="shared" si="309"/>
        <v>4</v>
      </c>
      <c r="AU150" s="616" t="str">
        <f t="shared" si="309"/>
        <v>14</v>
      </c>
      <c r="AV150" s="617" t="str">
        <f t="shared" si="309"/>
        <v>17</v>
      </c>
      <c r="AW150" s="616" t="str">
        <f t="shared" si="309"/>
        <v>0</v>
      </c>
      <c r="AX150" s="617" t="str">
        <f t="shared" si="309"/>
        <v>0</v>
      </c>
    </row>
    <row r="151">
      <c r="A151" s="466"/>
      <c r="B151" s="509">
        <v>1.0</v>
      </c>
      <c r="C151" s="510" t="s">
        <v>481</v>
      </c>
      <c r="D151" s="511" t="s">
        <v>15</v>
      </c>
      <c r="E151" s="511" t="s">
        <v>33</v>
      </c>
      <c r="F151" s="512" t="s">
        <v>68</v>
      </c>
      <c r="G151" s="485">
        <v>2.0</v>
      </c>
      <c r="H151" s="485">
        <v>0.0</v>
      </c>
      <c r="I151" s="486">
        <v>1.0</v>
      </c>
      <c r="J151" s="486">
        <v>1.0</v>
      </c>
      <c r="K151" s="522" t="s">
        <v>162</v>
      </c>
      <c r="L151" s="522" t="s">
        <v>299</v>
      </c>
      <c r="M151" s="522"/>
      <c r="N151" s="522"/>
      <c r="O151" s="224" t="s">
        <v>482</v>
      </c>
      <c r="P151" s="14"/>
      <c r="Q151" s="452" t="str">
        <f>MATCH($D151,Reference!$J$5:$J$9,0)</f>
        <v>2</v>
      </c>
      <c r="R151" s="452" t="str">
        <f>MATCH($E151,Reference!$J$26:$J$32,0)</f>
        <v>2</v>
      </c>
      <c r="S151" s="452" t="str">
        <f>MATCH($F151,Reference!$J$45:$J$54,0)</f>
        <v>4</v>
      </c>
      <c r="T151" s="453" t="str">
        <f>MATCH($K151,Reference!$J$37:$J$39,0)</f>
        <v>2</v>
      </c>
      <c r="U151" s="454" t="str">
        <f t="shared" si="281"/>
        <v>2</v>
      </c>
      <c r="V151" s="454" t="str">
        <f t="shared" si="3"/>
        <v>1</v>
      </c>
      <c r="W151" s="454" t="str">
        <f t="shared" si="302"/>
        <v>0</v>
      </c>
      <c r="X151" s="454" t="str">
        <f t="shared" si="282"/>
        <v>2</v>
      </c>
      <c r="Y151" s="456" t="str">
        <f t="shared" si="5"/>
        <v>FALSE</v>
      </c>
      <c r="Z151" s="456" t="str">
        <f t="shared" si="6"/>
        <v>FALSE</v>
      </c>
      <c r="AA151" s="457" t="str">
        <f t="shared" ref="AA151:AB151" si="310">1-I151</f>
        <v>0%</v>
      </c>
      <c r="AB151" s="457" t="str">
        <f t="shared" si="310"/>
        <v>0%</v>
      </c>
      <c r="AC151" s="456" t="str">
        <f t="shared" si="8"/>
        <v>2</v>
      </c>
      <c r="AD151" s="458" t="str">
        <f t="shared" si="284"/>
        <v>0</v>
      </c>
      <c r="AE151" s="458" t="str">
        <f t="shared" si="10"/>
        <v>1</v>
      </c>
      <c r="AF151" s="459" t="str">
        <f t="shared" si="304"/>
        <v>0</v>
      </c>
      <c r="AG151" s="460"/>
      <c r="AH151" s="14"/>
      <c r="AI151" s="14"/>
      <c r="AJ151" s="14"/>
      <c r="AK151" s="14"/>
      <c r="AL151" s="14"/>
      <c r="AM151" s="14"/>
      <c r="AN151" s="14"/>
      <c r="AO151" s="14"/>
      <c r="AP151" s="14"/>
      <c r="AQ151" s="14"/>
      <c r="AR151" s="14"/>
      <c r="AS151" s="14"/>
      <c r="AT151" s="14"/>
    </row>
    <row r="152">
      <c r="A152" s="442"/>
      <c r="B152" s="509">
        <v>1.0</v>
      </c>
      <c r="C152" s="510" t="s">
        <v>483</v>
      </c>
      <c r="D152" s="511" t="s">
        <v>15</v>
      </c>
      <c r="E152" s="511" t="s">
        <v>33</v>
      </c>
      <c r="F152" s="512" t="s">
        <v>68</v>
      </c>
      <c r="G152" s="485">
        <v>2.0</v>
      </c>
      <c r="H152" s="485">
        <v>1.0</v>
      </c>
      <c r="I152" s="486">
        <v>1.0</v>
      </c>
      <c r="J152" s="486">
        <v>1.0</v>
      </c>
      <c r="K152" s="522" t="s">
        <v>162</v>
      </c>
      <c r="L152" s="522" t="s">
        <v>299</v>
      </c>
      <c r="M152" s="522"/>
      <c r="N152" s="522"/>
      <c r="O152" s="224" t="s">
        <v>484</v>
      </c>
      <c r="P152" s="14"/>
      <c r="Q152" s="452" t="str">
        <f>MATCH($D152,Reference!$J$5:$J$9,0)</f>
        <v>2</v>
      </c>
      <c r="R152" s="452" t="str">
        <f>MATCH($E152,Reference!$J$26:$J$32,0)</f>
        <v>2</v>
      </c>
      <c r="S152" s="452" t="str">
        <f>MATCH($F152,Reference!$J$45:$J$54,0)</f>
        <v>4</v>
      </c>
      <c r="T152" s="453" t="str">
        <f>MATCH($K152,Reference!$J$37:$J$39,0)</f>
        <v>2</v>
      </c>
      <c r="U152" s="454" t="str">
        <f t="shared" si="281"/>
        <v>2</v>
      </c>
      <c r="V152" s="454" t="str">
        <f t="shared" si="3"/>
        <v>1</v>
      </c>
      <c r="W152" s="454" t="str">
        <f t="shared" si="302"/>
        <v>50</v>
      </c>
      <c r="X152" s="454" t="str">
        <f t="shared" si="282"/>
        <v>2</v>
      </c>
      <c r="Y152" s="456" t="str">
        <f t="shared" si="5"/>
        <v>FALSE</v>
      </c>
      <c r="Z152" s="456" t="str">
        <f t="shared" si="6"/>
        <v>FALSE</v>
      </c>
      <c r="AA152" s="457" t="str">
        <f t="shared" ref="AA152:AB152" si="311">1-I152</f>
        <v>0%</v>
      </c>
      <c r="AB152" s="457" t="str">
        <f t="shared" si="311"/>
        <v>0%</v>
      </c>
      <c r="AC152" s="456" t="str">
        <f t="shared" si="8"/>
        <v>2</v>
      </c>
      <c r="AD152" s="458" t="str">
        <f t="shared" si="284"/>
        <v>1</v>
      </c>
      <c r="AE152" s="458" t="str">
        <f t="shared" si="10"/>
        <v>1</v>
      </c>
      <c r="AF152" s="459" t="str">
        <f t="shared" si="304"/>
        <v>5</v>
      </c>
      <c r="AG152" s="460"/>
      <c r="AH152" s="14"/>
      <c r="AI152" s="14"/>
      <c r="AJ152" s="14"/>
      <c r="AK152" s="14"/>
      <c r="AL152" s="14"/>
      <c r="AM152" s="14"/>
      <c r="AN152" s="14"/>
      <c r="AO152" s="14"/>
      <c r="AP152" s="14"/>
      <c r="AQ152" s="14"/>
      <c r="AR152" s="14"/>
      <c r="AS152" s="14"/>
      <c r="AT152" s="14"/>
    </row>
    <row r="153">
      <c r="A153" s="442"/>
      <c r="B153" s="442">
        <v>1.0</v>
      </c>
      <c r="C153" s="482" t="s">
        <v>485</v>
      </c>
      <c r="D153" s="483" t="s">
        <v>15</v>
      </c>
      <c r="E153" s="483" t="s">
        <v>33</v>
      </c>
      <c r="F153" s="484" t="s">
        <v>68</v>
      </c>
      <c r="G153" s="471">
        <v>2.0</v>
      </c>
      <c r="H153" s="485">
        <v>0.0</v>
      </c>
      <c r="I153" s="486">
        <v>1.0</v>
      </c>
      <c r="J153" s="486">
        <v>1.0</v>
      </c>
      <c r="K153" s="499" t="s">
        <v>162</v>
      </c>
      <c r="L153" s="499" t="s">
        <v>299</v>
      </c>
      <c r="M153" s="499"/>
      <c r="N153" s="499"/>
      <c r="O153" s="223" t="s">
        <v>486</v>
      </c>
      <c r="P153" s="14"/>
      <c r="Q153" s="452" t="str">
        <f>MATCH($D153,Reference!$J$5:$J$9,0)</f>
        <v>2</v>
      </c>
      <c r="R153" s="452" t="str">
        <f>MATCH($E153,Reference!$J$26:$J$32,0)</f>
        <v>2</v>
      </c>
      <c r="S153" s="452" t="str">
        <f>MATCH($F153,Reference!$J$45:$J$54,0)</f>
        <v>4</v>
      </c>
      <c r="T153" s="453" t="str">
        <f>MATCH($K153,Reference!$J$37:$J$39,0)</f>
        <v>2</v>
      </c>
      <c r="U153" s="454" t="str">
        <f t="shared" si="281"/>
        <v>2</v>
      </c>
      <c r="V153" s="454" t="str">
        <f t="shared" si="3"/>
        <v>1</v>
      </c>
      <c r="W153" s="454" t="str">
        <f t="shared" si="302"/>
        <v>0</v>
      </c>
      <c r="X153" s="454" t="str">
        <f t="shared" si="282"/>
        <v>2</v>
      </c>
      <c r="Y153" s="456" t="str">
        <f t="shared" si="5"/>
        <v>FALSE</v>
      </c>
      <c r="Z153" s="456" t="str">
        <f t="shared" si="6"/>
        <v>FALSE</v>
      </c>
      <c r="AA153" s="457" t="str">
        <f t="shared" ref="AA153:AB153" si="312">1-I153</f>
        <v>0%</v>
      </c>
      <c r="AB153" s="457" t="str">
        <f t="shared" si="312"/>
        <v>0%</v>
      </c>
      <c r="AC153" s="456" t="str">
        <f t="shared" si="8"/>
        <v>2</v>
      </c>
      <c r="AD153" s="458" t="str">
        <f t="shared" si="284"/>
        <v>0</v>
      </c>
      <c r="AE153" s="458" t="str">
        <f t="shared" si="10"/>
        <v>1</v>
      </c>
      <c r="AF153" s="459" t="str">
        <f t="shared" si="304"/>
        <v>0</v>
      </c>
      <c r="AG153" s="460"/>
      <c r="AH153" s="521" t="s">
        <v>72</v>
      </c>
      <c r="AI153" s="106"/>
      <c r="AJ153" s="106"/>
      <c r="AK153" s="106"/>
      <c r="AL153" s="106"/>
      <c r="AM153" s="106"/>
      <c r="AN153" s="106"/>
      <c r="AO153" s="106"/>
      <c r="AP153" s="106"/>
      <c r="AQ153" s="106"/>
      <c r="AR153" s="106"/>
      <c r="AS153" s="106"/>
      <c r="AT153" s="106"/>
      <c r="AU153" s="106"/>
      <c r="AV153" s="106"/>
      <c r="AW153" s="106"/>
      <c r="AX153" s="106"/>
    </row>
    <row r="154">
      <c r="A154" s="442"/>
      <c r="B154" s="509">
        <v>2.0</v>
      </c>
      <c r="C154" s="510" t="s">
        <v>487</v>
      </c>
      <c r="D154" s="511" t="s">
        <v>15</v>
      </c>
      <c r="E154" s="511" t="s">
        <v>33</v>
      </c>
      <c r="F154" s="512" t="s">
        <v>68</v>
      </c>
      <c r="G154" s="508">
        <v>2.0</v>
      </c>
      <c r="H154" s="508">
        <v>0.0</v>
      </c>
      <c r="I154" s="486">
        <v>1.0</v>
      </c>
      <c r="J154" s="486">
        <v>1.0</v>
      </c>
      <c r="K154" s="522" t="s">
        <v>188</v>
      </c>
      <c r="L154" s="522"/>
      <c r="M154" s="522">
        <v>2.0</v>
      </c>
      <c r="N154" s="522">
        <v>2.0</v>
      </c>
      <c r="O154" s="224" t="s">
        <v>488</v>
      </c>
      <c r="P154" s="14"/>
      <c r="Q154" s="452" t="str">
        <f>MATCH($D154,Reference!$J$5:$J$9,0)</f>
        <v>2</v>
      </c>
      <c r="R154" s="452" t="str">
        <f>MATCH($E154,Reference!$J$26:$J$32,0)</f>
        <v>2</v>
      </c>
      <c r="S154" s="452" t="str">
        <f>MATCH($F154,Reference!$J$45:$J$54,0)</f>
        <v>4</v>
      </c>
      <c r="T154" s="453" t="str">
        <f>MATCH($K154,Reference!$J$37:$J$39,0)</f>
        <v>3</v>
      </c>
      <c r="U154" s="454" t="str">
        <f t="shared" si="281"/>
        <v>2</v>
      </c>
      <c r="V154" s="454" t="str">
        <f t="shared" si="3"/>
        <v>1</v>
      </c>
      <c r="W154" s="454" t="str">
        <f t="shared" si="302"/>
        <v>0</v>
      </c>
      <c r="X154" s="454" t="str">
        <f t="shared" si="282"/>
        <v>2</v>
      </c>
      <c r="Y154" s="456" t="str">
        <f t="shared" si="5"/>
        <v>FALSE</v>
      </c>
      <c r="Z154" s="456" t="str">
        <f t="shared" si="6"/>
        <v>FALSE</v>
      </c>
      <c r="AA154" s="457" t="str">
        <f t="shared" ref="AA154:AB154" si="313">1-I154</f>
        <v>0%</v>
      </c>
      <c r="AB154" s="457" t="str">
        <f t="shared" si="313"/>
        <v>0%</v>
      </c>
      <c r="AC154" s="456" t="str">
        <f t="shared" si="8"/>
        <v>2</v>
      </c>
      <c r="AD154" s="458" t="str">
        <f t="shared" si="284"/>
        <v>0</v>
      </c>
      <c r="AE154" s="458" t="str">
        <f t="shared" si="10"/>
        <v>1</v>
      </c>
      <c r="AF154" s="459" t="str">
        <f t="shared" si="304"/>
        <v>0</v>
      </c>
      <c r="AG154" s="460"/>
      <c r="AH154" s="523" t="s">
        <v>141</v>
      </c>
      <c r="AI154" s="524" t="s">
        <v>24</v>
      </c>
      <c r="AJ154" s="106"/>
      <c r="AK154" s="524" t="s">
        <v>33</v>
      </c>
      <c r="AL154" s="106"/>
      <c r="AM154" s="524" t="s">
        <v>37</v>
      </c>
      <c r="AN154" s="106"/>
      <c r="AO154" s="524" t="s">
        <v>41</v>
      </c>
      <c r="AP154" s="106"/>
      <c r="AQ154" s="524" t="s">
        <v>35</v>
      </c>
      <c r="AR154" s="106"/>
      <c r="AS154" s="525" t="s">
        <v>217</v>
      </c>
      <c r="AT154" s="106"/>
      <c r="AU154" s="525" t="s">
        <v>36</v>
      </c>
      <c r="AV154" s="106"/>
      <c r="AW154" s="525" t="s">
        <v>218</v>
      </c>
      <c r="AX154" s="106"/>
    </row>
    <row r="155">
      <c r="A155" s="469"/>
      <c r="B155" s="472">
        <v>2.0</v>
      </c>
      <c r="C155" s="489" t="s">
        <v>489</v>
      </c>
      <c r="D155" s="490" t="s">
        <v>15</v>
      </c>
      <c r="E155" s="490" t="s">
        <v>35</v>
      </c>
      <c r="F155" s="491" t="s">
        <v>68</v>
      </c>
      <c r="G155" s="493">
        <v>2.0</v>
      </c>
      <c r="H155" s="492">
        <v>0.0</v>
      </c>
      <c r="I155" s="494">
        <v>1.0</v>
      </c>
      <c r="J155" s="494">
        <v>1.0</v>
      </c>
      <c r="K155" s="495" t="s">
        <v>162</v>
      </c>
      <c r="L155" s="495"/>
      <c r="M155" s="495"/>
      <c r="N155" s="495"/>
      <c r="O155" s="496" t="s">
        <v>490</v>
      </c>
      <c r="P155" s="14"/>
      <c r="Q155" s="452" t="str">
        <f>MATCH($D155,Reference!$J$5:$J$9,0)</f>
        <v>2</v>
      </c>
      <c r="R155" s="452" t="str">
        <f>MATCH($E155,Reference!$J$26:$J$32,0)</f>
        <v>5</v>
      </c>
      <c r="S155" s="452" t="str">
        <f>MATCH($F155,Reference!$J$45:$J$54,0)</f>
        <v>4</v>
      </c>
      <c r="T155" s="453" t="str">
        <f>MATCH($K155,Reference!$J$37:$J$39,0)</f>
        <v>2</v>
      </c>
      <c r="U155" s="454" t="str">
        <f t="shared" si="281"/>
        <v>2</v>
      </c>
      <c r="V155" s="454" t="str">
        <f t="shared" si="3"/>
        <v>1</v>
      </c>
      <c r="W155" s="454" t="str">
        <f t="shared" si="302"/>
        <v>0</v>
      </c>
      <c r="X155" s="454" t="str">
        <f t="shared" si="282"/>
        <v>2</v>
      </c>
      <c r="Y155" s="456" t="str">
        <f t="shared" si="5"/>
        <v>FALSE</v>
      </c>
      <c r="Z155" s="456" t="str">
        <f t="shared" si="6"/>
        <v>FALSE</v>
      </c>
      <c r="AA155" s="457" t="str">
        <f t="shared" ref="AA155:AB155" si="314">1-I155</f>
        <v>0%</v>
      </c>
      <c r="AB155" s="457" t="str">
        <f t="shared" si="314"/>
        <v>0%</v>
      </c>
      <c r="AC155" s="456" t="str">
        <f t="shared" si="8"/>
        <v>2</v>
      </c>
      <c r="AD155" s="458" t="str">
        <f t="shared" si="284"/>
        <v>0</v>
      </c>
      <c r="AE155" s="458" t="str">
        <f t="shared" si="10"/>
        <v>1</v>
      </c>
      <c r="AF155" s="459" t="str">
        <f t="shared" si="304"/>
        <v>0</v>
      </c>
      <c r="AG155" s="460"/>
      <c r="AH155" s="587" t="s">
        <v>221</v>
      </c>
      <c r="AI155" s="499"/>
      <c r="AJ155" s="588"/>
      <c r="AK155" s="499"/>
      <c r="AL155" s="588"/>
      <c r="AM155" s="499"/>
      <c r="AN155" s="588"/>
      <c r="AO155" s="499"/>
      <c r="AP155" s="588"/>
      <c r="AQ155" s="499"/>
      <c r="AR155" s="588"/>
      <c r="AS155" s="499"/>
      <c r="AT155" s="588"/>
      <c r="AU155" s="499"/>
      <c r="AV155" s="588"/>
      <c r="AW155" s="499"/>
      <c r="AX155" s="588"/>
    </row>
    <row r="156">
      <c r="A156" s="442"/>
      <c r="B156" s="463">
        <v>2.0</v>
      </c>
      <c r="C156" s="538" t="s">
        <v>491</v>
      </c>
      <c r="D156" s="539" t="s">
        <v>15</v>
      </c>
      <c r="E156" s="539" t="s">
        <v>35</v>
      </c>
      <c r="F156" s="540" t="s">
        <v>68</v>
      </c>
      <c r="G156" s="493">
        <v>2.0</v>
      </c>
      <c r="H156" s="493">
        <v>0.0</v>
      </c>
      <c r="I156" s="494">
        <v>1.0</v>
      </c>
      <c r="J156" s="494">
        <v>1.0</v>
      </c>
      <c r="K156" s="542" t="s">
        <v>188</v>
      </c>
      <c r="L156" s="542" t="s">
        <v>198</v>
      </c>
      <c r="M156" s="542">
        <v>2.0</v>
      </c>
      <c r="N156" s="542">
        <v>2.0</v>
      </c>
      <c r="O156" s="543" t="s">
        <v>492</v>
      </c>
      <c r="P156" s="14"/>
      <c r="Q156" s="452" t="str">
        <f>MATCH($D156,Reference!$J$5:$J$9,0)</f>
        <v>2</v>
      </c>
      <c r="R156" s="452" t="str">
        <f>MATCH($E156,Reference!$J$26:$J$32,0)</f>
        <v>5</v>
      </c>
      <c r="S156" s="452" t="str">
        <f>MATCH($F156,Reference!$J$45:$J$54,0)</f>
        <v>4</v>
      </c>
      <c r="T156" s="453" t="str">
        <f>MATCH($K156,Reference!$J$37:$J$39,0)</f>
        <v>3</v>
      </c>
      <c r="U156" s="454" t="str">
        <f t="shared" si="281"/>
        <v>2</v>
      </c>
      <c r="V156" s="454" t="str">
        <f t="shared" si="3"/>
        <v>1</v>
      </c>
      <c r="W156" s="454" t="str">
        <f t="shared" si="302"/>
        <v>0</v>
      </c>
      <c r="X156" s="454" t="str">
        <f t="shared" si="282"/>
        <v>2</v>
      </c>
      <c r="Y156" s="456" t="str">
        <f t="shared" si="5"/>
        <v>FALSE</v>
      </c>
      <c r="Z156" s="456" t="str">
        <f t="shared" si="6"/>
        <v>FALSE</v>
      </c>
      <c r="AA156" s="457" t="str">
        <f t="shared" ref="AA156:AB156" si="315">1-I156</f>
        <v>0%</v>
      </c>
      <c r="AB156" s="457" t="str">
        <f t="shared" si="315"/>
        <v>0%</v>
      </c>
      <c r="AC156" s="456" t="str">
        <f t="shared" si="8"/>
        <v>2</v>
      </c>
      <c r="AD156" s="458" t="str">
        <f t="shared" si="284"/>
        <v>0</v>
      </c>
      <c r="AE156" s="458" t="str">
        <f t="shared" si="10"/>
        <v>1</v>
      </c>
      <c r="AF156" s="459" t="str">
        <f t="shared" si="304"/>
        <v>0</v>
      </c>
      <c r="AG156" s="460"/>
      <c r="AH156" s="643" t="s">
        <v>10</v>
      </c>
      <c r="AI156" s="534" t="str">
        <f t="shared" ref="AI156:AJ156" si="316">SUM(AM156+AK156+AO156+AQ156+AS156+AU156)</f>
        <v>10</v>
      </c>
      <c r="AJ156" s="535" t="str">
        <f t="shared" si="316"/>
        <v>10</v>
      </c>
      <c r="AK156" s="449" t="str">
        <f>sumifs($V$2:$V700, $E$2:$E700, "Basic", $F$2:F700, "Shaman")</f>
        <v>10</v>
      </c>
      <c r="AL156" s="537" t="str">
        <f>COUNTIFS($E$2:$E700, "Basic", $E$2:$E700, "Basic", $F$2:F700, "Shaman" )</f>
        <v>10</v>
      </c>
      <c r="AM156" s="644"/>
      <c r="AN156" s="645"/>
      <c r="AO156" s="449"/>
      <c r="AP156" s="537"/>
      <c r="AQ156" s="449"/>
      <c r="AR156" s="537"/>
      <c r="AS156" s="449"/>
      <c r="AT156" s="537"/>
      <c r="AU156" s="449"/>
      <c r="AV156" s="537"/>
      <c r="AW156" s="449"/>
      <c r="AX156" s="537"/>
    </row>
    <row r="157">
      <c r="A157" s="442"/>
      <c r="B157" s="466">
        <v>3.0</v>
      </c>
      <c r="C157" s="475" t="s">
        <v>493</v>
      </c>
      <c r="D157" s="476" t="s">
        <v>15</v>
      </c>
      <c r="E157" s="477" t="s">
        <v>36</v>
      </c>
      <c r="F157" s="476" t="s">
        <v>68</v>
      </c>
      <c r="G157" s="478">
        <v>2.0</v>
      </c>
      <c r="H157" s="478">
        <v>0.0</v>
      </c>
      <c r="I157" s="479">
        <v>1.0</v>
      </c>
      <c r="J157" s="479">
        <v>1.0</v>
      </c>
      <c r="K157" s="477" t="s">
        <v>162</v>
      </c>
      <c r="L157" s="477"/>
      <c r="M157" s="477"/>
      <c r="N157" s="477"/>
      <c r="O157" s="480" t="s">
        <v>494</v>
      </c>
      <c r="P157" s="14"/>
      <c r="Q157" s="452" t="str">
        <f>MATCH($D157,Reference!$J$5:$J$9,0)</f>
        <v>2</v>
      </c>
      <c r="R157" s="452" t="str">
        <f>MATCH($E157,Reference!$J$26:$J$32,0)</f>
        <v>7</v>
      </c>
      <c r="S157" s="452" t="str">
        <f>MATCH($F157,Reference!$J$45:$J$54,0)</f>
        <v>4</v>
      </c>
      <c r="T157" s="453" t="str">
        <f>MATCH($K157,Reference!$J$37:$J$39,0)</f>
        <v>2</v>
      </c>
      <c r="U157" s="454" t="str">
        <f t="shared" si="281"/>
        <v>2</v>
      </c>
      <c r="V157" s="454" t="str">
        <f t="shared" si="3"/>
        <v>1</v>
      </c>
      <c r="W157" s="454" t="str">
        <f t="shared" si="302"/>
        <v>0</v>
      </c>
      <c r="X157" s="454" t="str">
        <f t="shared" si="282"/>
        <v>2</v>
      </c>
      <c r="Y157" s="456" t="str">
        <f t="shared" si="5"/>
        <v>FALSE</v>
      </c>
      <c r="Z157" s="456" t="str">
        <f t="shared" si="6"/>
        <v>FALSE</v>
      </c>
      <c r="AA157" s="457" t="str">
        <f t="shared" ref="AA157:AB157" si="317">1-I157</f>
        <v>0%</v>
      </c>
      <c r="AB157" s="457" t="str">
        <f t="shared" si="317"/>
        <v>0%</v>
      </c>
      <c r="AC157" s="456" t="str">
        <f t="shared" si="8"/>
        <v>2</v>
      </c>
      <c r="AD157" s="458" t="str">
        <f t="shared" si="284"/>
        <v>0</v>
      </c>
      <c r="AE157" s="458" t="str">
        <f t="shared" si="10"/>
        <v>1</v>
      </c>
      <c r="AF157" s="459" t="str">
        <f t="shared" si="304"/>
        <v>0</v>
      </c>
      <c r="AG157" s="460"/>
      <c r="AH157" s="405" t="s">
        <v>15</v>
      </c>
      <c r="AI157" s="522" t="str">
        <f t="shared" ref="AI157:AJ157" si="318">SUM(AM157+AK157+AO157+AQ157+AS157+AU157)</f>
        <v>13</v>
      </c>
      <c r="AJ157" s="544" t="str">
        <f t="shared" si="318"/>
        <v>13</v>
      </c>
      <c r="AK157" s="499" t="str">
        <f>sumifs($V$2:$V700, $D$2:$D700, "Common", $E$2:$E700, "Classic", $F$2:F700, "Shaman")</f>
        <v>6</v>
      </c>
      <c r="AL157" s="588" t="str">
        <f>COUNTIFS($D$2:$D700, "Common", $E$2:$E700, "Classic", $F$2:F700, "Shaman" )</f>
        <v>6</v>
      </c>
      <c r="AM157" s="531" t="str">
        <f>sumifs($V$2:$V700, $D$2:$D700, "Common", $E$2:$E700, "Promo", $F$2:F700, "Shaman")</f>
        <v>0</v>
      </c>
      <c r="AN157" s="647" t="str">
        <f>COUNTIFS($D$2:$D700, "Common", $E$2:$E700, "Promo", $F$2:F700, "Shaman" )</f>
        <v>0</v>
      </c>
      <c r="AO157" s="499" t="str">
        <f>sumifs($V$2:$V700, $D$2:$D700, "Common", $E$2:$E700, "Naxx", $F$2:F700, "Shaman")</f>
        <v>1</v>
      </c>
      <c r="AP157" s="588" t="str">
        <f>COUNTIFS($D$2:$D700, "Common", $E$2:$E700, "Naxx", $F$2:F700, "Shaman" )</f>
        <v>1</v>
      </c>
      <c r="AQ157" s="499" t="str">
        <f>sumifs($V$2:$V700, $D$2:$D700, "Common", $E$2:$E700, "GvG", $F$2:F700, "Shaman")</f>
        <v>2</v>
      </c>
      <c r="AR157" s="588" t="str">
        <f>COUNTIFS($D$2:$D700, "Common", $E$2:$E700, "GvG", $F$2:F700, "Shaman" )</f>
        <v>2</v>
      </c>
      <c r="AS157" s="499" t="str">
        <f>sumifs($V$2:$V700, $D$2:$D700, "Common", $E$2:$E700, "Blackrock", $F$2:F700, "Shaman")</f>
        <v>1</v>
      </c>
      <c r="AT157" s="588" t="str">
        <f>COUNTIFS($D$2:$D700, "Common", $E$2:$E700, "Blackrock", $F$2:F700, "Shaman" )</f>
        <v>1</v>
      </c>
      <c r="AU157" s="499" t="str">
        <f>sumifs($V$2:$V700, $D$2:$D700, "Common", $E$2:$E700, "TGT", $F$2:F700, "Shaman")</f>
        <v>3</v>
      </c>
      <c r="AV157" s="588" t="str">
        <f>COUNTIFS($D$2:$D700, "Common", $E$2:$E700, "TGT", $F$2:F700, "Shaman" )</f>
        <v>3</v>
      </c>
      <c r="AW157" s="531">
        <v>0.0</v>
      </c>
      <c r="AX157" s="647">
        <v>0.0</v>
      </c>
    </row>
    <row r="158">
      <c r="A158" s="466"/>
      <c r="B158" s="466">
        <v>3.0</v>
      </c>
      <c r="C158" s="475" t="s">
        <v>495</v>
      </c>
      <c r="D158" s="476" t="s">
        <v>15</v>
      </c>
      <c r="E158" s="477" t="s">
        <v>36</v>
      </c>
      <c r="F158" s="476" t="s">
        <v>68</v>
      </c>
      <c r="G158" s="478">
        <v>2.0</v>
      </c>
      <c r="H158" s="478">
        <v>0.0</v>
      </c>
      <c r="I158" s="479">
        <v>1.0</v>
      </c>
      <c r="J158" s="479">
        <v>1.0</v>
      </c>
      <c r="K158" s="477" t="s">
        <v>188</v>
      </c>
      <c r="L158" s="477"/>
      <c r="M158" s="477">
        <v>2.0</v>
      </c>
      <c r="N158" s="477">
        <v>4.0</v>
      </c>
      <c r="O158" s="480" t="s">
        <v>496</v>
      </c>
      <c r="P158" s="14"/>
      <c r="Q158" s="452" t="str">
        <f>MATCH($D158,Reference!$J$5:$J$9,0)</f>
        <v>2</v>
      </c>
      <c r="R158" s="452" t="str">
        <f>MATCH($E158,Reference!$J$26:$J$32,0)</f>
        <v>7</v>
      </c>
      <c r="S158" s="452" t="str">
        <f>MATCH($F158,Reference!$J$45:$J$54,0)</f>
        <v>4</v>
      </c>
      <c r="T158" s="453" t="str">
        <f>MATCH($K158,Reference!$J$37:$J$39,0)</f>
        <v>3</v>
      </c>
      <c r="U158" s="454" t="str">
        <f t="shared" si="281"/>
        <v>2</v>
      </c>
      <c r="V158" s="454" t="str">
        <f t="shared" si="3"/>
        <v>1</v>
      </c>
      <c r="W158" s="454" t="str">
        <f t="shared" si="302"/>
        <v>0</v>
      </c>
      <c r="X158" s="454" t="str">
        <f t="shared" si="282"/>
        <v>2</v>
      </c>
      <c r="Y158" s="456" t="str">
        <f t="shared" si="5"/>
        <v>FALSE</v>
      </c>
      <c r="Z158" s="456" t="str">
        <f t="shared" si="6"/>
        <v>FALSE</v>
      </c>
      <c r="AA158" s="457" t="str">
        <f t="shared" ref="AA158:AB158" si="319">1-I158</f>
        <v>0%</v>
      </c>
      <c r="AB158" s="457" t="str">
        <f t="shared" si="319"/>
        <v>0%</v>
      </c>
      <c r="AC158" s="456" t="str">
        <f t="shared" si="8"/>
        <v>2</v>
      </c>
      <c r="AD158" s="458" t="str">
        <f t="shared" si="284"/>
        <v>0</v>
      </c>
      <c r="AE158" s="458" t="str">
        <f t="shared" si="10"/>
        <v>1</v>
      </c>
      <c r="AF158" s="459" t="str">
        <f t="shared" si="304"/>
        <v>0</v>
      </c>
      <c r="AG158" s="460"/>
      <c r="AH158" s="556" t="s">
        <v>21</v>
      </c>
      <c r="AI158" s="557" t="str">
        <f>SUM(AM159+AK158+AO158+AQ158+AS158+AU158)</f>
        <v>11</v>
      </c>
      <c r="AJ158" s="558" t="str">
        <f>SUM(AN158+AL158+AP158+AR158+AT158+AV158)</f>
        <v>12</v>
      </c>
      <c r="AK158" s="554" t="str">
        <f>sumifs($V$2:$V700, $D$2:$D700, "Rare", $E$2:$E700, "Classic", $F$2:F700, "Shaman")</f>
        <v>4</v>
      </c>
      <c r="AL158" s="656" t="str">
        <f>COUNTIFS($D$2:$D700, "Rare", $E$2:$E700, "Classic", $F$2:F700, "Shaman" )</f>
        <v>5</v>
      </c>
      <c r="AM158" s="657" t="str">
        <f>sumifs($V$2:$V700, $D$2:$D700, "Rare", $E$2:$E700, "Promo", $F$2:F700, "Shaman")</f>
        <v>0</v>
      </c>
      <c r="AN158" s="658" t="str">
        <f>COUNTIFS($D$2:$D700, "Rare", $E$2:$E700, "Promo", $F$2:F700, "Shaman" )</f>
        <v>0</v>
      </c>
      <c r="AO158" s="554" t="str">
        <f>sumifs($V$2:$V700, $D$2:$D700, "Rare", $E$2:$E700, "Naxx", $F$2:F700, "Shaman")</f>
        <v>0</v>
      </c>
      <c r="AP158" s="656" t="str">
        <f>COUNTIFS($D$2:$D700, "Rare", $E$2:$E700, "Naxx", $F$2:F700, "Shaman" )</f>
        <v>0</v>
      </c>
      <c r="AQ158" s="554" t="str">
        <f>sumifs($V$2:$V700, $D$2:$D700, "Rare", $E$2:$E700, "GvG", $F$2:F700, "Shaman")</f>
        <v>3</v>
      </c>
      <c r="AR158" s="656" t="str">
        <f>COUNTIFS($D$2:$D700, "Rare", $E$2:$E700, "GvG", $F$2:F700, "Shaman" )</f>
        <v>3</v>
      </c>
      <c r="AS158" s="554" t="str">
        <f>sumifs($V$2:$V700, $D$2:$D700, "Rare", $E$2:$E700, "Blackrock", $F$2:F700, "Shaman")</f>
        <v>1</v>
      </c>
      <c r="AT158" s="656" t="str">
        <f>COUNTIFS($D$2:$D700, "Rare", $E$2:$E700, "Blackrock", $F$2:F700, "Shaman" )</f>
        <v>1</v>
      </c>
      <c r="AU158" s="554" t="str">
        <f>sumifs($V$2:$V700, $D$2:$D700, "Rare", $E$2:$E700, "TGT", $F$2:F700, "Shaman")</f>
        <v>3</v>
      </c>
      <c r="AV158" s="656" t="str">
        <f>COUNTIFS($D$2:$D700, "Rare", $E$2:$E700, "TGT", $F$2:F700, "Shaman" )</f>
        <v>3</v>
      </c>
      <c r="AW158" s="657">
        <v>0.0</v>
      </c>
      <c r="AX158" s="658">
        <v>0.0</v>
      </c>
    </row>
    <row r="159">
      <c r="A159" s="442"/>
      <c r="B159" s="466">
        <v>4.0</v>
      </c>
      <c r="C159" s="475" t="s">
        <v>497</v>
      </c>
      <c r="D159" s="476" t="s">
        <v>15</v>
      </c>
      <c r="E159" s="477" t="s">
        <v>36</v>
      </c>
      <c r="F159" s="476" t="s">
        <v>68</v>
      </c>
      <c r="G159" s="478">
        <v>2.0</v>
      </c>
      <c r="H159" s="478">
        <v>1.0</v>
      </c>
      <c r="I159" s="479">
        <v>1.0</v>
      </c>
      <c r="J159" s="479">
        <v>1.0</v>
      </c>
      <c r="K159" s="476" t="s">
        <v>188</v>
      </c>
      <c r="L159" s="477" t="s">
        <v>498</v>
      </c>
      <c r="M159" s="476">
        <v>3.0</v>
      </c>
      <c r="N159" s="478">
        <v>4.0</v>
      </c>
      <c r="O159" s="480" t="s">
        <v>499</v>
      </c>
      <c r="P159" s="14"/>
      <c r="Q159" s="452" t="str">
        <f>MATCH($D159,Reference!$J$5:$J$9,0)</f>
        <v>2</v>
      </c>
      <c r="R159" s="452" t="str">
        <f>MATCH($E159,Reference!$J$26:$J$32,0)</f>
        <v>7</v>
      </c>
      <c r="S159" s="452" t="str">
        <f>MATCH($F159,Reference!$J$45:$J$54,0)</f>
        <v>4</v>
      </c>
      <c r="T159" s="453" t="str">
        <f>MATCH($K159,Reference!$J$37:$J$39,0)</f>
        <v>3</v>
      </c>
      <c r="U159" s="454" t="str">
        <f t="shared" si="281"/>
        <v>2</v>
      </c>
      <c r="V159" s="454" t="str">
        <f t="shared" si="3"/>
        <v>1</v>
      </c>
      <c r="W159" s="454" t="str">
        <f t="shared" si="302"/>
        <v>50</v>
      </c>
      <c r="X159" s="454" t="str">
        <f t="shared" si="282"/>
        <v>2</v>
      </c>
      <c r="Y159" s="456" t="str">
        <f t="shared" si="5"/>
        <v>FALSE</v>
      </c>
      <c r="Z159" s="456" t="str">
        <f t="shared" si="6"/>
        <v>FALSE</v>
      </c>
      <c r="AA159" s="457" t="str">
        <f t="shared" ref="AA159:AB159" si="320">1-I159</f>
        <v>0%</v>
      </c>
      <c r="AB159" s="457" t="str">
        <f t="shared" si="320"/>
        <v>0%</v>
      </c>
      <c r="AC159" s="456" t="str">
        <f t="shared" si="8"/>
        <v>2</v>
      </c>
      <c r="AD159" s="458" t="str">
        <f t="shared" si="284"/>
        <v>1</v>
      </c>
      <c r="AE159" s="458" t="str">
        <f t="shared" si="10"/>
        <v>1</v>
      </c>
      <c r="AF159" s="459" t="str">
        <f t="shared" si="304"/>
        <v>5</v>
      </c>
      <c r="AG159" s="460"/>
      <c r="AH159" s="567" t="s">
        <v>22</v>
      </c>
      <c r="AI159" s="568" t="str">
        <f t="shared" ref="AI159:AJ159" si="321">SUM(AM159+AK159+AO159+AQ159+AS159+AU159)</f>
        <v>1</v>
      </c>
      <c r="AJ159" s="569" t="str">
        <f t="shared" si="321"/>
        <v>7</v>
      </c>
      <c r="AK159" s="641" t="str">
        <f>sumifs($V$2:$V700, $D$2:$D700, "Epic", $E$2:$E700, "Classic", $F$2:F700, "Shaman")</f>
        <v>0</v>
      </c>
      <c r="AL159" s="666" t="str">
        <f>COUNTIFS($D$2:$D700, "Epic", $E$2:$E700, "Classic", $F$2:F700, "Shaman" )</f>
        <v>3</v>
      </c>
      <c r="AM159" s="667" t="str">
        <f>sumifs($V$2:$V700, $D$2:$D700, "Epic", $E$2:$E700, "Promo", $F$2:F700, "Shaman")</f>
        <v>0</v>
      </c>
      <c r="AN159" s="668" t="str">
        <f>COUNTIFS($D$2:$D700, "Epic", $E$2:$E700, "Promo", $F$2:F700, "Shaman" )</f>
        <v>0</v>
      </c>
      <c r="AO159" s="641" t="str">
        <f>sumifs($V$2:$V700, $D$2:$D700, "Epic", $E$2:$E700, "Naxx", $F$2:F700, "Shaman")</f>
        <v>0</v>
      </c>
      <c r="AP159" s="666" t="str">
        <f>COUNTIFS($D$2:$D700, "Epic", $E$2:$E700, "Naxx", $F$2:F700, "Shaman" )</f>
        <v>0</v>
      </c>
      <c r="AQ159" s="641" t="str">
        <f>sumifs($V$2:$V700, $D$2:$D700, "Epic", $E$2:$E700, "GvG", $F$2:F700, "Shaman")</f>
        <v>0</v>
      </c>
      <c r="AR159" s="666" t="str">
        <f>COUNTIFS($D$2:$D700, "Epic", $E$2:$E700, "GvG", $F$2:F700, "Shaman" )</f>
        <v>2</v>
      </c>
      <c r="AS159" s="641" t="str">
        <f>sumifs($V$2:$V700, $D$2:$D700, "Epic", $E$2:$E700, "Blackrock", $F$2:F700, "Shaman")</f>
        <v>0</v>
      </c>
      <c r="AT159" s="666" t="str">
        <f>COUNTIFS($D$2:$D700, "Epic", $E$2:$E700, "Blackrock", $F$2:F700, "Shaman" )</f>
        <v>0</v>
      </c>
      <c r="AU159" s="641" t="str">
        <f>sumifs($V$2:$V700, $D$2:$D700, "Epic", $E$2:$E700, "TGT", $F$2:F700, "Shaman")</f>
        <v>1</v>
      </c>
      <c r="AV159" s="666" t="str">
        <f>COUNTIFS($D$2:$D700, "Epic", $E$2:$E700, "TGT", $F$2:F700, "Shaman" )</f>
        <v>2</v>
      </c>
      <c r="AW159" s="667">
        <v>0.0</v>
      </c>
      <c r="AX159" s="668">
        <v>0.0</v>
      </c>
    </row>
    <row r="160">
      <c r="A160" s="466"/>
      <c r="B160" s="469">
        <v>5.0</v>
      </c>
      <c r="C160" s="501" t="s">
        <v>500</v>
      </c>
      <c r="D160" s="502" t="s">
        <v>15</v>
      </c>
      <c r="E160" s="502" t="s">
        <v>47</v>
      </c>
      <c r="F160" s="503" t="s">
        <v>68</v>
      </c>
      <c r="G160" s="471" t="str">
        <f>IF(Summary!$Y$27&gt;=VLOOKUP(C160,Reference!$N$6:$O$36,2,0),2,0)</f>
        <v>2</v>
      </c>
      <c r="H160" s="471">
        <v>0.0</v>
      </c>
      <c r="I160" s="486">
        <v>1.0</v>
      </c>
      <c r="J160" s="486"/>
      <c r="K160" s="499" t="s">
        <v>162</v>
      </c>
      <c r="L160" s="499"/>
      <c r="M160" s="499"/>
      <c r="N160" s="499"/>
      <c r="O160" s="223" t="s">
        <v>501</v>
      </c>
      <c r="P160" s="14"/>
      <c r="Q160" s="452" t="str">
        <f>MATCH($D160,Reference!$J$5:$J$9,0)</f>
        <v>2</v>
      </c>
      <c r="R160" s="452" t="str">
        <f>MATCH($E160,Reference!$J$26:$J$32,0)</f>
        <v>6</v>
      </c>
      <c r="S160" s="452" t="str">
        <f>MATCH($F160,Reference!$J$45:$J$54,0)</f>
        <v>4</v>
      </c>
      <c r="T160" s="453" t="str">
        <f>MATCH($K160,Reference!$J$37:$J$39,0)</f>
        <v>2</v>
      </c>
      <c r="U160" s="454" t="str">
        <f t="shared" si="281"/>
        <v>2</v>
      </c>
      <c r="V160" s="454" t="str">
        <f t="shared" si="3"/>
        <v>1</v>
      </c>
      <c r="W160" s="454" t="str">
        <f t="shared" si="302"/>
        <v>0</v>
      </c>
      <c r="X160" s="454" t="str">
        <f t="shared" si="282"/>
        <v>2</v>
      </c>
      <c r="Y160" s="456" t="str">
        <f t="shared" si="5"/>
        <v>FALSE</v>
      </c>
      <c r="Z160" s="456" t="str">
        <f t="shared" si="6"/>
        <v>FALSE</v>
      </c>
      <c r="AA160" s="457" t="str">
        <f t="shared" ref="AA160:AB160" si="322">1-I160</f>
        <v>0%</v>
      </c>
      <c r="AB160" s="457" t="str">
        <f t="shared" si="322"/>
        <v>100%</v>
      </c>
      <c r="AC160" s="456" t="str">
        <f t="shared" si="8"/>
        <v>2</v>
      </c>
      <c r="AD160" s="458" t="str">
        <f t="shared" si="284"/>
        <v>0</v>
      </c>
      <c r="AE160" s="458" t="str">
        <f t="shared" si="10"/>
        <v>1</v>
      </c>
      <c r="AF160" s="459" t="str">
        <f t="shared" si="304"/>
        <v>0</v>
      </c>
      <c r="AG160" s="460"/>
      <c r="AH160" s="583" t="s">
        <v>23</v>
      </c>
      <c r="AI160" s="584" t="str">
        <f t="shared" ref="AI160:AJ160" si="323">SUM(AM160+AK160+AO160+AQ160+AS160+AU160)</f>
        <v>0</v>
      </c>
      <c r="AJ160" s="585" t="str">
        <f t="shared" si="323"/>
        <v>3</v>
      </c>
      <c r="AK160" s="677" t="str">
        <f>sumifs($V$2:$V700, $D$2:$D700, "Legendary", $E$2:$E700, "Classic", $F$2:F700, "Shaman")</f>
        <v>0</v>
      </c>
      <c r="AL160" s="678" t="str">
        <f>COUNTIFS($D$2:$D700, "Legendary", $E$2:$E700, "Classic", $F$2:F700, "Shaman" )</f>
        <v>1</v>
      </c>
      <c r="AM160" s="679" t="str">
        <f>sumifs($V$2:$V700, $D$2:$D700, "Legendary", $E$2:$E700, "Promo", $F$2:F700, "Shaman")</f>
        <v>0</v>
      </c>
      <c r="AN160" s="680" t="str">
        <f>COUNTIFS($D$2:$D700, "Legendary", $E$2:$E700, "Promo", $F$2:F700, "Shaman" )</f>
        <v>0</v>
      </c>
      <c r="AO160" s="677" t="str">
        <f>sumifs($V$2:$V700, $D$2:$D700, "Legendary", $E$2:$E700, "Naxx", $F$2:F700, "Shaman")</f>
        <v>0</v>
      </c>
      <c r="AP160" s="678" t="str">
        <f>COUNTIFS($D$2:$D700, "Legendary", $E$2:$E700, "Naxx", $F$2:F700, "Shaman" )</f>
        <v>0</v>
      </c>
      <c r="AQ160" s="677" t="str">
        <f>sumifs($V$2:$V700, $D$2:$D700, "Legendary", $E$2:$E700, "GvG", $F$2:F700, "Shaman")</f>
        <v>0</v>
      </c>
      <c r="AR160" s="678" t="str">
        <f>COUNTIFS($D$2:$D700, "Legendary", $E$2:$E700, "GvG", $F$2:F700, "Shaman" )</f>
        <v>1</v>
      </c>
      <c r="AS160" s="677" t="str">
        <f>sumifs($V$2:$V700, $D$2:$D700, "Legendary", $E$2:$E700, "Blackrock", $F$2:F700, "Shaman")</f>
        <v>0</v>
      </c>
      <c r="AT160" s="678" t="str">
        <f>COUNTIFS($D$2:$D700, "Legendary", $E$2:$E700, "Blackrock", $F$2:F700, "Shaman" )</f>
        <v>0</v>
      </c>
      <c r="AU160" s="677" t="str">
        <f>sumifs($V$2:$V700, $D$2:$D700, "Legendary", $E$2:$E700, "TGT", $F$2:F700, "Shaman")</f>
        <v>0</v>
      </c>
      <c r="AV160" s="678" t="str">
        <f>COUNTIFS($D$2:$D700, "Legendary", $E$2:$E700, "TGT", $F$2:F700, "Shaman" )</f>
        <v>1</v>
      </c>
      <c r="AW160" s="679">
        <v>0.0</v>
      </c>
      <c r="AX160" s="680">
        <v>0.0</v>
      </c>
    </row>
    <row r="161">
      <c r="A161" s="442"/>
      <c r="B161" s="560">
        <v>1.0</v>
      </c>
      <c r="C161" s="561" t="s">
        <v>502</v>
      </c>
      <c r="D161" s="562" t="s">
        <v>21</v>
      </c>
      <c r="E161" s="563" t="s">
        <v>36</v>
      </c>
      <c r="F161" s="562" t="s">
        <v>68</v>
      </c>
      <c r="G161" s="564">
        <v>2.0</v>
      </c>
      <c r="H161" s="564">
        <v>0.0</v>
      </c>
      <c r="I161" s="565">
        <v>1.0</v>
      </c>
      <c r="J161" s="565">
        <v>1.0</v>
      </c>
      <c r="K161" s="563" t="s">
        <v>162</v>
      </c>
      <c r="L161" s="563"/>
      <c r="M161" s="563"/>
      <c r="N161" s="563"/>
      <c r="O161" s="566" t="s">
        <v>503</v>
      </c>
      <c r="P161" s="14"/>
      <c r="Q161" s="452" t="str">
        <f>MATCH($D161,Reference!$J$5:$J$9,0)</f>
        <v>3</v>
      </c>
      <c r="R161" s="452" t="str">
        <f>MATCH($E161,Reference!$J$26:$J$32,0)</f>
        <v>7</v>
      </c>
      <c r="S161" s="452" t="str">
        <f>MATCH($F161,Reference!$J$45:$J$54,0)</f>
        <v>4</v>
      </c>
      <c r="T161" s="453" t="str">
        <f>MATCH($K161,Reference!$J$37:$J$39,0)</f>
        <v>2</v>
      </c>
      <c r="U161" s="454" t="str">
        <f t="shared" si="281"/>
        <v>2</v>
      </c>
      <c r="V161" s="454" t="str">
        <f t="shared" si="3"/>
        <v>1</v>
      </c>
      <c r="W161" s="454" t="str">
        <f t="shared" ref="W161:W169" si="325">(MIN(G161,2)+H161-U161)*100</f>
        <v>0</v>
      </c>
      <c r="X161" s="454" t="str">
        <f t="shared" si="282"/>
        <v>2</v>
      </c>
      <c r="Y161" s="456" t="str">
        <f t="shared" si="5"/>
        <v>FALSE</v>
      </c>
      <c r="Z161" s="456" t="str">
        <f t="shared" si="6"/>
        <v>FALSE</v>
      </c>
      <c r="AA161" s="457" t="str">
        <f t="shared" ref="AA161:AB161" si="324">1-I161</f>
        <v>0%</v>
      </c>
      <c r="AB161" s="457" t="str">
        <f t="shared" si="324"/>
        <v>0%</v>
      </c>
      <c r="AC161" s="456" t="str">
        <f t="shared" si="8"/>
        <v>2</v>
      </c>
      <c r="AD161" s="458" t="str">
        <f t="shared" si="284"/>
        <v>0</v>
      </c>
      <c r="AE161" s="458" t="str">
        <f t="shared" si="10"/>
        <v>1</v>
      </c>
      <c r="AF161" s="459" t="str">
        <f t="shared" ref="AF161:AF172" si="327">(MIN(H161,2)+G161-U161)*20</f>
        <v>0</v>
      </c>
      <c r="AG161" s="460"/>
      <c r="AH161" s="587" t="s">
        <v>234</v>
      </c>
      <c r="AI161" s="499"/>
      <c r="AJ161" s="588"/>
      <c r="AK161" s="499"/>
      <c r="AL161" s="588"/>
      <c r="AM161" s="499"/>
      <c r="AN161" s="588"/>
      <c r="AO161" s="499"/>
      <c r="AP161" s="588"/>
      <c r="AQ161" s="499"/>
      <c r="AR161" s="588"/>
      <c r="AS161" s="499"/>
      <c r="AT161" s="588"/>
      <c r="AU161" s="499"/>
      <c r="AV161" s="588"/>
      <c r="AW161" s="499"/>
      <c r="AX161" s="588"/>
    </row>
    <row r="162">
      <c r="A162" s="463"/>
      <c r="B162" s="560">
        <v>2.0</v>
      </c>
      <c r="C162" s="561" t="s">
        <v>504</v>
      </c>
      <c r="D162" s="562" t="s">
        <v>21</v>
      </c>
      <c r="E162" s="563" t="s">
        <v>36</v>
      </c>
      <c r="F162" s="562" t="s">
        <v>68</v>
      </c>
      <c r="G162" s="564">
        <v>2.0</v>
      </c>
      <c r="H162" s="564">
        <v>0.0</v>
      </c>
      <c r="I162" s="565">
        <v>1.0</v>
      </c>
      <c r="J162" s="565">
        <v>1.0</v>
      </c>
      <c r="K162" s="563" t="s">
        <v>304</v>
      </c>
      <c r="L162" s="563"/>
      <c r="M162" s="563">
        <v>2.0</v>
      </c>
      <c r="N162" s="563">
        <v>2.0</v>
      </c>
      <c r="O162" s="566" t="s">
        <v>505</v>
      </c>
      <c r="P162" s="14"/>
      <c r="Q162" s="452" t="str">
        <f>MATCH($D162,Reference!$J$5:$J$9,0)</f>
        <v>3</v>
      </c>
      <c r="R162" s="452" t="str">
        <f>MATCH($E162,Reference!$J$26:$J$32,0)</f>
        <v>7</v>
      </c>
      <c r="S162" s="452" t="str">
        <f>MATCH($F162,Reference!$J$45:$J$54,0)</f>
        <v>4</v>
      </c>
      <c r="T162" s="453" t="str">
        <f>MATCH($K162,Reference!$J$37:$J$39,0)</f>
        <v>1</v>
      </c>
      <c r="U162" s="454" t="str">
        <f t="shared" si="281"/>
        <v>2</v>
      </c>
      <c r="V162" s="454" t="str">
        <f t="shared" si="3"/>
        <v>1</v>
      </c>
      <c r="W162" s="454" t="str">
        <f t="shared" si="325"/>
        <v>0</v>
      </c>
      <c r="X162" s="454" t="str">
        <f t="shared" si="282"/>
        <v>2</v>
      </c>
      <c r="Y162" s="456" t="str">
        <f t="shared" si="5"/>
        <v>FALSE</v>
      </c>
      <c r="Z162" s="456" t="str">
        <f t="shared" si="6"/>
        <v>FALSE</v>
      </c>
      <c r="AA162" s="457" t="str">
        <f t="shared" ref="AA162:AB162" si="326">1-I162</f>
        <v>0%</v>
      </c>
      <c r="AB162" s="457" t="str">
        <f t="shared" si="326"/>
        <v>0%</v>
      </c>
      <c r="AC162" s="456" t="str">
        <f t="shared" si="8"/>
        <v>2</v>
      </c>
      <c r="AD162" s="458" t="str">
        <f t="shared" si="284"/>
        <v>0</v>
      </c>
      <c r="AE162" s="458" t="str">
        <f t="shared" si="10"/>
        <v>1</v>
      </c>
      <c r="AF162" s="459" t="str">
        <f t="shared" si="327"/>
        <v>0</v>
      </c>
      <c r="AG162" s="460"/>
      <c r="AH162" s="643" t="s">
        <v>10</v>
      </c>
      <c r="AI162" s="534" t="str">
        <f t="shared" ref="AI162:AJ162" si="328">SUM(AM162+AK162+AO162+AQ162+AS162+AU162)</f>
        <v>20</v>
      </c>
      <c r="AJ162" s="535" t="str">
        <f t="shared" si="328"/>
        <v>20</v>
      </c>
      <c r="AK162" s="449" t="str">
        <f>sumifs($U$2:$U700, $E$2:$E700, "Basic", $F$2:F700, "Shaman")</f>
        <v>20</v>
      </c>
      <c r="AL162" s="535" t="str">
        <f>COUNTIFS($E$2:$E700, "Basic", $F$2:F700, "Shaman" )*2</f>
        <v>20</v>
      </c>
      <c r="AM162" s="449"/>
      <c r="AN162" s="537"/>
      <c r="AO162" s="449"/>
      <c r="AP162" s="537"/>
      <c r="AQ162" s="449"/>
      <c r="AR162" s="537"/>
      <c r="AS162" s="449"/>
      <c r="AT162" s="537"/>
      <c r="AU162" s="449"/>
      <c r="AV162" s="537"/>
      <c r="AW162" s="449"/>
      <c r="AX162" s="537"/>
    </row>
    <row r="163">
      <c r="A163" s="571"/>
      <c r="B163" s="547">
        <v>2.0</v>
      </c>
      <c r="C163" s="548" t="s">
        <v>506</v>
      </c>
      <c r="D163" s="549" t="s">
        <v>21</v>
      </c>
      <c r="E163" s="693" t="s">
        <v>33</v>
      </c>
      <c r="F163" s="694" t="s">
        <v>68</v>
      </c>
      <c r="G163" s="552">
        <v>2.0</v>
      </c>
      <c r="H163" s="551">
        <v>0.0</v>
      </c>
      <c r="I163" s="553">
        <v>1.0</v>
      </c>
      <c r="J163" s="553">
        <v>1.0</v>
      </c>
      <c r="K163" s="554" t="s">
        <v>162</v>
      </c>
      <c r="L163" s="554"/>
      <c r="M163" s="554"/>
      <c r="N163" s="554"/>
      <c r="O163" s="555" t="s">
        <v>507</v>
      </c>
      <c r="P163" s="14"/>
      <c r="Q163" s="452" t="str">
        <f>MATCH($D163,Reference!$J$5:$J$9,0)</f>
        <v>3</v>
      </c>
      <c r="R163" s="452" t="str">
        <f>MATCH($E163,Reference!$J$26:$J$32,0)</f>
        <v>2</v>
      </c>
      <c r="S163" s="452" t="str">
        <f>MATCH($F163,Reference!$J$45:$J$54,0)</f>
        <v>4</v>
      </c>
      <c r="T163" s="453" t="str">
        <f>MATCH($K163,Reference!$J$37:$J$39,0)</f>
        <v>2</v>
      </c>
      <c r="U163" s="454" t="str">
        <f t="shared" si="281"/>
        <v>2</v>
      </c>
      <c r="V163" s="454" t="str">
        <f t="shared" si="3"/>
        <v>1</v>
      </c>
      <c r="W163" s="454" t="str">
        <f t="shared" si="325"/>
        <v>0</v>
      </c>
      <c r="X163" s="454" t="str">
        <f t="shared" si="282"/>
        <v>2</v>
      </c>
      <c r="Y163" s="456" t="str">
        <f t="shared" si="5"/>
        <v>FALSE</v>
      </c>
      <c r="Z163" s="456" t="str">
        <f t="shared" si="6"/>
        <v>FALSE</v>
      </c>
      <c r="AA163" s="457" t="str">
        <f t="shared" ref="AA163:AB163" si="329">1-I163</f>
        <v>0%</v>
      </c>
      <c r="AB163" s="457" t="str">
        <f t="shared" si="329"/>
        <v>0%</v>
      </c>
      <c r="AC163" s="456" t="str">
        <f t="shared" si="8"/>
        <v>2</v>
      </c>
      <c r="AD163" s="458" t="str">
        <f t="shared" si="284"/>
        <v>0</v>
      </c>
      <c r="AE163" s="458" t="str">
        <f t="shared" si="10"/>
        <v>1</v>
      </c>
      <c r="AF163" s="459" t="str">
        <f t="shared" si="327"/>
        <v>0</v>
      </c>
      <c r="AG163" s="460"/>
      <c r="AH163" s="591" t="s">
        <v>15</v>
      </c>
      <c r="AI163" s="522" t="str">
        <f t="shared" ref="AI163:AJ163" si="330">SUM(AM163+AK163+AO163+AQ163+AS163+AU163)</f>
        <v>25</v>
      </c>
      <c r="AJ163" s="544" t="str">
        <f t="shared" si="330"/>
        <v>26</v>
      </c>
      <c r="AK163" s="499" t="str">
        <f>sumifs($U$2:$U700, $D$2:$D700, "Common", $E$2:$E700, "Classic", $F$2:F700, "Shaman")</f>
        <v>11</v>
      </c>
      <c r="AL163" s="544" t="str">
        <f>COUNTIFS($D$2:$D700, "Common", $E$2:$E700, "Classic", $F$2:F700, "Shaman" )*2</f>
        <v>12</v>
      </c>
      <c r="AM163" s="531" t="str">
        <f>sumifs($U$2:$U700, $D$2:$D700, "Common", $E$2:$E700, "Promo", $F$2:F700, "Shaman")</f>
        <v>0</v>
      </c>
      <c r="AN163" s="647" t="str">
        <f>COUNTIFS($D$2:$D700, "Common", $E$2:$E700, "Promo", $F$2:F700, "Shaman" )*2</f>
        <v>0</v>
      </c>
      <c r="AO163" s="499" t="str">
        <f>sumifs($U$2:$U700, $D$2:$D700, "Common", $E$2:$E700, "Naxx", $F$2:F700, "Shaman")</f>
        <v>2</v>
      </c>
      <c r="AP163" s="544" t="str">
        <f>COUNTIFS($D$2:$D700, "Common", $E$2:$E700, "Naxx", $F$2:F700, "Shaman" )*2</f>
        <v>2</v>
      </c>
      <c r="AQ163" s="499" t="str">
        <f>sumifs($U$2:$U700, $D$2:$D700, "Common", $E$2:$E700, "GvG", $F$2:F700, "Shaman")</f>
        <v>4</v>
      </c>
      <c r="AR163" s="544" t="str">
        <f>COUNTIFS($D$2:$D700, "Common", $E$2:$E700, "GvG", $F$2:F700, "Shaman" )*2</f>
        <v>4</v>
      </c>
      <c r="AS163" s="499" t="str">
        <f>sumifs($U$2:$U700, $D$2:$D700, "Common", $E$2:$E700, "Blackrock", $F$2:F700, "Shaman")</f>
        <v>2</v>
      </c>
      <c r="AT163" s="544" t="str">
        <f>COUNTIFS($D$2:$D700, "Common", $E$2:$E700, "Blackrock", $F$2:F700, "Shaman" )*2</f>
        <v>2</v>
      </c>
      <c r="AU163" s="499" t="str">
        <f>sumifs($U$2:$U700, $D$2:$D700, "Common", $E$2:$E700, "TGT", $F$2:F700, "Shaman")</f>
        <v>6</v>
      </c>
      <c r="AV163" s="544" t="str">
        <f>COUNTIFS($D$2:$D700, "Common", $E$2:$E700, "TGT", $F$2:F700, "Shaman" )*2</f>
        <v>6</v>
      </c>
      <c r="AW163" s="531">
        <v>0.0</v>
      </c>
      <c r="AX163" s="647">
        <v>0.0</v>
      </c>
    </row>
    <row r="164">
      <c r="A164" s="442"/>
      <c r="B164" s="547">
        <v>3.0</v>
      </c>
      <c r="C164" s="548" t="s">
        <v>508</v>
      </c>
      <c r="D164" s="549" t="s">
        <v>21</v>
      </c>
      <c r="E164" s="549" t="s">
        <v>33</v>
      </c>
      <c r="F164" s="550" t="s">
        <v>68</v>
      </c>
      <c r="G164" s="551">
        <v>2.0</v>
      </c>
      <c r="H164" s="551">
        <v>0.0</v>
      </c>
      <c r="I164" s="553">
        <v>1.0</v>
      </c>
      <c r="J164" s="553">
        <v>1.0</v>
      </c>
      <c r="K164" s="554" t="s">
        <v>188</v>
      </c>
      <c r="L164" s="554"/>
      <c r="M164" s="554">
        <v>3.0</v>
      </c>
      <c r="N164" s="554">
        <v>3.0</v>
      </c>
      <c r="O164" s="555" t="s">
        <v>509</v>
      </c>
      <c r="P164" s="14"/>
      <c r="Q164" s="452" t="str">
        <f>MATCH($D164,Reference!$J$5:$J$9,0)</f>
        <v>3</v>
      </c>
      <c r="R164" s="452" t="str">
        <f>MATCH($E164,Reference!$J$26:$J$32,0)</f>
        <v>2</v>
      </c>
      <c r="S164" s="452" t="str">
        <f>MATCH($F164,Reference!$J$45:$J$54,0)</f>
        <v>4</v>
      </c>
      <c r="T164" s="453" t="str">
        <f>MATCH($K164,Reference!$J$37:$J$39,0)</f>
        <v>3</v>
      </c>
      <c r="U164" s="454" t="str">
        <f t="shared" si="281"/>
        <v>2</v>
      </c>
      <c r="V164" s="454" t="str">
        <f t="shared" si="3"/>
        <v>1</v>
      </c>
      <c r="W164" s="454" t="str">
        <f t="shared" si="325"/>
        <v>0</v>
      </c>
      <c r="X164" s="454" t="str">
        <f t="shared" si="282"/>
        <v>2</v>
      </c>
      <c r="Y164" s="456" t="str">
        <f t="shared" si="5"/>
        <v>FALSE</v>
      </c>
      <c r="Z164" s="456" t="str">
        <f t="shared" si="6"/>
        <v>FALSE</v>
      </c>
      <c r="AA164" s="457" t="str">
        <f t="shared" ref="AA164:AB164" si="331">1-I164</f>
        <v>0%</v>
      </c>
      <c r="AB164" s="457" t="str">
        <f t="shared" si="331"/>
        <v>0%</v>
      </c>
      <c r="AC164" s="456" t="str">
        <f t="shared" si="8"/>
        <v>2</v>
      </c>
      <c r="AD164" s="458" t="str">
        <f t="shared" si="284"/>
        <v>0</v>
      </c>
      <c r="AE164" s="458" t="str">
        <f t="shared" si="10"/>
        <v>1</v>
      </c>
      <c r="AF164" s="459" t="str">
        <f t="shared" si="327"/>
        <v>0</v>
      </c>
      <c r="AG164" s="460"/>
      <c r="AH164" s="592" t="s">
        <v>21</v>
      </c>
      <c r="AI164" s="557" t="str">
        <f t="shared" ref="AI164:AJ164" si="332">SUM(AM164+AK164+AO164+AQ164+AS164+AU164)</f>
        <v>16</v>
      </c>
      <c r="AJ164" s="558" t="str">
        <f t="shared" si="332"/>
        <v>24</v>
      </c>
      <c r="AK164" s="554" t="str">
        <f>sumifs($U$2:$U700, $D$2:$D700, "Rare", $E$2:$E700, "Classic", $F$2:F700, "Shaman")</f>
        <v>5</v>
      </c>
      <c r="AL164" s="558" t="str">
        <f>COUNTIFS($D$2:$D700, "Rare", $E$2:$E700, "Classic", $F$2:F700, "Shaman" )*2</f>
        <v>10</v>
      </c>
      <c r="AM164" s="657" t="str">
        <f>sumifs($U$2:$U700, $D$2:$D700, "Rare", $E$2:$E700, "Promo", $F$2:F700, "Shaman")</f>
        <v>0</v>
      </c>
      <c r="AN164" s="658" t="str">
        <f>COUNTIFS($D$2:$D700, "Rare", $E$2:$E700, "Promo", $F$2:F700, "Shaman" )*2</f>
        <v>0</v>
      </c>
      <c r="AO164" s="554" t="str">
        <f>sumifs($U$2:$U700, $D$2:$D700, "Rare", $E$2:$E700, "Naxx", $F$2:F700, "Shaman")</f>
        <v>0</v>
      </c>
      <c r="AP164" s="558" t="str">
        <f>COUNTIFS($D$2:$D700, "Rare", $E$2:$E700, "Naxx", $F$2:F700, "Shaman" )*2</f>
        <v>0</v>
      </c>
      <c r="AQ164" s="554" t="str">
        <f>sumifs($U$2:$U700, $D$2:$D700, "Rare", $E$2:$E700, "GvG", $F$2:F700, "Shaman")</f>
        <v>3</v>
      </c>
      <c r="AR164" s="558" t="str">
        <f>COUNTIFS($D$2:$D700, "Rare", $E$2:$E700, "GvG", $F$2:F700, "Shaman" )*2</f>
        <v>6</v>
      </c>
      <c r="AS164" s="554" t="str">
        <f>sumifs($U$2:$U700, $D$2:$D700, "Rare", $E$2:$E700, "Blackrock", $F$2:F700, "Shaman")</f>
        <v>2</v>
      </c>
      <c r="AT164" s="558" t="str">
        <f>COUNTIFS($D$2:$D700, "Rare", $E$2:$E700, "Blackrock", $F$2:F700, "Shaman" )*2</f>
        <v>2</v>
      </c>
      <c r="AU164" s="554" t="str">
        <f>sumifs($U$2:$U700, $D$2:$D700, "Rare", $E$2:$E700, "TGT", $F$2:F700, "Shaman")</f>
        <v>6</v>
      </c>
      <c r="AV164" s="558" t="str">
        <f>COUNTIFS($D$2:$D700, "Rare", $E$2:$E700, "TGT", $F$2:F700, "Shaman" )*2</f>
        <v>6</v>
      </c>
      <c r="AW164" s="657">
        <v>0.0</v>
      </c>
      <c r="AX164" s="658">
        <v>0.0</v>
      </c>
    </row>
    <row r="165">
      <c r="A165" s="463"/>
      <c r="B165" s="547">
        <v>3.0</v>
      </c>
      <c r="C165" s="548" t="s">
        <v>510</v>
      </c>
      <c r="D165" s="549" t="s">
        <v>21</v>
      </c>
      <c r="E165" s="693" t="s">
        <v>33</v>
      </c>
      <c r="F165" s="694" t="s">
        <v>68</v>
      </c>
      <c r="G165" s="551">
        <v>2.0</v>
      </c>
      <c r="H165" s="552">
        <v>0.0</v>
      </c>
      <c r="I165" s="553">
        <v>1.0</v>
      </c>
      <c r="J165" s="553">
        <v>1.0</v>
      </c>
      <c r="K165" s="554" t="s">
        <v>162</v>
      </c>
      <c r="L165" s="554"/>
      <c r="M165" s="554"/>
      <c r="N165" s="554"/>
      <c r="O165" s="555" t="s">
        <v>511</v>
      </c>
      <c r="P165" s="14"/>
      <c r="Q165" s="452" t="str">
        <f>MATCH($D165,Reference!$J$5:$J$9,0)</f>
        <v>3</v>
      </c>
      <c r="R165" s="452" t="str">
        <f>MATCH($E165,Reference!$J$26:$J$32,0)</f>
        <v>2</v>
      </c>
      <c r="S165" s="452" t="str">
        <f>MATCH($F165,Reference!$J$45:$J$54,0)</f>
        <v>4</v>
      </c>
      <c r="T165" s="453" t="str">
        <f>MATCH($K165,Reference!$J$37:$J$39,0)</f>
        <v>2</v>
      </c>
      <c r="U165" s="454" t="str">
        <f t="shared" si="281"/>
        <v>2</v>
      </c>
      <c r="V165" s="454" t="str">
        <f t="shared" si="3"/>
        <v>1</v>
      </c>
      <c r="W165" s="454" t="str">
        <f t="shared" si="325"/>
        <v>0</v>
      </c>
      <c r="X165" s="454" t="str">
        <f t="shared" si="282"/>
        <v>2</v>
      </c>
      <c r="Y165" s="456" t="str">
        <f t="shared" si="5"/>
        <v>FALSE</v>
      </c>
      <c r="Z165" s="456" t="str">
        <f t="shared" si="6"/>
        <v>FALSE</v>
      </c>
      <c r="AA165" s="457" t="str">
        <f t="shared" ref="AA165:AB165" si="333">1-I165</f>
        <v>0%</v>
      </c>
      <c r="AB165" s="457" t="str">
        <f t="shared" si="333"/>
        <v>0%</v>
      </c>
      <c r="AC165" s="456" t="str">
        <f t="shared" si="8"/>
        <v>2</v>
      </c>
      <c r="AD165" s="458" t="str">
        <f t="shared" si="284"/>
        <v>0</v>
      </c>
      <c r="AE165" s="458" t="str">
        <f t="shared" si="10"/>
        <v>1</v>
      </c>
      <c r="AF165" s="459" t="str">
        <f t="shared" si="327"/>
        <v>0</v>
      </c>
      <c r="AG165" s="460"/>
      <c r="AH165" s="593" t="s">
        <v>22</v>
      </c>
      <c r="AI165" s="568" t="str">
        <f t="shared" ref="AI165:AJ165" si="334">SUM(AM165+AK165+AO165+AQ165+AS165+AU165)</f>
        <v>2</v>
      </c>
      <c r="AJ165" s="569" t="str">
        <f t="shared" si="334"/>
        <v>14</v>
      </c>
      <c r="AK165" s="641" t="str">
        <f>sumifs($U$2:$U700, $D$2:$D700, "Epic", $E$2:$E700, "Classic", $F$2:F700, "Shaman")</f>
        <v>0</v>
      </c>
      <c r="AL165" s="569" t="str">
        <f>COUNTIFS($D$2:$D700, "Epic", $E$2:$E700, "Classic", $F$2:F700, "Shaman" )*2</f>
        <v>6</v>
      </c>
      <c r="AM165" s="667" t="str">
        <f>sumifs($U$2:$U700, $D$2:$D700, "Epic", $E$2:$E700, "Promo", $F$2:F700, "Shaman")</f>
        <v>0</v>
      </c>
      <c r="AN165" s="668" t="str">
        <f>COUNTIFS($D$2:$D700, "Epic", $E$2:$E700, "Promo", $F$2:F700, "Shaman" )*2</f>
        <v>0</v>
      </c>
      <c r="AO165" s="641" t="str">
        <f>sumifs($U$2:$U700, $D$2:$D700, "Epic", $E$2:$E700, "Naxx", $F$2:F700, "Shaman")</f>
        <v>0</v>
      </c>
      <c r="AP165" s="569" t="str">
        <f>COUNTIFS($D$2:$D700, "Epic", $E$2:$E700, "Naxx", $F$2:F700, "Shaman" )*2</f>
        <v>0</v>
      </c>
      <c r="AQ165" s="641" t="str">
        <f>sumifs($U$2:$U700, $D$2:$D700, "Epic", $E$2:$E700, "GvG", $F$2:F700, "Shaman")</f>
        <v>0</v>
      </c>
      <c r="AR165" s="569" t="str">
        <f>COUNTIFS($D$2:$D700, "Epic", $E$2:$E700, "GvG", $F$2:F700, "Shaman" )*2</f>
        <v>4</v>
      </c>
      <c r="AS165" s="641" t="str">
        <f>sumifs($U$2:$U700, $D$2:$D700, "Epic", $E$2:$E700, "Blackrock", $F$2:F700, "Shaman")</f>
        <v>0</v>
      </c>
      <c r="AT165" s="569" t="str">
        <f>COUNTIFS($D$2:$D700, "Epic", $E$2:$E700, "Blackrock", $F$2:F700, "Shaman" )*2</f>
        <v>0</v>
      </c>
      <c r="AU165" s="641" t="str">
        <f>sumifs($U$2:$U700, $D$2:$D700, "Epic", $E$2:$E700, "TGT", $F$2:F700, "Shaman")</f>
        <v>2</v>
      </c>
      <c r="AV165" s="569" t="str">
        <f>COUNTIFS($D$2:$D700, "Epic", $E$2:$E700, "TGT", $F$2:F700, "Shaman" )*2</f>
        <v>4</v>
      </c>
      <c r="AW165" s="667">
        <v>0.0</v>
      </c>
      <c r="AX165" s="668">
        <v>0.0</v>
      </c>
    </row>
    <row r="166">
      <c r="A166" s="442"/>
      <c r="B166" s="594">
        <v>3.0</v>
      </c>
      <c r="C166" s="595" t="s">
        <v>512</v>
      </c>
      <c r="D166" s="575" t="s">
        <v>21</v>
      </c>
      <c r="E166" s="575" t="s">
        <v>35</v>
      </c>
      <c r="F166" s="576" t="s">
        <v>68</v>
      </c>
      <c r="G166" s="596">
        <v>2.0</v>
      </c>
      <c r="H166" s="597">
        <v>0.0</v>
      </c>
      <c r="I166" s="598">
        <v>1.0</v>
      </c>
      <c r="J166" s="598">
        <v>1.0</v>
      </c>
      <c r="K166" s="575" t="s">
        <v>162</v>
      </c>
      <c r="L166" s="575"/>
      <c r="M166" s="576"/>
      <c r="N166" s="597"/>
      <c r="O166" s="599" t="s">
        <v>513</v>
      </c>
      <c r="P166" s="14"/>
      <c r="Q166" s="452" t="str">
        <f>MATCH($D166,Reference!$J$5:$J$9,0)</f>
        <v>3</v>
      </c>
      <c r="R166" s="452" t="str">
        <f>MATCH($E166,Reference!$J$26:$J$32,0)</f>
        <v>5</v>
      </c>
      <c r="S166" s="452" t="str">
        <f>MATCH($F166,Reference!$J$45:$J$54,0)</f>
        <v>4</v>
      </c>
      <c r="T166" s="453" t="str">
        <f>MATCH($K166,Reference!$J$37:$J$39,0)</f>
        <v>2</v>
      </c>
      <c r="U166" s="454" t="str">
        <f t="shared" si="281"/>
        <v>2</v>
      </c>
      <c r="V166" s="454" t="str">
        <f t="shared" si="3"/>
        <v>1</v>
      </c>
      <c r="W166" s="454" t="str">
        <f t="shared" si="325"/>
        <v>0</v>
      </c>
      <c r="X166" s="454" t="str">
        <f t="shared" si="282"/>
        <v>2</v>
      </c>
      <c r="Y166" s="456" t="str">
        <f t="shared" si="5"/>
        <v>FALSE</v>
      </c>
      <c r="Z166" s="456" t="str">
        <f t="shared" si="6"/>
        <v>FALSE</v>
      </c>
      <c r="AA166" s="457" t="str">
        <f t="shared" ref="AA166:AB166" si="335">1-I166</f>
        <v>0%</v>
      </c>
      <c r="AB166" s="457" t="str">
        <f t="shared" si="335"/>
        <v>0%</v>
      </c>
      <c r="AC166" s="456" t="str">
        <f t="shared" si="8"/>
        <v>2</v>
      </c>
      <c r="AD166" s="458" t="str">
        <f t="shared" si="284"/>
        <v>0</v>
      </c>
      <c r="AE166" s="458" t="str">
        <f t="shared" si="10"/>
        <v>1</v>
      </c>
      <c r="AF166" s="459" t="str">
        <f t="shared" si="327"/>
        <v>0</v>
      </c>
      <c r="AG166" s="460"/>
      <c r="AH166" s="583" t="s">
        <v>23</v>
      </c>
      <c r="AI166" s="584" t="str">
        <f t="shared" ref="AI166:AJ166" si="336">SUM(AM166+AK166+AO166+AQ166+AS166+AU166)</f>
        <v>0</v>
      </c>
      <c r="AJ166" s="585" t="str">
        <f t="shared" si="336"/>
        <v>3</v>
      </c>
      <c r="AK166" s="677" t="str">
        <f>sumifs($U$2:$U700, $D$2:$D700, "Legendary", $E$2:$E700, "Classic", $F$2:F700, "Shaman")</f>
        <v>0</v>
      </c>
      <c r="AL166" s="678" t="str">
        <f>COUNTIFS($D$2:$D700, "Legendary", $E$2:$E700, "Classic", $F$2:F700, "Shaman" )</f>
        <v>1</v>
      </c>
      <c r="AM166" s="679" t="str">
        <f>sumifs($U$2:$U700, $D$2:$D700, "Legendary", $E$2:$E700, "Promo", $F$2:F700, "Shaman")</f>
        <v>0</v>
      </c>
      <c r="AN166" s="680" t="str">
        <f>COUNTIFS($D$2:$D700, "Legendary", $E$2:$E700, "Promo", $F$2:F700, "Shaman" )</f>
        <v>0</v>
      </c>
      <c r="AO166" s="677" t="str">
        <f>sumifs($U$2:$U700, $D$2:$D700, "Legendary", $E$2:$E700, "Naxx", $F$2:F700, "Shaman")</f>
        <v>0</v>
      </c>
      <c r="AP166" s="678" t="str">
        <f>COUNTIFS($D$2:$D700, "Legendary", $E$2:$E700, "Naxx", $F$2:F700, "Shaman" )</f>
        <v>0</v>
      </c>
      <c r="AQ166" s="677" t="str">
        <f>sumifs($U$2:$U700, $D$2:$D700, "Legendary", $E$2:$E700, "GvG", $F$2:F700, "Shaman")</f>
        <v>0</v>
      </c>
      <c r="AR166" s="678" t="str">
        <f>COUNTIFS($D$2:$D700, "Legendary", $E$2:$E700, "GvG", $F$2:F700, "Shaman" )</f>
        <v>1</v>
      </c>
      <c r="AS166" s="677" t="str">
        <f>sumifs($U$2:$U700, $D$2:$D700, "Legendary", $E$2:$E700, "Blackrock", $F$2:F700, "Shaman")</f>
        <v>0</v>
      </c>
      <c r="AT166" s="678" t="str">
        <f>COUNTIFS($D$2:$D700, "Legendary", $E$2:$E700, "Blackrock", $F$2:F700, "Shaman" )</f>
        <v>0</v>
      </c>
      <c r="AU166" s="677" t="str">
        <f>sumifs($U$2:$U700, $D$2:$D700, "Legendary", $E$2:$E700, "TGT", $F$2:F700, "Shaman")</f>
        <v>0</v>
      </c>
      <c r="AV166" s="678" t="str">
        <f>COUNTIFS($D$2:$D700, "Legendary", $E$2:$E700, "TGT", $F$2:F700, "Shaman" )</f>
        <v>1</v>
      </c>
      <c r="AW166" s="679">
        <v>0.0</v>
      </c>
      <c r="AX166" s="680">
        <v>0.0</v>
      </c>
    </row>
    <row r="167">
      <c r="A167" s="442"/>
      <c r="B167" s="594">
        <v>3.0</v>
      </c>
      <c r="C167" s="595" t="s">
        <v>514</v>
      </c>
      <c r="D167" s="575" t="s">
        <v>21</v>
      </c>
      <c r="E167" s="575" t="s">
        <v>35</v>
      </c>
      <c r="F167" s="576" t="s">
        <v>68</v>
      </c>
      <c r="G167" s="596">
        <v>1.0</v>
      </c>
      <c r="H167" s="596">
        <v>0.0</v>
      </c>
      <c r="I167" s="598">
        <v>1.0</v>
      </c>
      <c r="J167" s="598">
        <v>1.0</v>
      </c>
      <c r="K167" s="600" t="s">
        <v>188</v>
      </c>
      <c r="L167" s="600"/>
      <c r="M167" s="600">
        <v>4.0</v>
      </c>
      <c r="N167" s="600">
        <v>3.0</v>
      </c>
      <c r="O167" s="599" t="s">
        <v>515</v>
      </c>
      <c r="P167" s="14"/>
      <c r="Q167" s="452" t="str">
        <f>MATCH($D167,Reference!$J$5:$J$9,0)</f>
        <v>3</v>
      </c>
      <c r="R167" s="452" t="str">
        <f>MATCH($E167,Reference!$J$26:$J$32,0)</f>
        <v>5</v>
      </c>
      <c r="S167" s="452" t="str">
        <f>MATCH($F167,Reference!$J$45:$J$54,0)</f>
        <v>4</v>
      </c>
      <c r="T167" s="453" t="str">
        <f>MATCH($K167,Reference!$J$37:$J$39,0)</f>
        <v>3</v>
      </c>
      <c r="U167" s="454" t="str">
        <f t="shared" si="281"/>
        <v>1</v>
      </c>
      <c r="V167" s="454" t="str">
        <f t="shared" si="3"/>
        <v>1</v>
      </c>
      <c r="W167" s="454" t="str">
        <f t="shared" si="325"/>
        <v>0</v>
      </c>
      <c r="X167" s="454" t="str">
        <f t="shared" si="282"/>
        <v>1</v>
      </c>
      <c r="Y167" s="456" t="str">
        <f t="shared" si="5"/>
        <v>FALSE</v>
      </c>
      <c r="Z167" s="456" t="str">
        <f t="shared" si="6"/>
        <v>TRUE</v>
      </c>
      <c r="AA167" s="457" t="str">
        <f t="shared" ref="AA167:AB167" si="337">1-I167</f>
        <v>0%</v>
      </c>
      <c r="AB167" s="457" t="str">
        <f t="shared" si="337"/>
        <v>0%</v>
      </c>
      <c r="AC167" s="456" t="str">
        <f t="shared" si="8"/>
        <v>1</v>
      </c>
      <c r="AD167" s="458" t="str">
        <f t="shared" si="284"/>
        <v>0</v>
      </c>
      <c r="AE167" s="458" t="str">
        <f t="shared" si="10"/>
        <v>1</v>
      </c>
      <c r="AF167" s="459" t="str">
        <f t="shared" si="327"/>
        <v>0</v>
      </c>
      <c r="AG167" s="460"/>
      <c r="AH167" s="601" t="s">
        <v>24</v>
      </c>
      <c r="AI167" s="602"/>
      <c r="AJ167" s="603"/>
      <c r="AK167" s="602"/>
      <c r="AL167" s="603"/>
      <c r="AM167" s="602"/>
      <c r="AN167" s="603"/>
      <c r="AO167" s="602"/>
      <c r="AP167" s="603"/>
      <c r="AQ167" s="602"/>
      <c r="AR167" s="603"/>
      <c r="AS167" s="602"/>
      <c r="AT167" s="603"/>
      <c r="AU167" s="602"/>
      <c r="AV167" s="603"/>
      <c r="AW167" s="602"/>
      <c r="AX167" s="603"/>
    </row>
    <row r="168">
      <c r="A168" s="463"/>
      <c r="B168" s="547">
        <v>5.0</v>
      </c>
      <c r="C168" s="548" t="s">
        <v>516</v>
      </c>
      <c r="D168" s="549" t="s">
        <v>21</v>
      </c>
      <c r="E168" s="549" t="s">
        <v>33</v>
      </c>
      <c r="F168" s="550" t="s">
        <v>68</v>
      </c>
      <c r="G168" s="552">
        <v>0.0</v>
      </c>
      <c r="H168" s="551">
        <v>0.0</v>
      </c>
      <c r="I168" s="553">
        <v>1.0</v>
      </c>
      <c r="J168" s="553">
        <v>1.0</v>
      </c>
      <c r="K168" s="557" t="s">
        <v>162</v>
      </c>
      <c r="L168" s="554"/>
      <c r="M168" s="557"/>
      <c r="N168" s="557"/>
      <c r="O168" s="555" t="s">
        <v>517</v>
      </c>
      <c r="P168" s="14"/>
      <c r="Q168" s="452" t="str">
        <f>MATCH($D168,Reference!$J$5:$J$9,0)</f>
        <v>3</v>
      </c>
      <c r="R168" s="452" t="str">
        <f>MATCH($E168,Reference!$J$26:$J$32,0)</f>
        <v>2</v>
      </c>
      <c r="S168" s="452" t="str">
        <f>MATCH($F168,Reference!$J$45:$J$54,0)</f>
        <v>4</v>
      </c>
      <c r="T168" s="453" t="str">
        <f>MATCH($K168,Reference!$J$37:$J$39,0)</f>
        <v>2</v>
      </c>
      <c r="U168" s="454" t="str">
        <f t="shared" si="281"/>
        <v>0</v>
      </c>
      <c r="V168" s="454" t="str">
        <f t="shared" si="3"/>
        <v>0</v>
      </c>
      <c r="W168" s="454" t="str">
        <f t="shared" si="325"/>
        <v>0</v>
      </c>
      <c r="X168" s="454" t="str">
        <f t="shared" si="282"/>
        <v>0</v>
      </c>
      <c r="Y168" s="456" t="str">
        <f t="shared" si="5"/>
        <v>TRUE</v>
      </c>
      <c r="Z168" s="456" t="str">
        <f t="shared" si="6"/>
        <v>TRUE</v>
      </c>
      <c r="AA168" s="457" t="str">
        <f t="shared" ref="AA168:AB168" si="338">1-I168</f>
        <v>0%</v>
      </c>
      <c r="AB168" s="457" t="str">
        <f t="shared" si="338"/>
        <v>0%</v>
      </c>
      <c r="AC168" s="456" t="str">
        <f t="shared" si="8"/>
        <v>0</v>
      </c>
      <c r="AD168" s="458" t="str">
        <f t="shared" si="284"/>
        <v>0</v>
      </c>
      <c r="AE168" s="458" t="str">
        <f t="shared" si="10"/>
        <v>0</v>
      </c>
      <c r="AF168" s="459" t="str">
        <f t="shared" si="327"/>
        <v>0</v>
      </c>
      <c r="AG168" s="460"/>
      <c r="AH168" s="604" t="s">
        <v>221</v>
      </c>
      <c r="AI168" s="605" t="str">
        <f t="shared" ref="AI168:AN168" si="339">SUM(AI156:AI160)</f>
        <v>35</v>
      </c>
      <c r="AJ168" s="606" t="str">
        <f t="shared" si="339"/>
        <v>45</v>
      </c>
      <c r="AK168" s="605" t="str">
        <f t="shared" si="339"/>
        <v>20</v>
      </c>
      <c r="AL168" s="606" t="str">
        <f t="shared" si="339"/>
        <v>25</v>
      </c>
      <c r="AM168" s="605" t="str">
        <f t="shared" si="339"/>
        <v>0</v>
      </c>
      <c r="AN168" s="606" t="str">
        <f t="shared" si="339"/>
        <v>0</v>
      </c>
      <c r="AO168" s="605" t="str">
        <f>sum(AO156:AO160)</f>
        <v>1</v>
      </c>
      <c r="AP168" s="606" t="str">
        <f>SUM(AP156:AP160)</f>
        <v>1</v>
      </c>
      <c r="AQ168" s="605" t="str">
        <f>sum(AQ156:AQ160)</f>
        <v>5</v>
      </c>
      <c r="AR168" s="606" t="str">
        <f>SUM(AR156:AR160)</f>
        <v>8</v>
      </c>
      <c r="AS168" s="605" t="str">
        <f t="shared" ref="AS168:AX168" si="340">sum(AS156:AS160)</f>
        <v>2</v>
      </c>
      <c r="AT168" s="606" t="str">
        <f t="shared" si="340"/>
        <v>2</v>
      </c>
      <c r="AU168" s="605" t="str">
        <f t="shared" si="340"/>
        <v>7</v>
      </c>
      <c r="AV168" s="606" t="str">
        <f t="shared" si="340"/>
        <v>9</v>
      </c>
      <c r="AW168" s="605" t="str">
        <f t="shared" si="340"/>
        <v>0</v>
      </c>
      <c r="AX168" s="606" t="str">
        <f t="shared" si="340"/>
        <v>0</v>
      </c>
    </row>
    <row r="169">
      <c r="A169" s="442"/>
      <c r="B169" s="572">
        <v>5.0</v>
      </c>
      <c r="C169" s="573" t="s">
        <v>518</v>
      </c>
      <c r="D169" s="574" t="s">
        <v>21</v>
      </c>
      <c r="E169" s="574" t="s">
        <v>35</v>
      </c>
      <c r="F169" s="689" t="s">
        <v>68</v>
      </c>
      <c r="G169" s="578">
        <v>2.0</v>
      </c>
      <c r="H169" s="578">
        <v>0.0</v>
      </c>
      <c r="I169" s="579">
        <v>1.0</v>
      </c>
      <c r="J169" s="579">
        <v>1.0</v>
      </c>
      <c r="K169" s="580" t="s">
        <v>188</v>
      </c>
      <c r="L169" s="580" t="s">
        <v>198</v>
      </c>
      <c r="M169" s="580">
        <v>6.0</v>
      </c>
      <c r="N169" s="580">
        <v>3.0</v>
      </c>
      <c r="O169" s="690" t="s">
        <v>519</v>
      </c>
      <c r="P169" s="14"/>
      <c r="Q169" s="452" t="str">
        <f>MATCH($D169,Reference!$J$5:$J$9,0)</f>
        <v>3</v>
      </c>
      <c r="R169" s="452" t="str">
        <f>MATCH($E169,Reference!$J$26:$J$32,0)</f>
        <v>5</v>
      </c>
      <c r="S169" s="452" t="str">
        <f>MATCH($F169,Reference!$J$45:$J$54,0)</f>
        <v>4</v>
      </c>
      <c r="T169" s="453" t="str">
        <f>MATCH($K169,Reference!$J$37:$J$39,0)</f>
        <v>3</v>
      </c>
      <c r="U169" s="454" t="str">
        <f t="shared" si="281"/>
        <v>2</v>
      </c>
      <c r="V169" s="454" t="str">
        <f t="shared" si="3"/>
        <v>1</v>
      </c>
      <c r="W169" s="454" t="str">
        <f t="shared" si="325"/>
        <v>0</v>
      </c>
      <c r="X169" s="454" t="str">
        <f t="shared" si="282"/>
        <v>2</v>
      </c>
      <c r="Y169" s="456" t="str">
        <f t="shared" si="5"/>
        <v>FALSE</v>
      </c>
      <c r="Z169" s="456" t="str">
        <f t="shared" si="6"/>
        <v>FALSE</v>
      </c>
      <c r="AA169" s="457" t="str">
        <f t="shared" ref="AA169:AB169" si="341">1-I169</f>
        <v>0%</v>
      </c>
      <c r="AB169" s="457" t="str">
        <f t="shared" si="341"/>
        <v>0%</v>
      </c>
      <c r="AC169" s="456" t="str">
        <f t="shared" si="8"/>
        <v>2</v>
      </c>
      <c r="AD169" s="458" t="str">
        <f t="shared" si="284"/>
        <v>0</v>
      </c>
      <c r="AE169" s="458" t="str">
        <f t="shared" si="10"/>
        <v>1</v>
      </c>
      <c r="AF169" s="459" t="str">
        <f t="shared" si="327"/>
        <v>0</v>
      </c>
      <c r="AG169" s="460"/>
      <c r="AH169" s="615" t="s">
        <v>234</v>
      </c>
      <c r="AI169" s="616" t="str">
        <f t="shared" ref="AI169:AJ169" si="342">SUM(AI162:AI166)</f>
        <v>63</v>
      </c>
      <c r="AJ169" s="617" t="str">
        <f t="shared" si="342"/>
        <v>87</v>
      </c>
      <c r="AK169" s="616" t="str">
        <f>sum(AK162:AK166)</f>
        <v>36</v>
      </c>
      <c r="AL169" s="617" t="str">
        <f>SUM(AL162:AL166)</f>
        <v>49</v>
      </c>
      <c r="AM169" s="616" t="str">
        <f>sum(AM162:AM166)</f>
        <v>0</v>
      </c>
      <c r="AN169" s="617" t="str">
        <f>SUM(AN162:AN166)</f>
        <v>0</v>
      </c>
      <c r="AO169" s="616" t="str">
        <f>sum(AO162:AO166)</f>
        <v>2</v>
      </c>
      <c r="AP169" s="617" t="str">
        <f>SUM(AP162:AP166)</f>
        <v>2</v>
      </c>
      <c r="AQ169" s="616" t="str">
        <f>sum(AQ163:AQ166)</f>
        <v>7</v>
      </c>
      <c r="AR169" s="617" t="str">
        <f>SUM(AR162:AR166)</f>
        <v>15</v>
      </c>
      <c r="AS169" s="616" t="str">
        <f t="shared" ref="AS169:AX169" si="343">sum(AS162:AS166)</f>
        <v>4</v>
      </c>
      <c r="AT169" s="617" t="str">
        <f t="shared" si="343"/>
        <v>4</v>
      </c>
      <c r="AU169" s="616" t="str">
        <f t="shared" si="343"/>
        <v>14</v>
      </c>
      <c r="AV169" s="617" t="str">
        <f t="shared" si="343"/>
        <v>17</v>
      </c>
      <c r="AW169" s="616" t="str">
        <f t="shared" si="343"/>
        <v>0</v>
      </c>
      <c r="AX169" s="617" t="str">
        <f t="shared" si="343"/>
        <v>0</v>
      </c>
    </row>
    <row r="170">
      <c r="A170" s="442"/>
      <c r="B170" s="607">
        <v>5.0</v>
      </c>
      <c r="C170" s="608" t="s">
        <v>520</v>
      </c>
      <c r="D170" s="609" t="s">
        <v>21</v>
      </c>
      <c r="E170" s="609" t="s">
        <v>47</v>
      </c>
      <c r="F170" s="610" t="s">
        <v>68</v>
      </c>
      <c r="G170" s="611" t="str">
        <f>IF(Summary!$Y$27&gt;=VLOOKUP(C170,Reference!$N$6:$O$36,2,0),2,0)</f>
        <v>2</v>
      </c>
      <c r="H170" s="611">
        <v>0.0</v>
      </c>
      <c r="I170" s="612">
        <v>1.0</v>
      </c>
      <c r="J170" s="612"/>
      <c r="K170" s="613" t="s">
        <v>188</v>
      </c>
      <c r="L170" s="613" t="s">
        <v>446</v>
      </c>
      <c r="M170" s="613">
        <v>5.0</v>
      </c>
      <c r="N170" s="613">
        <v>5.0</v>
      </c>
      <c r="O170" s="614" t="s">
        <v>521</v>
      </c>
      <c r="P170" s="14"/>
      <c r="Q170" s="452" t="str">
        <f>MATCH($D170,Reference!$J$5:$J$9,0)</f>
        <v>3</v>
      </c>
      <c r="R170" s="452" t="str">
        <f>MATCH($E170,Reference!$J$26:$J$32,0)</f>
        <v>6</v>
      </c>
      <c r="S170" s="452" t="str">
        <f>MATCH($F170,Reference!$J$45:$J$54,0)</f>
        <v>4</v>
      </c>
      <c r="T170" s="453" t="str">
        <f>MATCH($K170,Reference!$J$37:$J$39,0)</f>
        <v>3</v>
      </c>
      <c r="U170" s="454" t="str">
        <f t="shared" si="281"/>
        <v>2</v>
      </c>
      <c r="V170" s="454" t="str">
        <f t="shared" si="3"/>
        <v>1</v>
      </c>
      <c r="W170" s="455">
        <v>0.0</v>
      </c>
      <c r="X170" s="454" t="str">
        <f t="shared" si="282"/>
        <v>2</v>
      </c>
      <c r="Y170" s="456" t="str">
        <f t="shared" si="5"/>
        <v>FALSE</v>
      </c>
      <c r="Z170" s="456" t="str">
        <f t="shared" si="6"/>
        <v>FALSE</v>
      </c>
      <c r="AA170" s="457" t="str">
        <f t="shared" ref="AA170:AB170" si="344">1-I170</f>
        <v>0%</v>
      </c>
      <c r="AB170" s="457" t="str">
        <f t="shared" si="344"/>
        <v>100%</v>
      </c>
      <c r="AC170" s="456" t="str">
        <f t="shared" si="8"/>
        <v>2</v>
      </c>
      <c r="AD170" s="458" t="str">
        <f t="shared" si="284"/>
        <v>0</v>
      </c>
      <c r="AE170" s="458" t="str">
        <f t="shared" si="10"/>
        <v>1</v>
      </c>
      <c r="AF170" s="459" t="str">
        <f t="shared" si="327"/>
        <v>0</v>
      </c>
      <c r="AG170" s="460"/>
      <c r="AH170" s="14"/>
      <c r="AI170" s="14"/>
      <c r="AJ170" s="14"/>
      <c r="AK170" s="14"/>
      <c r="AL170" s="14"/>
      <c r="AM170" s="14"/>
      <c r="AN170" s="14"/>
      <c r="AO170" s="14"/>
      <c r="AP170" s="14"/>
      <c r="AQ170" s="14"/>
      <c r="AR170" s="14"/>
      <c r="AS170" s="14"/>
      <c r="AT170" s="14"/>
    </row>
    <row r="171">
      <c r="A171" s="466"/>
      <c r="B171" s="547">
        <v>5.0</v>
      </c>
      <c r="C171" s="548" t="s">
        <v>522</v>
      </c>
      <c r="D171" s="549" t="s">
        <v>21</v>
      </c>
      <c r="E171" s="549" t="s">
        <v>33</v>
      </c>
      <c r="F171" s="550" t="s">
        <v>68</v>
      </c>
      <c r="G171" s="552">
        <v>1.0</v>
      </c>
      <c r="H171" s="552">
        <v>0.0</v>
      </c>
      <c r="I171" s="553">
        <v>1.0</v>
      </c>
      <c r="J171" s="553">
        <v>1.0</v>
      </c>
      <c r="K171" s="554" t="s">
        <v>162</v>
      </c>
      <c r="L171" s="554"/>
      <c r="M171" s="554"/>
      <c r="N171" s="554"/>
      <c r="O171" s="555" t="s">
        <v>523</v>
      </c>
      <c r="P171" s="14"/>
      <c r="Q171" s="452" t="str">
        <f>MATCH($D171,Reference!$J$5:$J$9,0)</f>
        <v>3</v>
      </c>
      <c r="R171" s="452" t="str">
        <f>MATCH($E171,Reference!$J$26:$J$32,0)</f>
        <v>2</v>
      </c>
      <c r="S171" s="452" t="str">
        <f>MATCH($F171,Reference!$J$45:$J$54,0)</f>
        <v>4</v>
      </c>
      <c r="T171" s="453" t="str">
        <f>MATCH($K171,Reference!$J$37:$J$39,0)</f>
        <v>2</v>
      </c>
      <c r="U171" s="454" t="str">
        <f t="shared" si="281"/>
        <v>1</v>
      </c>
      <c r="V171" s="454" t="str">
        <f t="shared" si="3"/>
        <v>1</v>
      </c>
      <c r="W171" s="454" t="str">
        <f t="shared" ref="W171:W172" si="346">(MIN(G171,2)+H171-U171)*100</f>
        <v>0</v>
      </c>
      <c r="X171" s="454" t="str">
        <f t="shared" si="282"/>
        <v>1</v>
      </c>
      <c r="Y171" s="456" t="str">
        <f t="shared" si="5"/>
        <v>FALSE</v>
      </c>
      <c r="Z171" s="456" t="str">
        <f t="shared" si="6"/>
        <v>TRUE</v>
      </c>
      <c r="AA171" s="457" t="str">
        <f t="shared" ref="AA171:AB171" si="345">1-I171</f>
        <v>0%</v>
      </c>
      <c r="AB171" s="457" t="str">
        <f t="shared" si="345"/>
        <v>0%</v>
      </c>
      <c r="AC171" s="456" t="str">
        <f t="shared" si="8"/>
        <v>1</v>
      </c>
      <c r="AD171" s="458" t="str">
        <f t="shared" si="284"/>
        <v>0</v>
      </c>
      <c r="AE171" s="458" t="str">
        <f t="shared" si="10"/>
        <v>1</v>
      </c>
      <c r="AF171" s="459" t="str">
        <f t="shared" si="327"/>
        <v>0</v>
      </c>
      <c r="AG171" s="460"/>
      <c r="AH171" s="14"/>
      <c r="AI171" s="14"/>
      <c r="AJ171" s="14"/>
      <c r="AK171" s="14"/>
      <c r="AL171" s="14"/>
      <c r="AM171" s="14"/>
      <c r="AN171" s="14"/>
      <c r="AO171" s="14"/>
      <c r="AP171" s="14"/>
      <c r="AQ171" s="14"/>
      <c r="AR171" s="14"/>
      <c r="AS171" s="14"/>
      <c r="AT171" s="14"/>
    </row>
    <row r="172">
      <c r="A172" s="463"/>
      <c r="B172" s="560">
        <v>5.0</v>
      </c>
      <c r="C172" s="561" t="s">
        <v>524</v>
      </c>
      <c r="D172" s="562" t="s">
        <v>21</v>
      </c>
      <c r="E172" s="563" t="s">
        <v>36</v>
      </c>
      <c r="F172" s="562" t="s">
        <v>68</v>
      </c>
      <c r="G172" s="564">
        <v>2.0</v>
      </c>
      <c r="H172" s="564">
        <v>0.0</v>
      </c>
      <c r="I172" s="565">
        <v>1.0</v>
      </c>
      <c r="J172" s="565">
        <v>1.0</v>
      </c>
      <c r="K172" s="563" t="s">
        <v>188</v>
      </c>
      <c r="L172" s="563"/>
      <c r="M172" s="563">
        <v>5.0</v>
      </c>
      <c r="N172" s="563">
        <v>5.0</v>
      </c>
      <c r="O172" s="566" t="s">
        <v>525</v>
      </c>
      <c r="P172" s="14"/>
      <c r="Q172" s="452" t="str">
        <f>MATCH($D172,Reference!$J$5:$J$9,0)</f>
        <v>3</v>
      </c>
      <c r="R172" s="452" t="str">
        <f>MATCH($E172,Reference!$J$26:$J$32,0)</f>
        <v>7</v>
      </c>
      <c r="S172" s="452" t="str">
        <f>MATCH($F172,Reference!$J$45:$J$54,0)</f>
        <v>4</v>
      </c>
      <c r="T172" s="453" t="str">
        <f>MATCH($K172,Reference!$J$37:$J$39,0)</f>
        <v>3</v>
      </c>
      <c r="U172" s="454" t="str">
        <f t="shared" si="281"/>
        <v>2</v>
      </c>
      <c r="V172" s="454" t="str">
        <f t="shared" si="3"/>
        <v>1</v>
      </c>
      <c r="W172" s="454" t="str">
        <f t="shared" si="346"/>
        <v>0</v>
      </c>
      <c r="X172" s="454" t="str">
        <f t="shared" si="282"/>
        <v>2</v>
      </c>
      <c r="Y172" s="456" t="str">
        <f t="shared" si="5"/>
        <v>FALSE</v>
      </c>
      <c r="Z172" s="456" t="str">
        <f t="shared" si="6"/>
        <v>FALSE</v>
      </c>
      <c r="AA172" s="457" t="str">
        <f t="shared" ref="AA172:AB172" si="347">1-I172</f>
        <v>0%</v>
      </c>
      <c r="AB172" s="457" t="str">
        <f t="shared" si="347"/>
        <v>0%</v>
      </c>
      <c r="AC172" s="456" t="str">
        <f t="shared" si="8"/>
        <v>2</v>
      </c>
      <c r="AD172" s="458" t="str">
        <f t="shared" si="284"/>
        <v>0</v>
      </c>
      <c r="AE172" s="458" t="str">
        <f t="shared" si="10"/>
        <v>1</v>
      </c>
      <c r="AF172" s="459" t="str">
        <f t="shared" si="327"/>
        <v>0</v>
      </c>
      <c r="AG172" s="460"/>
      <c r="AH172" s="521" t="s">
        <v>73</v>
      </c>
      <c r="AI172" s="106"/>
      <c r="AJ172" s="106"/>
      <c r="AK172" s="106"/>
      <c r="AL172" s="106"/>
      <c r="AM172" s="106"/>
      <c r="AN172" s="106"/>
      <c r="AO172" s="106"/>
      <c r="AP172" s="106"/>
      <c r="AQ172" s="106"/>
      <c r="AR172" s="106"/>
      <c r="AS172" s="106"/>
      <c r="AT172" s="106"/>
      <c r="AU172" s="106"/>
      <c r="AV172" s="106"/>
      <c r="AW172" s="106"/>
      <c r="AX172" s="106"/>
    </row>
    <row r="173">
      <c r="A173" s="509"/>
      <c r="B173" s="625">
        <v>3.0</v>
      </c>
      <c r="C173" s="646" t="s">
        <v>526</v>
      </c>
      <c r="D173" s="627" t="s">
        <v>22</v>
      </c>
      <c r="E173" s="627" t="s">
        <v>35</v>
      </c>
      <c r="F173" s="628" t="s">
        <v>68</v>
      </c>
      <c r="G173" s="629">
        <v>2.0</v>
      </c>
      <c r="H173" s="630">
        <v>0.0</v>
      </c>
      <c r="I173" s="631">
        <v>1.0</v>
      </c>
      <c r="J173" s="631">
        <v>1.0</v>
      </c>
      <c r="K173" s="632" t="s">
        <v>304</v>
      </c>
      <c r="L173" s="632"/>
      <c r="M173" s="632">
        <v>2.0</v>
      </c>
      <c r="N173" s="632">
        <v>3.0</v>
      </c>
      <c r="O173" s="633" t="s">
        <v>527</v>
      </c>
      <c r="P173" s="14"/>
      <c r="Q173" s="452" t="str">
        <f>MATCH($D173,Reference!$J$5:$J$9,0)</f>
        <v>4</v>
      </c>
      <c r="R173" s="452" t="str">
        <f>MATCH($E173,Reference!$J$26:$J$32,0)</f>
        <v>5</v>
      </c>
      <c r="S173" s="452" t="str">
        <f>MATCH($F173,Reference!$J$45:$J$54,0)</f>
        <v>4</v>
      </c>
      <c r="T173" s="453" t="str">
        <f>MATCH($K173,Reference!$J$37:$J$39,0)</f>
        <v>1</v>
      </c>
      <c r="U173" s="454" t="str">
        <f t="shared" si="281"/>
        <v>2</v>
      </c>
      <c r="V173" s="454" t="str">
        <f t="shared" si="3"/>
        <v>1</v>
      </c>
      <c r="W173" s="454" t="str">
        <f t="shared" ref="W173:W179" si="349">(MIN(G173,2)+H173-U173)*400</f>
        <v>0</v>
      </c>
      <c r="X173" s="454" t="str">
        <f t="shared" si="282"/>
        <v>2</v>
      </c>
      <c r="Y173" s="456" t="str">
        <f t="shared" si="5"/>
        <v>FALSE</v>
      </c>
      <c r="Z173" s="456" t="str">
        <f t="shared" si="6"/>
        <v>FALSE</v>
      </c>
      <c r="AA173" s="457" t="str">
        <f t="shared" ref="AA173:AB173" si="348">1-I173</f>
        <v>0%</v>
      </c>
      <c r="AB173" s="457" t="str">
        <f t="shared" si="348"/>
        <v>0%</v>
      </c>
      <c r="AC173" s="456" t="str">
        <f t="shared" si="8"/>
        <v>2</v>
      </c>
      <c r="AD173" s="458" t="str">
        <f t="shared" si="284"/>
        <v>0</v>
      </c>
      <c r="AE173" s="458" t="str">
        <f t="shared" si="10"/>
        <v>1</v>
      </c>
      <c r="AF173" s="459" t="str">
        <f t="shared" ref="AF173:AF179" si="351">(MIN(H173,2)+G173-U173)*100</f>
        <v>0</v>
      </c>
      <c r="AG173" s="460"/>
      <c r="AH173" s="523" t="s">
        <v>141</v>
      </c>
      <c r="AI173" s="524" t="s">
        <v>24</v>
      </c>
      <c r="AJ173" s="106"/>
      <c r="AK173" s="524" t="s">
        <v>33</v>
      </c>
      <c r="AL173" s="106"/>
      <c r="AM173" s="524" t="s">
        <v>37</v>
      </c>
      <c r="AN173" s="106"/>
      <c r="AO173" s="524" t="s">
        <v>41</v>
      </c>
      <c r="AP173" s="106"/>
      <c r="AQ173" s="524" t="s">
        <v>35</v>
      </c>
      <c r="AR173" s="106"/>
      <c r="AS173" s="525" t="s">
        <v>217</v>
      </c>
      <c r="AT173" s="106"/>
      <c r="AU173" s="525" t="s">
        <v>36</v>
      </c>
      <c r="AV173" s="106"/>
      <c r="AW173" s="525" t="s">
        <v>218</v>
      </c>
      <c r="AX173" s="106"/>
    </row>
    <row r="174">
      <c r="A174" s="442"/>
      <c r="B174" s="634">
        <v>3.0</v>
      </c>
      <c r="C174" s="635" t="s">
        <v>528</v>
      </c>
      <c r="D174" s="636" t="s">
        <v>22</v>
      </c>
      <c r="E174" s="636" t="s">
        <v>33</v>
      </c>
      <c r="F174" s="637" t="s">
        <v>68</v>
      </c>
      <c r="G174" s="639">
        <v>0.0</v>
      </c>
      <c r="H174" s="638">
        <v>0.0</v>
      </c>
      <c r="I174" s="640">
        <v>1.0</v>
      </c>
      <c r="J174" s="640">
        <v>1.0</v>
      </c>
      <c r="K174" s="641" t="s">
        <v>304</v>
      </c>
      <c r="L174" s="641"/>
      <c r="M174" s="641">
        <v>1.0</v>
      </c>
      <c r="N174" s="641">
        <v>5.0</v>
      </c>
      <c r="O174" s="642" t="s">
        <v>529</v>
      </c>
      <c r="P174" s="14"/>
      <c r="Q174" s="452" t="str">
        <f>MATCH($D174,Reference!$J$5:$J$9,0)</f>
        <v>4</v>
      </c>
      <c r="R174" s="452" t="str">
        <f>MATCH($E174,Reference!$J$26:$J$32,0)</f>
        <v>2</v>
      </c>
      <c r="S174" s="452" t="str">
        <f>MATCH($F174,Reference!$J$45:$J$54,0)</f>
        <v>4</v>
      </c>
      <c r="T174" s="453" t="str">
        <f>MATCH($K174,Reference!$J$37:$J$39,0)</f>
        <v>1</v>
      </c>
      <c r="U174" s="454" t="str">
        <f t="shared" si="281"/>
        <v>0</v>
      </c>
      <c r="V174" s="454" t="str">
        <f t="shared" si="3"/>
        <v>0</v>
      </c>
      <c r="W174" s="454" t="str">
        <f t="shared" si="349"/>
        <v>0</v>
      </c>
      <c r="X174" s="454" t="str">
        <f t="shared" si="282"/>
        <v>0</v>
      </c>
      <c r="Y174" s="456" t="str">
        <f t="shared" si="5"/>
        <v>TRUE</v>
      </c>
      <c r="Z174" s="456" t="str">
        <f t="shared" si="6"/>
        <v>FALSE</v>
      </c>
      <c r="AA174" s="457" t="str">
        <f t="shared" ref="AA174:AB174" si="350">1-I174</f>
        <v>0%</v>
      </c>
      <c r="AB174" s="457" t="str">
        <f t="shared" si="350"/>
        <v>0%</v>
      </c>
      <c r="AC174" s="456" t="str">
        <f t="shared" si="8"/>
        <v>0</v>
      </c>
      <c r="AD174" s="458" t="str">
        <f t="shared" si="284"/>
        <v>0</v>
      </c>
      <c r="AE174" s="458" t="str">
        <f t="shared" si="10"/>
        <v>0</v>
      </c>
      <c r="AF174" s="459" t="str">
        <f t="shared" si="351"/>
        <v>0</v>
      </c>
      <c r="AG174" s="460"/>
      <c r="AH174" s="587" t="s">
        <v>221</v>
      </c>
      <c r="AI174" s="499"/>
      <c r="AJ174" s="588"/>
      <c r="AK174" s="499"/>
      <c r="AL174" s="588"/>
      <c r="AM174" s="499"/>
      <c r="AN174" s="588"/>
      <c r="AO174" s="499"/>
      <c r="AP174" s="588"/>
      <c r="AQ174" s="499"/>
      <c r="AR174" s="588"/>
      <c r="AS174" s="499"/>
      <c r="AT174" s="588"/>
      <c r="AU174" s="499"/>
      <c r="AV174" s="588"/>
      <c r="AW174" s="499"/>
      <c r="AX174" s="588"/>
    </row>
    <row r="175">
      <c r="A175" s="466"/>
      <c r="B175" s="625">
        <v>5.0</v>
      </c>
      <c r="C175" s="646" t="s">
        <v>530</v>
      </c>
      <c r="D175" s="627" t="s">
        <v>22</v>
      </c>
      <c r="E175" s="627" t="s">
        <v>35</v>
      </c>
      <c r="F175" s="628" t="s">
        <v>68</v>
      </c>
      <c r="G175" s="629">
        <v>2.0</v>
      </c>
      <c r="H175" s="630">
        <v>0.0</v>
      </c>
      <c r="I175" s="631">
        <v>1.0</v>
      </c>
      <c r="J175" s="631">
        <v>1.0</v>
      </c>
      <c r="K175" s="632" t="s">
        <v>188</v>
      </c>
      <c r="L175" s="632"/>
      <c r="M175" s="632">
        <v>2.0</v>
      </c>
      <c r="N175" s="632">
        <v>5.0</v>
      </c>
      <c r="O175" s="633" t="s">
        <v>531</v>
      </c>
      <c r="P175" s="14"/>
      <c r="Q175" s="452" t="str">
        <f>MATCH($D175,Reference!$J$5:$J$9,0)</f>
        <v>4</v>
      </c>
      <c r="R175" s="452" t="str">
        <f>MATCH($E175,Reference!$J$26:$J$32,0)</f>
        <v>5</v>
      </c>
      <c r="S175" s="452" t="str">
        <f>MATCH($F175,Reference!$J$45:$J$54,0)</f>
        <v>4</v>
      </c>
      <c r="T175" s="453" t="str">
        <f>MATCH($K175,Reference!$J$37:$J$39,0)</f>
        <v>3</v>
      </c>
      <c r="U175" s="454" t="str">
        <f t="shared" si="281"/>
        <v>2</v>
      </c>
      <c r="V175" s="454" t="str">
        <f t="shared" si="3"/>
        <v>1</v>
      </c>
      <c r="W175" s="454" t="str">
        <f t="shared" si="349"/>
        <v>0</v>
      </c>
      <c r="X175" s="454" t="str">
        <f t="shared" si="282"/>
        <v>2</v>
      </c>
      <c r="Y175" s="456" t="str">
        <f t="shared" si="5"/>
        <v>FALSE</v>
      </c>
      <c r="Z175" s="456" t="str">
        <f t="shared" si="6"/>
        <v>FALSE</v>
      </c>
      <c r="AA175" s="457" t="str">
        <f t="shared" ref="AA175:AB175" si="352">1-I175</f>
        <v>0%</v>
      </c>
      <c r="AB175" s="457" t="str">
        <f t="shared" si="352"/>
        <v>0%</v>
      </c>
      <c r="AC175" s="456" t="str">
        <f t="shared" si="8"/>
        <v>2</v>
      </c>
      <c r="AD175" s="458" t="str">
        <f t="shared" si="284"/>
        <v>0</v>
      </c>
      <c r="AE175" s="458" t="str">
        <f t="shared" si="10"/>
        <v>1</v>
      </c>
      <c r="AF175" s="459" t="str">
        <f t="shared" si="351"/>
        <v>0</v>
      </c>
      <c r="AG175" s="460"/>
      <c r="AH175" s="643" t="s">
        <v>10</v>
      </c>
      <c r="AI175" s="534" t="str">
        <f t="shared" ref="AI175:AJ175" si="353">SUM(AM175+AK175+AO175+AQ175+AS175+AU175)</f>
        <v>10</v>
      </c>
      <c r="AJ175" s="535" t="str">
        <f t="shared" si="353"/>
        <v>10</v>
      </c>
      <c r="AK175" s="449" t="str">
        <f>sumifs($V$2:$V700, $E$2:$E700, "Basic", $F$2:F700, "Warlock")</f>
        <v>10</v>
      </c>
      <c r="AL175" s="537" t="str">
        <f>COUNTIFS($E$2:$E700, "Basic", $E$2:$E700, "Basic", $F$2:F700, "Warlock" )</f>
        <v>10</v>
      </c>
      <c r="AM175" s="644"/>
      <c r="AN175" s="645"/>
      <c r="AO175" s="449"/>
      <c r="AP175" s="537"/>
      <c r="AQ175" s="449"/>
      <c r="AR175" s="537"/>
      <c r="AS175" s="449"/>
      <c r="AT175" s="537"/>
      <c r="AU175" s="449"/>
      <c r="AV175" s="537"/>
      <c r="AW175" s="449"/>
      <c r="AX175" s="537"/>
    </row>
    <row r="176">
      <c r="A176" s="466"/>
      <c r="B176" s="634">
        <v>6.0</v>
      </c>
      <c r="C176" s="635" t="s">
        <v>532</v>
      </c>
      <c r="D176" s="636" t="s">
        <v>22</v>
      </c>
      <c r="E176" s="636" t="s">
        <v>33</v>
      </c>
      <c r="F176" s="637" t="s">
        <v>68</v>
      </c>
      <c r="G176" s="639">
        <v>0.0</v>
      </c>
      <c r="H176" s="638">
        <v>0.0</v>
      </c>
      <c r="I176" s="640">
        <v>1.0</v>
      </c>
      <c r="J176" s="640">
        <v>1.0</v>
      </c>
      <c r="K176" s="568" t="s">
        <v>162</v>
      </c>
      <c r="L176" s="641"/>
      <c r="M176" s="568"/>
      <c r="N176" s="568"/>
      <c r="O176" s="642" t="s">
        <v>533</v>
      </c>
      <c r="P176" s="14"/>
      <c r="Q176" s="452" t="str">
        <f>MATCH($D176,Reference!$J$5:$J$9,0)</f>
        <v>4</v>
      </c>
      <c r="R176" s="452" t="str">
        <f>MATCH($E176,Reference!$J$26:$J$32,0)</f>
        <v>2</v>
      </c>
      <c r="S176" s="452" t="str">
        <f>MATCH($F176,Reference!$J$45:$J$54,0)</f>
        <v>4</v>
      </c>
      <c r="T176" s="453" t="str">
        <f>MATCH($K176,Reference!$J$37:$J$39,0)</f>
        <v>2</v>
      </c>
      <c r="U176" s="454" t="str">
        <f t="shared" si="281"/>
        <v>0</v>
      </c>
      <c r="V176" s="454" t="str">
        <f t="shared" si="3"/>
        <v>0</v>
      </c>
      <c r="W176" s="454" t="str">
        <f t="shared" si="349"/>
        <v>0</v>
      </c>
      <c r="X176" s="454" t="str">
        <f t="shared" si="282"/>
        <v>0</v>
      </c>
      <c r="Y176" s="456" t="str">
        <f t="shared" si="5"/>
        <v>TRUE</v>
      </c>
      <c r="Z176" s="456" t="str">
        <f t="shared" si="6"/>
        <v>FALSE</v>
      </c>
      <c r="AA176" s="457" t="str">
        <f t="shared" ref="AA176:AB176" si="354">1-I176</f>
        <v>0%</v>
      </c>
      <c r="AB176" s="457" t="str">
        <f t="shared" si="354"/>
        <v>0%</v>
      </c>
      <c r="AC176" s="456" t="str">
        <f t="shared" si="8"/>
        <v>0</v>
      </c>
      <c r="AD176" s="458" t="str">
        <f t="shared" si="284"/>
        <v>0</v>
      </c>
      <c r="AE176" s="458" t="str">
        <f t="shared" si="10"/>
        <v>0</v>
      </c>
      <c r="AF176" s="459" t="str">
        <f t="shared" si="351"/>
        <v>0</v>
      </c>
      <c r="AG176" s="460"/>
      <c r="AH176" s="405" t="s">
        <v>15</v>
      </c>
      <c r="AI176" s="522" t="str">
        <f t="shared" ref="AI176:AJ176" si="355">SUM(AM176+AK176+AO176+AQ176+AS176+AU176)</f>
        <v>13</v>
      </c>
      <c r="AJ176" s="544" t="str">
        <f t="shared" si="355"/>
        <v>13</v>
      </c>
      <c r="AK176" s="499" t="str">
        <f>sumifs($V$2:$V700, $D$2:$D700, "Common", $E$2:$E700, "Classic", $F$2:F700, "Warlock")</f>
        <v>6</v>
      </c>
      <c r="AL176" s="588" t="str">
        <f>COUNTIFS($D$2:$D700, "Common", $E$2:$E700, "Classic", $F$2:F700, "Warlock" )</f>
        <v>6</v>
      </c>
      <c r="AM176" s="531" t="str">
        <f>sumifs($V$2:$V700, $D$2:$D700, "Common", $E$2:$E700, "Promo", $F$2:F700, "Warlock")</f>
        <v>0</v>
      </c>
      <c r="AN176" s="647" t="str">
        <f>COUNTIFS($D$2:$D700, "Common", $E$2:$E700, "Promo", $F$2:F700, "Warlock" )</f>
        <v>0</v>
      </c>
      <c r="AO176" s="499" t="str">
        <f>sumifs($V$2:$V700, $D$2:$D700, "Common", $E$2:$E700, "Naxx", $F$2:F700, "Warlock")</f>
        <v>1</v>
      </c>
      <c r="AP176" s="588" t="str">
        <f>COUNTIFS($D$2:$D700, "Common", $E$2:$E700, "Naxx", $F$2:F700, "Warlock" )</f>
        <v>1</v>
      </c>
      <c r="AQ176" s="499" t="str">
        <f>sumifs($V$2:$V700, $D$2:$D700, "Common", $E$2:$E700, "GvG", $F$2:F700, "Warlock")</f>
        <v>2</v>
      </c>
      <c r="AR176" s="588" t="str">
        <f>COUNTIFS($D$2:$D700, "Common", $E$2:$E700, "GvG", $F$2:F700, "Warlock" )</f>
        <v>2</v>
      </c>
      <c r="AS176" s="499" t="str">
        <f>sumifs($V$2:$V700, $D$2:$D700, "Common", $E$2:$E700, "Blackrock", $F$2:F700, "Warlock")</f>
        <v>1</v>
      </c>
      <c r="AT176" s="588" t="str">
        <f>COUNTIFS($D$2:$D700, "Common", $E$2:$E700, "Blackrock", $F$2:F700, "Warlock" )</f>
        <v>1</v>
      </c>
      <c r="AU176" s="499" t="str">
        <f>sumifs($V$2:$V700, $D$2:$D700, "Common", $E$2:$E700, "TGT", $F$2:F700, "Warlock")</f>
        <v>3</v>
      </c>
      <c r="AV176" s="588" t="str">
        <f>COUNTIFS($D$2:$D700, "Common", $E$2:$E700, "TGT", $F$2:F700, "Warlock" )</f>
        <v>3</v>
      </c>
      <c r="AW176" s="531">
        <v>0.0</v>
      </c>
      <c r="AX176" s="647">
        <v>0.0</v>
      </c>
    </row>
    <row r="177">
      <c r="A177" s="509"/>
      <c r="B177" s="618">
        <v>6.0</v>
      </c>
      <c r="C177" s="619" t="s">
        <v>534</v>
      </c>
      <c r="D177" s="620" t="s">
        <v>22</v>
      </c>
      <c r="E177" s="621" t="s">
        <v>36</v>
      </c>
      <c r="F177" s="620" t="s">
        <v>68</v>
      </c>
      <c r="G177" s="622">
        <v>2.0</v>
      </c>
      <c r="H177" s="622">
        <v>0.0</v>
      </c>
      <c r="I177" s="623">
        <v>1.0</v>
      </c>
      <c r="J177" s="623">
        <v>1.0</v>
      </c>
      <c r="K177" s="621" t="s">
        <v>162</v>
      </c>
      <c r="L177" s="621"/>
      <c r="M177" s="621"/>
      <c r="N177" s="621"/>
      <c r="O177" s="624" t="s">
        <v>535</v>
      </c>
      <c r="P177" s="14"/>
      <c r="Q177" s="452" t="str">
        <f>MATCH($D177,Reference!$J$5:$J$9,0)</f>
        <v>4</v>
      </c>
      <c r="R177" s="452" t="str">
        <f>MATCH($E177,Reference!$J$26:$J$32,0)</f>
        <v>7</v>
      </c>
      <c r="S177" s="452" t="str">
        <f>MATCH($F177,Reference!$J$45:$J$54,0)</f>
        <v>4</v>
      </c>
      <c r="T177" s="453" t="str">
        <f>MATCH($K177,Reference!$J$37:$J$39,0)</f>
        <v>2</v>
      </c>
      <c r="U177" s="454" t="str">
        <f t="shared" si="281"/>
        <v>2</v>
      </c>
      <c r="V177" s="454" t="str">
        <f t="shared" si="3"/>
        <v>1</v>
      </c>
      <c r="W177" s="454" t="str">
        <f t="shared" si="349"/>
        <v>0</v>
      </c>
      <c r="X177" s="454" t="str">
        <f t="shared" si="282"/>
        <v>2</v>
      </c>
      <c r="Y177" s="456" t="str">
        <f t="shared" si="5"/>
        <v>FALSE</v>
      </c>
      <c r="Z177" s="456" t="str">
        <f t="shared" si="6"/>
        <v>FALSE</v>
      </c>
      <c r="AA177" s="457" t="str">
        <f t="shared" ref="AA177:AB177" si="356">1-I177</f>
        <v>0%</v>
      </c>
      <c r="AB177" s="457" t="str">
        <f t="shared" si="356"/>
        <v>0%</v>
      </c>
      <c r="AC177" s="456" t="str">
        <f t="shared" si="8"/>
        <v>2</v>
      </c>
      <c r="AD177" s="458" t="str">
        <f t="shared" si="284"/>
        <v>0</v>
      </c>
      <c r="AE177" s="458" t="str">
        <f t="shared" si="10"/>
        <v>1</v>
      </c>
      <c r="AF177" s="459" t="str">
        <f t="shared" si="351"/>
        <v>0</v>
      </c>
      <c r="AG177" s="460"/>
      <c r="AH177" s="556" t="s">
        <v>21</v>
      </c>
      <c r="AI177" s="557" t="str">
        <f>SUM(AM178+AK177+AO177+AQ177+AS177+AU177)</f>
        <v>11</v>
      </c>
      <c r="AJ177" s="558" t="str">
        <f>SUM(AN177+AL177+AP177+AR177+AT177+AV177)</f>
        <v>12</v>
      </c>
      <c r="AK177" s="554" t="str">
        <f>sumifs($V$2:$V700, $D$2:$D700, "Rare", $E$2:$E700, "Classic", $F$2:F700, "Warlock")</f>
        <v>4</v>
      </c>
      <c r="AL177" s="656" t="str">
        <f>COUNTIFS($D$2:$D700, "Rare", $E$2:$E700, "Classic", $F$2:F700, "Warlock" )</f>
        <v>5</v>
      </c>
      <c r="AM177" s="657" t="str">
        <f>sumifs($V$2:$V700, $D$2:$D700, "Rare", $E$2:$E700, "Promo", $F$2:F700, "Warlock")</f>
        <v>0</v>
      </c>
      <c r="AN177" s="658" t="str">
        <f>COUNTIFS($D$2:$D700, "Rare", $E$2:$E700, "Promo", $F$2:F700, "Warlock" )</f>
        <v>0</v>
      </c>
      <c r="AO177" s="554" t="str">
        <f>sumifs($V$2:$V700, $D$2:$D700, "Rare", $E$2:$E700, "Naxx", $F$2:F700, "Warlock")</f>
        <v>0</v>
      </c>
      <c r="AP177" s="656" t="str">
        <f>COUNTIFS($D$2:$D700, "Rare", $E$2:$E700, "Naxx", $F$2:F700, "Warlock" )</f>
        <v>0</v>
      </c>
      <c r="AQ177" s="554" t="str">
        <f>sumifs($V$2:$V700, $D$2:$D700, "Rare", $E$2:$E700, "GvG", $F$2:F700, "Warlock")</f>
        <v>3</v>
      </c>
      <c r="AR177" s="656" t="str">
        <f>COUNTIFS($D$2:$D700, "Rare", $E$2:$E700, "GvG", $F$2:F700, "Warlock" )</f>
        <v>3</v>
      </c>
      <c r="AS177" s="554" t="str">
        <f>sumifs($V$2:$V700, $D$2:$D700, "Rare", $E$2:$E700, "Blackrock", $F$2:F700, "Warlock")</f>
        <v>1</v>
      </c>
      <c r="AT177" s="656" t="str">
        <f>COUNTIFS($D$2:$D700, "Rare", $E$2:$E700, "Blackrock", $F$2:F700, "Warlock" )</f>
        <v>1</v>
      </c>
      <c r="AU177" s="554" t="str">
        <f>sumifs($V$2:$V700, $D$2:$D700, "Rare", $E$2:$E700, "TGT", $F$2:F700, "Warlock")</f>
        <v>3</v>
      </c>
      <c r="AV177" s="656" t="str">
        <f>COUNTIFS($D$2:$D700, "Rare", $E$2:$E700, "TGT", $F$2:F700, "Warlock" )</f>
        <v>3</v>
      </c>
      <c r="AW177" s="657">
        <v>0.0</v>
      </c>
      <c r="AX177" s="658">
        <v>0.0</v>
      </c>
    </row>
    <row r="178">
      <c r="A178" s="442"/>
      <c r="B178" s="618">
        <v>6.0</v>
      </c>
      <c r="C178" s="619" t="s">
        <v>536</v>
      </c>
      <c r="D178" s="620" t="s">
        <v>22</v>
      </c>
      <c r="E178" s="621" t="s">
        <v>36</v>
      </c>
      <c r="F178" s="620" t="s">
        <v>68</v>
      </c>
      <c r="G178" s="622">
        <v>2.0</v>
      </c>
      <c r="H178" s="622">
        <v>0.0</v>
      </c>
      <c r="I178" s="623">
        <v>1.0</v>
      </c>
      <c r="J178" s="623">
        <v>1.0</v>
      </c>
      <c r="K178" s="620" t="s">
        <v>188</v>
      </c>
      <c r="L178" s="621"/>
      <c r="M178" s="620">
        <v>6.0</v>
      </c>
      <c r="N178" s="622">
        <v>6.0</v>
      </c>
      <c r="O178" s="624" t="s">
        <v>537</v>
      </c>
      <c r="P178" s="14"/>
      <c r="Q178" s="452" t="str">
        <f>MATCH($D178,Reference!$J$5:$J$9,0)</f>
        <v>4</v>
      </c>
      <c r="R178" s="452" t="str">
        <f>MATCH($E178,Reference!$J$26:$J$32,0)</f>
        <v>7</v>
      </c>
      <c r="S178" s="452" t="str">
        <f>MATCH($F178,Reference!$J$45:$J$54,0)</f>
        <v>4</v>
      </c>
      <c r="T178" s="453" t="str">
        <f>MATCH($K178,Reference!$J$37:$J$39,0)</f>
        <v>3</v>
      </c>
      <c r="U178" s="454" t="str">
        <f t="shared" si="281"/>
        <v>2</v>
      </c>
      <c r="V178" s="454" t="str">
        <f t="shared" si="3"/>
        <v>1</v>
      </c>
      <c r="W178" s="454" t="str">
        <f t="shared" si="349"/>
        <v>0</v>
      </c>
      <c r="X178" s="454" t="str">
        <f t="shared" si="282"/>
        <v>2</v>
      </c>
      <c r="Y178" s="456" t="str">
        <f t="shared" si="5"/>
        <v>FALSE</v>
      </c>
      <c r="Z178" s="456" t="str">
        <f t="shared" si="6"/>
        <v>FALSE</v>
      </c>
      <c r="AA178" s="457" t="str">
        <f t="shared" ref="AA178:AB178" si="357">1-I178</f>
        <v>0%</v>
      </c>
      <c r="AB178" s="457" t="str">
        <f t="shared" si="357"/>
        <v>0%</v>
      </c>
      <c r="AC178" s="456" t="str">
        <f t="shared" si="8"/>
        <v>2</v>
      </c>
      <c r="AD178" s="458" t="str">
        <f t="shared" si="284"/>
        <v>0</v>
      </c>
      <c r="AE178" s="458" t="str">
        <f t="shared" si="10"/>
        <v>1</v>
      </c>
      <c r="AF178" s="459" t="str">
        <f t="shared" si="351"/>
        <v>0</v>
      </c>
      <c r="AG178" s="460"/>
      <c r="AH178" s="567" t="s">
        <v>22</v>
      </c>
      <c r="AI178" s="568" t="str">
        <f t="shared" ref="AI178:AJ178" si="358">SUM(AM178+AK178+AO178+AQ178+AS178+AU178)</f>
        <v>7</v>
      </c>
      <c r="AJ178" s="569" t="str">
        <f t="shared" si="358"/>
        <v>7</v>
      </c>
      <c r="AK178" s="641" t="str">
        <f>sumifs($V$2:$V700, $D$2:$D700, "Epic", $E$2:$E700, "Classic", $F$2:F700, "Warlock")</f>
        <v>3</v>
      </c>
      <c r="AL178" s="666" t="str">
        <f>COUNTIFS($D$2:$D700, "Epic", $E$2:$E700, "Classic", $F$2:F700, "Warlock" )</f>
        <v>3</v>
      </c>
      <c r="AM178" s="667" t="str">
        <f>sumifs($V$2:$V700, $D$2:$D700, "Epic", $E$2:$E700, "Promo", $F$2:F700, "Warlock")</f>
        <v>0</v>
      </c>
      <c r="AN178" s="668" t="str">
        <f>COUNTIFS($D$2:$D700, "Epic", $E$2:$E700, "Promo", $F$2:F700, "Warlock" )</f>
        <v>0</v>
      </c>
      <c r="AO178" s="641" t="str">
        <f>sumifs($V$2:$V700, $D$2:$D700, "Epic", $E$2:$E700, "Naxx", $F$2:F700, "Warlock")</f>
        <v>0</v>
      </c>
      <c r="AP178" s="666" t="str">
        <f>COUNTIFS($D$2:$D700, "Epic", $E$2:$E700, "Naxx", $F$2:F700, "Warlock" )</f>
        <v>0</v>
      </c>
      <c r="AQ178" s="641" t="str">
        <f>sumifs($V$2:$V700, $D$2:$D700, "Epic", $E$2:$E700, "GvG", $F$2:F700, "Warlock")</f>
        <v>2</v>
      </c>
      <c r="AR178" s="666" t="str">
        <f>COUNTIFS($D$2:$D700, "Epic", $E$2:$E700, "GvG", $F$2:F700, "Warlock" )</f>
        <v>2</v>
      </c>
      <c r="AS178" s="641" t="str">
        <f>sumifs($V$2:$V700, $D$2:$D700, "Epic", $E$2:$E700, "Blackrock", $F$2:F700, "Warlock")</f>
        <v>0</v>
      </c>
      <c r="AT178" s="666" t="str">
        <f>COUNTIFS($D$2:$D700, "Epic", $E$2:$E700, "Blackrock", $F$2:F700, "Warlock" )</f>
        <v>0</v>
      </c>
      <c r="AU178" s="641" t="str">
        <f>sumifs($V$2:$V700, $D$2:$D700, "Epic", $E$2:$E700, "TGT", $F$2:F700, "Warlock")</f>
        <v>2</v>
      </c>
      <c r="AV178" s="666" t="str">
        <f>COUNTIFS($D$2:$D700, "Epic", $E$2:$E700, "TGT", $F$2:F700, "Warlock" )</f>
        <v>2</v>
      </c>
      <c r="AW178" s="667">
        <v>0.0</v>
      </c>
      <c r="AX178" s="668">
        <v>0.0</v>
      </c>
    </row>
    <row r="179">
      <c r="A179" s="442"/>
      <c r="B179" s="634">
        <v>8.0</v>
      </c>
      <c r="C179" s="635" t="s">
        <v>538</v>
      </c>
      <c r="D179" s="636" t="s">
        <v>22</v>
      </c>
      <c r="E179" s="636" t="s">
        <v>33</v>
      </c>
      <c r="F179" s="637" t="s">
        <v>68</v>
      </c>
      <c r="G179" s="639">
        <v>1.0</v>
      </c>
      <c r="H179" s="638">
        <v>0.0</v>
      </c>
      <c r="I179" s="640">
        <v>1.0</v>
      </c>
      <c r="J179" s="640">
        <v>1.0</v>
      </c>
      <c r="K179" s="641" t="s">
        <v>162</v>
      </c>
      <c r="L179" s="641"/>
      <c r="M179" s="641"/>
      <c r="N179" s="641"/>
      <c r="O179" s="642" t="s">
        <v>539</v>
      </c>
      <c r="P179" s="14"/>
      <c r="Q179" s="452" t="str">
        <f>MATCH($D179,Reference!$J$5:$J$9,0)</f>
        <v>4</v>
      </c>
      <c r="R179" s="452" t="str">
        <f>MATCH($E179,Reference!$J$26:$J$32,0)</f>
        <v>2</v>
      </c>
      <c r="S179" s="452" t="str">
        <f>MATCH($F179,Reference!$J$45:$J$54,0)</f>
        <v>4</v>
      </c>
      <c r="T179" s="453" t="str">
        <f>MATCH($K179,Reference!$J$37:$J$39,0)</f>
        <v>2</v>
      </c>
      <c r="U179" s="454" t="str">
        <f t="shared" si="281"/>
        <v>1</v>
      </c>
      <c r="V179" s="454" t="str">
        <f t="shared" si="3"/>
        <v>1</v>
      </c>
      <c r="W179" s="454" t="str">
        <f t="shared" si="349"/>
        <v>0</v>
      </c>
      <c r="X179" s="454" t="str">
        <f t="shared" si="282"/>
        <v>1</v>
      </c>
      <c r="Y179" s="456" t="str">
        <f t="shared" si="5"/>
        <v>FALSE</v>
      </c>
      <c r="Z179" s="456" t="str">
        <f t="shared" si="6"/>
        <v>FALSE</v>
      </c>
      <c r="AA179" s="457" t="str">
        <f t="shared" ref="AA179:AB179" si="359">1-I179</f>
        <v>0%</v>
      </c>
      <c r="AB179" s="457" t="str">
        <f t="shared" si="359"/>
        <v>0%</v>
      </c>
      <c r="AC179" s="456" t="str">
        <f t="shared" si="8"/>
        <v>1</v>
      </c>
      <c r="AD179" s="458" t="str">
        <f t="shared" si="284"/>
        <v>0</v>
      </c>
      <c r="AE179" s="458" t="str">
        <f t="shared" si="10"/>
        <v>1</v>
      </c>
      <c r="AF179" s="459" t="str">
        <f t="shared" si="351"/>
        <v>0</v>
      </c>
      <c r="AG179" s="460"/>
      <c r="AH179" s="583" t="s">
        <v>23</v>
      </c>
      <c r="AI179" s="584" t="str">
        <f t="shared" ref="AI179:AJ179" si="360">SUM(AM179+AK179+AO179+AQ179+AS179+AU179)</f>
        <v>2</v>
      </c>
      <c r="AJ179" s="585" t="str">
        <f t="shared" si="360"/>
        <v>3</v>
      </c>
      <c r="AK179" s="677" t="str">
        <f>sumifs($V$2:$V700, $D$2:$D700, "Legendary", $E$2:$E700, "Classic", $F$2:F700, "Warlock")</f>
        <v>1</v>
      </c>
      <c r="AL179" s="678" t="str">
        <f>COUNTIFS($D$2:$D700, "Legendary", $E$2:$E700, "Classic", $F$2:F700, "Warlock" )</f>
        <v>1</v>
      </c>
      <c r="AM179" s="679" t="str">
        <f>sumifs($V$2:$V700, $D$2:$D700, "Legendary", $E$2:$E700, "Promo", $F$2:F700, "Warlock")</f>
        <v>0</v>
      </c>
      <c r="AN179" s="680" t="str">
        <f>COUNTIFS($D$2:$D700, "Legendary", $E$2:$E700, "Promo", $F$2:F700, "Warlock" )</f>
        <v>0</v>
      </c>
      <c r="AO179" s="677" t="str">
        <f>sumifs($V$2:$V700, $D$2:$D700, "Legendary", $E$2:$E700, "Naxx", $F$2:F700, "Warlock")</f>
        <v>0</v>
      </c>
      <c r="AP179" s="678" t="str">
        <f>COUNTIFS($D$2:$D700, "Legendary", $E$2:$E700, "Naxx", $F$2:F700, "Warlock" )</f>
        <v>0</v>
      </c>
      <c r="AQ179" s="677" t="str">
        <f>sumifs($V$2:$V700, $D$2:$D700, "Legendary", $E$2:$E700, "GvG", $F$2:F700, "Warlock")</f>
        <v>1</v>
      </c>
      <c r="AR179" s="678" t="str">
        <f>COUNTIFS($D$2:$D700, "Legendary", $E$2:$E700, "GvG", $F$2:F700, "Warlock" )</f>
        <v>1</v>
      </c>
      <c r="AS179" s="677" t="str">
        <f>sumifs($V$2:$V700, $D$2:$D700, "Legendary", $E$2:$E700, "Blackrock", $F$2:F700, "Warlock")</f>
        <v>0</v>
      </c>
      <c r="AT179" s="678" t="str">
        <f>COUNTIFS($D$2:$D700, "Legendary", $E$2:$E700, "Blackrock", $F$2:F700, "Warlock" )</f>
        <v>0</v>
      </c>
      <c r="AU179" s="677" t="str">
        <f>sumifs($V$2:$V700, $D$2:$D700, "Legendary", $E$2:$E700, "TGT", $F$2:F700, "Warlock")</f>
        <v>0</v>
      </c>
      <c r="AV179" s="678" t="str">
        <f>COUNTIFS($D$2:$D700, "Legendary", $E$2:$E700, "TGT", $F$2:F700, "Warlock" )</f>
        <v>1</v>
      </c>
      <c r="AW179" s="679">
        <v>0.0</v>
      </c>
      <c r="AX179" s="680">
        <v>0.0</v>
      </c>
    </row>
    <row r="180">
      <c r="A180" s="463"/>
      <c r="B180" s="648">
        <v>5.0</v>
      </c>
      <c r="C180" s="649" t="s">
        <v>540</v>
      </c>
      <c r="D180" s="650" t="s">
        <v>23</v>
      </c>
      <c r="E180" s="650" t="s">
        <v>35</v>
      </c>
      <c r="F180" s="651" t="s">
        <v>68</v>
      </c>
      <c r="G180" s="652">
        <v>0.0</v>
      </c>
      <c r="H180" s="653">
        <v>0.0</v>
      </c>
      <c r="I180" s="654">
        <v>1.0</v>
      </c>
      <c r="J180" s="654"/>
      <c r="K180" s="703" t="s">
        <v>188</v>
      </c>
      <c r="L180" s="703"/>
      <c r="M180" s="703">
        <v>1.0</v>
      </c>
      <c r="N180" s="703">
        <v>7.0</v>
      </c>
      <c r="O180" s="655" t="s">
        <v>541</v>
      </c>
      <c r="P180" s="14"/>
      <c r="Q180" s="452" t="str">
        <f>MATCH($D180,Reference!$J$5:$J$9,0)</f>
        <v>5</v>
      </c>
      <c r="R180" s="452" t="str">
        <f>MATCH($E180,Reference!$J$26:$J$32,0)</f>
        <v>5</v>
      </c>
      <c r="S180" s="452" t="str">
        <f>MATCH($F180,Reference!$J$45:$J$54,0)</f>
        <v>4</v>
      </c>
      <c r="T180" s="453" t="str">
        <f>MATCH($K180,Reference!$J$37:$J$39,0)</f>
        <v>3</v>
      </c>
      <c r="U180" s="454" t="str">
        <f t="shared" ref="U180:U182" si="362">MIN((G180+H180),1)</f>
        <v>0</v>
      </c>
      <c r="V180" s="454" t="str">
        <f t="shared" si="3"/>
        <v>0</v>
      </c>
      <c r="W180" s="454" t="str">
        <f t="shared" ref="W180:W182" si="363">(MIN(G180,2)+H180-U180)*1600</f>
        <v>0</v>
      </c>
      <c r="X180" s="454" t="str">
        <f t="shared" ref="X180:X182" si="364">MIN((G180+H180+1),2)</f>
        <v>1</v>
      </c>
      <c r="Y180" s="456" t="str">
        <f t="shared" si="5"/>
        <v>TRUE</v>
      </c>
      <c r="Z180" s="456" t="str">
        <f t="shared" si="6"/>
        <v>TRUE</v>
      </c>
      <c r="AA180" s="457" t="str">
        <f t="shared" ref="AA180:AB180" si="361">1-I180</f>
        <v>0%</v>
      </c>
      <c r="AB180" s="457" t="str">
        <f t="shared" si="361"/>
        <v>100%</v>
      </c>
      <c r="AC180" s="456" t="str">
        <f t="shared" si="8"/>
        <v>1</v>
      </c>
      <c r="AD180" s="458" t="str">
        <f t="shared" ref="AD180:AD182" si="366">MIN((H180),1)</f>
        <v>0</v>
      </c>
      <c r="AE180" s="458" t="str">
        <f t="shared" si="10"/>
        <v>0</v>
      </c>
      <c r="AF180" s="459" t="str">
        <f t="shared" ref="AF180:AF182" si="367">(MIN(H180,2)+G180-U180)*400</f>
        <v>0</v>
      </c>
      <c r="AG180" s="460"/>
      <c r="AH180" s="587" t="s">
        <v>234</v>
      </c>
      <c r="AI180" s="499"/>
      <c r="AJ180" s="588"/>
      <c r="AK180" s="499"/>
      <c r="AL180" s="588"/>
      <c r="AM180" s="499"/>
      <c r="AN180" s="588"/>
      <c r="AO180" s="499"/>
      <c r="AP180" s="588"/>
      <c r="AQ180" s="499"/>
      <c r="AR180" s="588"/>
      <c r="AS180" s="499"/>
      <c r="AT180" s="588"/>
      <c r="AU180" s="499"/>
      <c r="AV180" s="588"/>
      <c r="AW180" s="499"/>
      <c r="AX180" s="588"/>
    </row>
    <row r="181">
      <c r="A181" s="682"/>
      <c r="B181" s="659">
        <v>7.0</v>
      </c>
      <c r="C181" s="660" t="s">
        <v>542</v>
      </c>
      <c r="D181" s="661" t="s">
        <v>23</v>
      </c>
      <c r="E181" s="662" t="s">
        <v>36</v>
      </c>
      <c r="F181" s="661" t="s">
        <v>68</v>
      </c>
      <c r="G181" s="663">
        <v>1.0</v>
      </c>
      <c r="H181" s="663">
        <v>0.0</v>
      </c>
      <c r="I181" s="664">
        <v>1.0</v>
      </c>
      <c r="J181" s="664">
        <v>1.0</v>
      </c>
      <c r="K181" s="662" t="s">
        <v>188</v>
      </c>
      <c r="L181" s="662"/>
      <c r="M181" s="662">
        <v>3.0</v>
      </c>
      <c r="N181" s="662">
        <v>7.0</v>
      </c>
      <c r="O181" s="665" t="s">
        <v>543</v>
      </c>
      <c r="P181" s="14"/>
      <c r="Q181" s="452" t="str">
        <f>MATCH($D181,Reference!$J$5:$J$9,0)</f>
        <v>5</v>
      </c>
      <c r="R181" s="452" t="str">
        <f>MATCH($E181,Reference!$J$26:$J$32,0)</f>
        <v>7</v>
      </c>
      <c r="S181" s="452" t="str">
        <f>MATCH($F181,Reference!$J$45:$J$54,0)</f>
        <v>4</v>
      </c>
      <c r="T181" s="453" t="str">
        <f>MATCH($K181,Reference!$J$37:$J$39,0)</f>
        <v>3</v>
      </c>
      <c r="U181" s="454" t="str">
        <f t="shared" si="362"/>
        <v>1</v>
      </c>
      <c r="V181" s="454" t="str">
        <f t="shared" si="3"/>
        <v>1</v>
      </c>
      <c r="W181" s="454" t="str">
        <f t="shared" si="363"/>
        <v>0</v>
      </c>
      <c r="X181" s="454" t="str">
        <f t="shared" si="364"/>
        <v>2</v>
      </c>
      <c r="Y181" s="456" t="str">
        <f t="shared" si="5"/>
        <v>FALSE</v>
      </c>
      <c r="Z181" s="456" t="str">
        <f t="shared" si="6"/>
        <v>TRUE</v>
      </c>
      <c r="AA181" s="457" t="str">
        <f t="shared" ref="AA181:AB181" si="365">1-I181</f>
        <v>0%</v>
      </c>
      <c r="AB181" s="457" t="str">
        <f t="shared" si="365"/>
        <v>0%</v>
      </c>
      <c r="AC181" s="456" t="str">
        <f t="shared" si="8"/>
        <v>1</v>
      </c>
      <c r="AD181" s="458" t="str">
        <f t="shared" si="366"/>
        <v>0</v>
      </c>
      <c r="AE181" s="458" t="str">
        <f t="shared" si="10"/>
        <v>1</v>
      </c>
      <c r="AF181" s="459" t="str">
        <f t="shared" si="367"/>
        <v>0</v>
      </c>
      <c r="AG181" s="460"/>
      <c r="AH181" s="643" t="s">
        <v>10</v>
      </c>
      <c r="AI181" s="534" t="str">
        <f t="shared" ref="AI181:AJ181" si="368">SUM(AM181+AK181+AO181+AQ181+AS181+AU181)</f>
        <v>20</v>
      </c>
      <c r="AJ181" s="535" t="str">
        <f t="shared" si="368"/>
        <v>20</v>
      </c>
      <c r="AK181" s="449" t="str">
        <f>sumifs($U$2:$U700, $E$2:$E700, "Basic", $F$2:F700, "Warlock")</f>
        <v>20</v>
      </c>
      <c r="AL181" s="535" t="str">
        <f>COUNTIFS($E$2:$E700, "Basic", $F$2:F700, "Warlock" )*2</f>
        <v>20</v>
      </c>
      <c r="AM181" s="449"/>
      <c r="AN181" s="537"/>
      <c r="AO181" s="449"/>
      <c r="AP181" s="537"/>
      <c r="AQ181" s="449"/>
      <c r="AR181" s="537"/>
      <c r="AS181" s="449"/>
      <c r="AT181" s="537"/>
      <c r="AU181" s="449"/>
      <c r="AV181" s="537"/>
      <c r="AW181" s="449"/>
      <c r="AX181" s="537"/>
    </row>
    <row r="182">
      <c r="A182" s="442"/>
      <c r="B182" s="669">
        <v>8.0</v>
      </c>
      <c r="C182" s="670" t="s">
        <v>544</v>
      </c>
      <c r="D182" s="671" t="s">
        <v>23</v>
      </c>
      <c r="E182" s="671" t="s">
        <v>33</v>
      </c>
      <c r="F182" s="672" t="s">
        <v>68</v>
      </c>
      <c r="G182" s="707">
        <v>1.0</v>
      </c>
      <c r="H182" s="673">
        <v>0.0</v>
      </c>
      <c r="I182" s="674">
        <v>1.0</v>
      </c>
      <c r="J182" s="674"/>
      <c r="K182" s="675" t="s">
        <v>188</v>
      </c>
      <c r="L182" s="675"/>
      <c r="M182" s="675">
        <v>6.0</v>
      </c>
      <c r="N182" s="675">
        <v>6.0</v>
      </c>
      <c r="O182" s="676" t="s">
        <v>545</v>
      </c>
      <c r="P182" s="14"/>
      <c r="Q182" s="452" t="str">
        <f>MATCH($D182,Reference!$J$5:$J$9,0)</f>
        <v>5</v>
      </c>
      <c r="R182" s="452" t="str">
        <f>MATCH($E182,Reference!$J$26:$J$32,0)</f>
        <v>2</v>
      </c>
      <c r="S182" s="452" t="str">
        <f>MATCH($F182,Reference!$J$45:$J$54,0)</f>
        <v>4</v>
      </c>
      <c r="T182" s="453" t="str">
        <f>MATCH($K182,Reference!$J$37:$J$39,0)</f>
        <v>3</v>
      </c>
      <c r="U182" s="454" t="str">
        <f t="shared" si="362"/>
        <v>1</v>
      </c>
      <c r="V182" s="454" t="str">
        <f t="shared" si="3"/>
        <v>1</v>
      </c>
      <c r="W182" s="454" t="str">
        <f t="shared" si="363"/>
        <v>0</v>
      </c>
      <c r="X182" s="454" t="str">
        <f t="shared" si="364"/>
        <v>2</v>
      </c>
      <c r="Y182" s="456" t="str">
        <f t="shared" si="5"/>
        <v>FALSE</v>
      </c>
      <c r="Z182" s="456" t="str">
        <f t="shared" si="6"/>
        <v>TRUE</v>
      </c>
      <c r="AA182" s="457" t="str">
        <f t="shared" ref="AA182:AB182" si="369">1-I182</f>
        <v>0%</v>
      </c>
      <c r="AB182" s="457" t="str">
        <f t="shared" si="369"/>
        <v>100%</v>
      </c>
      <c r="AC182" s="456" t="str">
        <f t="shared" si="8"/>
        <v>2</v>
      </c>
      <c r="AD182" s="458" t="str">
        <f t="shared" si="366"/>
        <v>0</v>
      </c>
      <c r="AE182" s="458" t="str">
        <f t="shared" si="10"/>
        <v>1</v>
      </c>
      <c r="AF182" s="459" t="str">
        <f t="shared" si="367"/>
        <v>0</v>
      </c>
      <c r="AG182" s="460"/>
      <c r="AH182" s="591" t="s">
        <v>15</v>
      </c>
      <c r="AI182" s="522" t="str">
        <f t="shared" ref="AI182:AJ182" si="370">SUM(AM182+AK182+AO182+AQ182+AS182+AU182)</f>
        <v>25</v>
      </c>
      <c r="AJ182" s="544" t="str">
        <f t="shared" si="370"/>
        <v>26</v>
      </c>
      <c r="AK182" s="499" t="str">
        <f>sumifs($U$2:$U700, $D$2:$D700, "Common", $E$2:$E700, "Classic", $F$2:F700, "Warlock")</f>
        <v>12</v>
      </c>
      <c r="AL182" s="544" t="str">
        <f>COUNTIFS($D$2:$D700, "Common", $E$2:$E700, "Classic", $F$2:F700, "Warlock" )*2</f>
        <v>12</v>
      </c>
      <c r="AM182" s="531" t="str">
        <f>sumifs($U$2:$U700, $D$2:$D700, "Common", $E$2:$E700, "Promo", $F$2:F700, "Warlock")</f>
        <v>0</v>
      </c>
      <c r="AN182" s="647" t="str">
        <f>COUNTIFS($D$2:$D700, "Common", $E$2:$E700, "Promo", $F$2:F700, "Warlock" )*2</f>
        <v>0</v>
      </c>
      <c r="AO182" s="499" t="str">
        <f>sumifs($U$2:$U700, $D$2:$D700, "Common", $E$2:$E700, "Naxx", $F$2:F700, "Warlock")</f>
        <v>2</v>
      </c>
      <c r="AP182" s="544" t="str">
        <f>COUNTIFS($D$2:$D700, "Common", $E$2:$E700, "Naxx", $F$2:F700, "Warlock" )*2</f>
        <v>2</v>
      </c>
      <c r="AQ182" s="499" t="str">
        <f>sumifs($U$2:$U700, $D$2:$D700, "Common", $E$2:$E700, "GvG", $F$2:F700, "Warlock")</f>
        <v>3</v>
      </c>
      <c r="AR182" s="544" t="str">
        <f>COUNTIFS($D$2:$D700, "Common", $E$2:$E700, "GvG", $F$2:F700, "Warlock" )*2</f>
        <v>4</v>
      </c>
      <c r="AS182" s="499" t="str">
        <f>sumifs($U$2:$U700, $D$2:$D700, "Common", $E$2:$E700, "Blackrock", $F$2:F700, "Warlock")</f>
        <v>2</v>
      </c>
      <c r="AT182" s="544" t="str">
        <f>COUNTIFS($D$2:$D700, "Common", $E$2:$E700, "Blackrock", $F$2:F700, "Warlock" )*2</f>
        <v>2</v>
      </c>
      <c r="AU182" s="499" t="str">
        <f>sumifs($U$2:$U700, $D$2:$D700, "Common", $E$2:$E700, "TGT", $F$2:F700, "Warlock")</f>
        <v>6</v>
      </c>
      <c r="AV182" s="544" t="str">
        <f>COUNTIFS($D$2:$D700, "Common", $E$2:$E700, "TGT", $F$2:F700, "Warlock" )*2</f>
        <v>6</v>
      </c>
      <c r="AW182" s="531">
        <v>0.0</v>
      </c>
      <c r="AX182" s="647">
        <v>0.0</v>
      </c>
    </row>
    <row r="183">
      <c r="A183" s="442"/>
      <c r="B183" s="443">
        <v>1.0</v>
      </c>
      <c r="C183" s="444" t="s">
        <v>546</v>
      </c>
      <c r="D183" s="445" t="s">
        <v>10</v>
      </c>
      <c r="E183" s="445" t="s">
        <v>10</v>
      </c>
      <c r="F183" s="445" t="s">
        <v>69</v>
      </c>
      <c r="G183" s="446" t="str">
        <f>COUNTIFS(Reference!F:F,C183,Reference!G:G,"&lt;="&amp;VLOOKUP($F183,Summary!$N$25:$O$33,2,0))</f>
        <v>2</v>
      </c>
      <c r="H183" s="447">
        <v>2.0</v>
      </c>
      <c r="I183" s="448">
        <v>1.0</v>
      </c>
      <c r="J183" s="448">
        <v>1.0</v>
      </c>
      <c r="K183" s="449" t="s">
        <v>162</v>
      </c>
      <c r="L183" s="449"/>
      <c r="M183" s="449"/>
      <c r="N183" s="449"/>
      <c r="O183" s="450" t="s">
        <v>275</v>
      </c>
      <c r="P183" s="14"/>
      <c r="Q183" s="452" t="str">
        <f>MATCH($D183,Reference!$J$5:$J$9,0)</f>
        <v>1</v>
      </c>
      <c r="R183" s="452" t="str">
        <f>MATCH($E183,Reference!$J$26:$J$32,0)</f>
        <v>1</v>
      </c>
      <c r="S183" s="452" t="str">
        <f>MATCH($F183,Reference!$J$45:$J$54,0)</f>
        <v>5</v>
      </c>
      <c r="T183" s="453" t="str">
        <f>MATCH($K183,Reference!$J$37:$J$39,0)</f>
        <v>2</v>
      </c>
      <c r="U183" s="454" t="str">
        <f t="shared" ref="U183:U224" si="373">MIN((G183+H183),2)</f>
        <v>2</v>
      </c>
      <c r="V183" s="454" t="str">
        <f t="shared" si="3"/>
        <v>1</v>
      </c>
      <c r="W183" s="455">
        <v>0.0</v>
      </c>
      <c r="X183" s="454" t="str">
        <f t="shared" ref="X183:X224" si="374">MIN((G183+H183),2)</f>
        <v>2</v>
      </c>
      <c r="Y183" s="456" t="str">
        <f t="shared" si="5"/>
        <v>FALSE</v>
      </c>
      <c r="Z183" s="456" t="str">
        <f t="shared" si="6"/>
        <v>FALSE</v>
      </c>
      <c r="AA183" s="457" t="str">
        <f t="shared" ref="AA183:AB183" si="371">1-I183</f>
        <v>0%</v>
      </c>
      <c r="AB183" s="457" t="str">
        <f t="shared" si="371"/>
        <v>0%</v>
      </c>
      <c r="AC183" s="456" t="str">
        <f t="shared" si="8"/>
        <v>2</v>
      </c>
      <c r="AD183" s="458" t="str">
        <f t="shared" ref="AD183:AD224" si="376">MIN((H183),2)</f>
        <v>2</v>
      </c>
      <c r="AE183" s="458" t="str">
        <f t="shared" si="10"/>
        <v>1</v>
      </c>
      <c r="AF183" s="459" t="str">
        <f t="shared" ref="AF183:AF192" si="377">(MIN(H183,2)+G183-U183)*0</f>
        <v>0</v>
      </c>
      <c r="AG183" s="460"/>
      <c r="AH183" s="592" t="s">
        <v>21</v>
      </c>
      <c r="AI183" s="557" t="str">
        <f t="shared" ref="AI183:AJ183" si="372">SUM(AM183+AK183+AO183+AQ183+AS183+AU183)</f>
        <v>21</v>
      </c>
      <c r="AJ183" s="558" t="str">
        <f t="shared" si="372"/>
        <v>24</v>
      </c>
      <c r="AK183" s="554" t="str">
        <f>sumifs($U$2:$U700, $D$2:$D700, "Rare", $E$2:$E700, "Classic", $F$2:F700, "Warlock")</f>
        <v>8</v>
      </c>
      <c r="AL183" s="558" t="str">
        <f>COUNTIFS($D$2:$D700, "Rare", $E$2:$E700, "Classic", $F$2:F700, "Warlock" )*2</f>
        <v>10</v>
      </c>
      <c r="AM183" s="657" t="str">
        <f>sumifs($U$2:$U700, $D$2:$D700, "Rare", $E$2:$E700, "Promo", $F$2:F700, "Warlock")</f>
        <v>0</v>
      </c>
      <c r="AN183" s="658" t="str">
        <f>COUNTIFS($D$2:$D700, "Rare", $E$2:$E700, "Promo", $F$2:F700, "Warlock" )*2</f>
        <v>0</v>
      </c>
      <c r="AO183" s="554" t="str">
        <f>sumifs($U$2:$U700, $D$2:$D700, "Rare", $E$2:$E700, "Naxx", $F$2:F700, "Warlock")</f>
        <v>0</v>
      </c>
      <c r="AP183" s="558" t="str">
        <f>COUNTIFS($D$2:$D700, "Rare", $E$2:$E700, "Naxx", $F$2:F700, "Warlock" )*2</f>
        <v>0</v>
      </c>
      <c r="AQ183" s="554" t="str">
        <f>sumifs($U$2:$U700, $D$2:$D700, "Rare", $E$2:$E700, "GvG", $F$2:F700, "Warlock")</f>
        <v>6</v>
      </c>
      <c r="AR183" s="558" t="str">
        <f>COUNTIFS($D$2:$D700, "Rare", $E$2:$E700, "GvG", $F$2:F700, "Warlock" )*2</f>
        <v>6</v>
      </c>
      <c r="AS183" s="554" t="str">
        <f>sumifs($U$2:$U700, $D$2:$D700, "Rare", $E$2:$E700, "Blackrock", $F$2:F700, "Warlock")</f>
        <v>2</v>
      </c>
      <c r="AT183" s="558" t="str">
        <f>COUNTIFS($D$2:$D700, "Rare", $E$2:$E700, "Blackrock", $F$2:F700, "Warlock" )*2</f>
        <v>2</v>
      </c>
      <c r="AU183" s="554" t="str">
        <f>sumifs($U$2:$U700, $D$2:$D700, "Rare", $E$2:$E700, "TGT", $F$2:F700, "Warlock")</f>
        <v>5</v>
      </c>
      <c r="AV183" s="558" t="str">
        <f>COUNTIFS($D$2:$D700, "Rare", $E$2:$E700, "TGT", $F$2:F700, "Warlock" )*2</f>
        <v>6</v>
      </c>
      <c r="AW183" s="657">
        <v>0.0</v>
      </c>
      <c r="AX183" s="658">
        <v>0.0</v>
      </c>
    </row>
    <row r="184">
      <c r="A184" s="442"/>
      <c r="B184" s="443">
        <v>1.0</v>
      </c>
      <c r="C184" s="444" t="s">
        <v>547</v>
      </c>
      <c r="D184" s="445" t="s">
        <v>10</v>
      </c>
      <c r="E184" s="445" t="s">
        <v>10</v>
      </c>
      <c r="F184" s="445" t="s">
        <v>69</v>
      </c>
      <c r="G184" s="446" t="str">
        <f>COUNTIFS(Reference!F:F,C184,Reference!G:G,"&lt;="&amp;VLOOKUP($F184,Summary!$N$25:$O$33,2,0))</f>
        <v>2</v>
      </c>
      <c r="H184" s="447">
        <v>0.0</v>
      </c>
      <c r="I184" s="448">
        <v>1.0</v>
      </c>
      <c r="J184" s="448">
        <v>1.0</v>
      </c>
      <c r="K184" s="445" t="s">
        <v>162</v>
      </c>
      <c r="L184" s="445"/>
      <c r="M184" s="445"/>
      <c r="N184" s="446"/>
      <c r="O184" s="450" t="s">
        <v>548</v>
      </c>
      <c r="P184" s="14"/>
      <c r="Q184" s="452" t="str">
        <f>MATCH($D184,Reference!$J$5:$J$9,0)</f>
        <v>1</v>
      </c>
      <c r="R184" s="452" t="str">
        <f>MATCH($E184,Reference!$J$26:$J$32,0)</f>
        <v>1</v>
      </c>
      <c r="S184" s="452" t="str">
        <f>MATCH($F184,Reference!$J$45:$J$54,0)</f>
        <v>5</v>
      </c>
      <c r="T184" s="453" t="str">
        <f>MATCH($K184,Reference!$J$37:$J$39,0)</f>
        <v>2</v>
      </c>
      <c r="U184" s="454" t="str">
        <f t="shared" si="373"/>
        <v>2</v>
      </c>
      <c r="V184" s="454" t="str">
        <f t="shared" si="3"/>
        <v>1</v>
      </c>
      <c r="W184" s="455">
        <v>0.0</v>
      </c>
      <c r="X184" s="454" t="str">
        <f t="shared" si="374"/>
        <v>2</v>
      </c>
      <c r="Y184" s="456" t="str">
        <f t="shared" si="5"/>
        <v>FALSE</v>
      </c>
      <c r="Z184" s="456" t="str">
        <f t="shared" si="6"/>
        <v>FALSE</v>
      </c>
      <c r="AA184" s="457" t="str">
        <f t="shared" ref="AA184:AB184" si="375">1-I184</f>
        <v>0%</v>
      </c>
      <c r="AB184" s="457" t="str">
        <f t="shared" si="375"/>
        <v>0%</v>
      </c>
      <c r="AC184" s="456" t="str">
        <f t="shared" si="8"/>
        <v>2</v>
      </c>
      <c r="AD184" s="458" t="str">
        <f t="shared" si="376"/>
        <v>0</v>
      </c>
      <c r="AE184" s="458" t="str">
        <f t="shared" si="10"/>
        <v>1</v>
      </c>
      <c r="AF184" s="459" t="str">
        <f t="shared" si="377"/>
        <v>0</v>
      </c>
      <c r="AG184" s="460"/>
      <c r="AH184" s="593" t="s">
        <v>22</v>
      </c>
      <c r="AI184" s="568" t="str">
        <f t="shared" ref="AI184:AJ184" si="378">SUM(AM184+AK184+AO184+AQ184+AS184+AU184)</f>
        <v>8</v>
      </c>
      <c r="AJ184" s="569" t="str">
        <f t="shared" si="378"/>
        <v>14</v>
      </c>
      <c r="AK184" s="641" t="str">
        <f>sumifs($U$2:$U700, $D$2:$D700, "Epic", $E$2:$E700, "Classic", $F$2:F700, "Warlock")</f>
        <v>4</v>
      </c>
      <c r="AL184" s="569" t="str">
        <f>COUNTIFS($D$2:$D700, "Epic", $E$2:$E700, "Classic", $F$2:F700, "Warlock" )*2</f>
        <v>6</v>
      </c>
      <c r="AM184" s="667" t="str">
        <f>sumifs($U$2:$U700, $D$2:$D700, "Epic", $E$2:$E700, "Promo", $F$2:F700, "Warlock")</f>
        <v>0</v>
      </c>
      <c r="AN184" s="668" t="str">
        <f>COUNTIFS($D$2:$D700, "Epic", $E$2:$E700, "Promo", $F$2:F700, "Warlock" )*2</f>
        <v>0</v>
      </c>
      <c r="AO184" s="641" t="str">
        <f>sumifs($U$2:$U700, $D$2:$D700, "Epic", $E$2:$E700, "Naxx", $F$2:F700, "Warlock")</f>
        <v>0</v>
      </c>
      <c r="AP184" s="569" t="str">
        <f>COUNTIFS($D$2:$D700, "Epic", $E$2:$E700, "Naxx", $F$2:F700, "Warlock" )*2</f>
        <v>0</v>
      </c>
      <c r="AQ184" s="641" t="str">
        <f>sumifs($U$2:$U700, $D$2:$D700, "Epic", $E$2:$E700, "GvG", $F$2:F700, "Warlock")</f>
        <v>2</v>
      </c>
      <c r="AR184" s="569" t="str">
        <f>COUNTIFS($D$2:$D700, "Epic", $E$2:$E700, "GvG", $F$2:F700, "Warlock" )*2</f>
        <v>4</v>
      </c>
      <c r="AS184" s="641" t="str">
        <f>sumifs($U$2:$U700, $D$2:$D700, "Epic", $E$2:$E700, "Blackrock", $F$2:F700, "Warlock")</f>
        <v>0</v>
      </c>
      <c r="AT184" s="569" t="str">
        <f>COUNTIFS($D$2:$D700, "Epic", $E$2:$E700, "Blackrock", $F$2:F700, "Warlock" )*2</f>
        <v>0</v>
      </c>
      <c r="AU184" s="641" t="str">
        <f>sumifs($U$2:$U700, $D$2:$D700, "Epic", $E$2:$E700, "TGT", $F$2:F700, "Warlock")</f>
        <v>2</v>
      </c>
      <c r="AV184" s="569" t="str">
        <f>COUNTIFS($D$2:$D700, "Epic", $E$2:$E700, "TGT", $F$2:F700, "Warlock" )*2</f>
        <v>4</v>
      </c>
      <c r="AW184" s="667">
        <v>0.0</v>
      </c>
      <c r="AX184" s="668">
        <v>0.0</v>
      </c>
    </row>
    <row r="185">
      <c r="A185" s="463"/>
      <c r="B185" s="443">
        <v>1.0</v>
      </c>
      <c r="C185" s="444" t="s">
        <v>549</v>
      </c>
      <c r="D185" s="445" t="s">
        <v>10</v>
      </c>
      <c r="E185" s="445" t="s">
        <v>10</v>
      </c>
      <c r="F185" s="445" t="s">
        <v>69</v>
      </c>
      <c r="G185" s="446" t="str">
        <f>COUNTIFS(Reference!F:F,C185,Reference!G:G,"&lt;="&amp;VLOOKUP($F185,Summary!$N$25:$O$33,2,0))</f>
        <v>2</v>
      </c>
      <c r="H185" s="447">
        <v>0.0</v>
      </c>
      <c r="I185" s="448">
        <v>1.0</v>
      </c>
      <c r="J185" s="448">
        <v>1.0</v>
      </c>
      <c r="K185" s="449" t="s">
        <v>188</v>
      </c>
      <c r="L185" s="449"/>
      <c r="M185" s="449">
        <v>1.0</v>
      </c>
      <c r="N185" s="449">
        <v>3.0</v>
      </c>
      <c r="O185" s="450" t="s">
        <v>550</v>
      </c>
      <c r="P185" s="14"/>
      <c r="Q185" s="452" t="str">
        <f>MATCH($D185,Reference!$J$5:$J$9,0)</f>
        <v>1</v>
      </c>
      <c r="R185" s="452" t="str">
        <f>MATCH($E185,Reference!$J$26:$J$32,0)</f>
        <v>1</v>
      </c>
      <c r="S185" s="452" t="str">
        <f>MATCH($F185,Reference!$J$45:$J$54,0)</f>
        <v>5</v>
      </c>
      <c r="T185" s="453" t="str">
        <f>MATCH($K185,Reference!$J$37:$J$39,0)</f>
        <v>3</v>
      </c>
      <c r="U185" s="454" t="str">
        <f t="shared" si="373"/>
        <v>2</v>
      </c>
      <c r="V185" s="454" t="str">
        <f t="shared" si="3"/>
        <v>1</v>
      </c>
      <c r="W185" s="455">
        <v>0.0</v>
      </c>
      <c r="X185" s="454" t="str">
        <f t="shared" si="374"/>
        <v>2</v>
      </c>
      <c r="Y185" s="456" t="str">
        <f t="shared" si="5"/>
        <v>FALSE</v>
      </c>
      <c r="Z185" s="456" t="str">
        <f t="shared" si="6"/>
        <v>FALSE</v>
      </c>
      <c r="AA185" s="457" t="str">
        <f t="shared" ref="AA185:AB185" si="379">1-I185</f>
        <v>0%</v>
      </c>
      <c r="AB185" s="457" t="str">
        <f t="shared" si="379"/>
        <v>0%</v>
      </c>
      <c r="AC185" s="456" t="str">
        <f t="shared" si="8"/>
        <v>2</v>
      </c>
      <c r="AD185" s="458" t="str">
        <f t="shared" si="376"/>
        <v>0</v>
      </c>
      <c r="AE185" s="458" t="str">
        <f t="shared" si="10"/>
        <v>1</v>
      </c>
      <c r="AF185" s="459" t="str">
        <f t="shared" si="377"/>
        <v>0</v>
      </c>
      <c r="AG185" s="460"/>
      <c r="AH185" s="583" t="s">
        <v>23</v>
      </c>
      <c r="AI185" s="584" t="str">
        <f t="shared" ref="AI185:AJ185" si="380">SUM(AM185+AK185+AO185+AQ185+AS185+AU185)</f>
        <v>2</v>
      </c>
      <c r="AJ185" s="585" t="str">
        <f t="shared" si="380"/>
        <v>3</v>
      </c>
      <c r="AK185" s="677" t="str">
        <f>sumifs($U$2:$U700, $D$2:$D700, "Legendary", $E$2:$E700, "Classic", $F$2:F700, "Warlock")</f>
        <v>1</v>
      </c>
      <c r="AL185" s="678" t="str">
        <f>COUNTIFS($D$2:$D700, "Legendary", $E$2:$E700, "Classic", $F$2:F700, "Warlock" )</f>
        <v>1</v>
      </c>
      <c r="AM185" s="679" t="str">
        <f>sumifs($U$2:$U700, $D$2:$D700, "Legendary", $E$2:$E700, "Promo", $F$2:F700, "Warlock")</f>
        <v>0</v>
      </c>
      <c r="AN185" s="680" t="str">
        <f>COUNTIFS($D$2:$D700, "Legendary", $E$2:$E700, "Promo", $F$2:F700, "Warlock" )</f>
        <v>0</v>
      </c>
      <c r="AO185" s="677" t="str">
        <f>sumifs($U$2:$U700, $D$2:$D700, "Legendary", $E$2:$E700, "Naxx", $F$2:F700, "Warlock")</f>
        <v>0</v>
      </c>
      <c r="AP185" s="678" t="str">
        <f>COUNTIFS($D$2:$D700, "Legendary", $E$2:$E700, "Naxx", $F$2:F700, "Warlock" )</f>
        <v>0</v>
      </c>
      <c r="AQ185" s="677" t="str">
        <f>sumifs($U$2:$U700, $D$2:$D700, "Legendary", $E$2:$E700, "GvG", $F$2:F700, "Warlock")</f>
        <v>1</v>
      </c>
      <c r="AR185" s="678" t="str">
        <f>COUNTIFS($D$2:$D700, "Legendary", $E$2:$E700, "GvG", $F$2:F700, "Warlock" )</f>
        <v>1</v>
      </c>
      <c r="AS185" s="677" t="str">
        <f>sumifs($U$2:$U700, $D$2:$D700, "Legendary", $E$2:$E700, "Blackrock", $F$2:F700, "Warlock")</f>
        <v>0</v>
      </c>
      <c r="AT185" s="678" t="str">
        <f>COUNTIFS($D$2:$D700, "Legendary", $E$2:$E700, "Blackrock", $F$2:F700, "Warlock" )</f>
        <v>0</v>
      </c>
      <c r="AU185" s="677" t="str">
        <f>sumifs($U$2:$U700, $D$2:$D700, "Legendary", $E$2:$E700, "TGT", $F$2:F700, "Warlock")</f>
        <v>0</v>
      </c>
      <c r="AV185" s="678" t="str">
        <f>COUNTIFS($D$2:$D700, "Legendary", $E$2:$E700, "TGT", $F$2:F700, "Warlock" )</f>
        <v>1</v>
      </c>
      <c r="AW185" s="679">
        <v>0.0</v>
      </c>
      <c r="AX185" s="680">
        <v>0.0</v>
      </c>
    </row>
    <row r="186">
      <c r="A186" s="682"/>
      <c r="B186" s="467">
        <v>1.0</v>
      </c>
      <c r="C186" s="468" t="s">
        <v>551</v>
      </c>
      <c r="D186" s="445" t="s">
        <v>10</v>
      </c>
      <c r="E186" s="445" t="s">
        <v>10</v>
      </c>
      <c r="F186" s="445" t="s">
        <v>69</v>
      </c>
      <c r="G186" s="446" t="str">
        <f>COUNTIFS(Reference!F:F,C186,Reference!G:G,"&lt;="&amp;VLOOKUP($F186,Summary!$N$25:$O$33,2,0))</f>
        <v>2</v>
      </c>
      <c r="H186" s="447">
        <v>0.0</v>
      </c>
      <c r="I186" s="448">
        <v>1.0</v>
      </c>
      <c r="J186" s="448">
        <v>1.0</v>
      </c>
      <c r="K186" s="449" t="s">
        <v>162</v>
      </c>
      <c r="L186" s="449"/>
      <c r="M186" s="449"/>
      <c r="N186" s="449"/>
      <c r="O186" s="450" t="s">
        <v>552</v>
      </c>
      <c r="P186" s="14"/>
      <c r="Q186" s="452" t="str">
        <f>MATCH($D186,Reference!$J$5:$J$9,0)</f>
        <v>1</v>
      </c>
      <c r="R186" s="452" t="str">
        <f>MATCH($E186,Reference!$J$26:$J$32,0)</f>
        <v>1</v>
      </c>
      <c r="S186" s="452" t="str">
        <f>MATCH($F186,Reference!$J$45:$J$54,0)</f>
        <v>5</v>
      </c>
      <c r="T186" s="453" t="str">
        <f>MATCH($K186,Reference!$J$37:$J$39,0)</f>
        <v>2</v>
      </c>
      <c r="U186" s="454" t="str">
        <f t="shared" si="373"/>
        <v>2</v>
      </c>
      <c r="V186" s="454" t="str">
        <f t="shared" si="3"/>
        <v>1</v>
      </c>
      <c r="W186" s="455">
        <v>0.0</v>
      </c>
      <c r="X186" s="454" t="str">
        <f t="shared" si="374"/>
        <v>2</v>
      </c>
      <c r="Y186" s="456" t="str">
        <f t="shared" si="5"/>
        <v>FALSE</v>
      </c>
      <c r="Z186" s="456" t="str">
        <f t="shared" si="6"/>
        <v>FALSE</v>
      </c>
      <c r="AA186" s="457" t="str">
        <f t="shared" ref="AA186:AB186" si="381">1-I186</f>
        <v>0%</v>
      </c>
      <c r="AB186" s="457" t="str">
        <f t="shared" si="381"/>
        <v>0%</v>
      </c>
      <c r="AC186" s="456" t="str">
        <f t="shared" si="8"/>
        <v>2</v>
      </c>
      <c r="AD186" s="458" t="str">
        <f t="shared" si="376"/>
        <v>0</v>
      </c>
      <c r="AE186" s="458" t="str">
        <f t="shared" si="10"/>
        <v>1</v>
      </c>
      <c r="AF186" s="459" t="str">
        <f t="shared" si="377"/>
        <v>0</v>
      </c>
      <c r="AG186" s="460"/>
      <c r="AH186" s="601" t="s">
        <v>24</v>
      </c>
      <c r="AI186" s="602"/>
      <c r="AJ186" s="603"/>
      <c r="AK186" s="602"/>
      <c r="AL186" s="603"/>
      <c r="AM186" s="602"/>
      <c r="AN186" s="603"/>
      <c r="AO186" s="602"/>
      <c r="AP186" s="603"/>
      <c r="AQ186" s="602"/>
      <c r="AR186" s="603"/>
      <c r="AS186" s="602"/>
      <c r="AT186" s="603"/>
      <c r="AU186" s="602"/>
      <c r="AV186" s="603"/>
      <c r="AW186" s="602"/>
      <c r="AX186" s="603"/>
    </row>
    <row r="187">
      <c r="A187" s="466"/>
      <c r="B187" s="443">
        <v>2.0</v>
      </c>
      <c r="C187" s="444" t="s">
        <v>553</v>
      </c>
      <c r="D187" s="445" t="s">
        <v>10</v>
      </c>
      <c r="E187" s="445" t="s">
        <v>10</v>
      </c>
      <c r="F187" s="445" t="s">
        <v>69</v>
      </c>
      <c r="G187" s="446" t="str">
        <f>COUNTIFS(Reference!F:F,C187,Reference!G:G,"&lt;="&amp;VLOOKUP($F187,Summary!$N$25:$O$33,2,0))</f>
        <v>2</v>
      </c>
      <c r="H187" s="447">
        <v>1.0</v>
      </c>
      <c r="I187" s="448">
        <v>1.0</v>
      </c>
      <c r="J187" s="448">
        <v>1.0</v>
      </c>
      <c r="K187" s="449" t="s">
        <v>162</v>
      </c>
      <c r="L187" s="449"/>
      <c r="M187" s="449"/>
      <c r="N187" s="449"/>
      <c r="O187" s="450" t="s">
        <v>554</v>
      </c>
      <c r="P187" s="14"/>
      <c r="Q187" s="452" t="str">
        <f>MATCH($D187,Reference!$J$5:$J$9,0)</f>
        <v>1</v>
      </c>
      <c r="R187" s="452" t="str">
        <f>MATCH($E187,Reference!$J$26:$J$32,0)</f>
        <v>1</v>
      </c>
      <c r="S187" s="452" t="str">
        <f>MATCH($F187,Reference!$J$45:$J$54,0)</f>
        <v>5</v>
      </c>
      <c r="T187" s="453" t="str">
        <f>MATCH($K187,Reference!$J$37:$J$39,0)</f>
        <v>2</v>
      </c>
      <c r="U187" s="454" t="str">
        <f t="shared" si="373"/>
        <v>2</v>
      </c>
      <c r="V187" s="454" t="str">
        <f t="shared" si="3"/>
        <v>1</v>
      </c>
      <c r="W187" s="455">
        <v>0.0</v>
      </c>
      <c r="X187" s="454" t="str">
        <f t="shared" si="374"/>
        <v>2</v>
      </c>
      <c r="Y187" s="456" t="str">
        <f t="shared" si="5"/>
        <v>FALSE</v>
      </c>
      <c r="Z187" s="456" t="str">
        <f t="shared" si="6"/>
        <v>FALSE</v>
      </c>
      <c r="AA187" s="457" t="str">
        <f t="shared" ref="AA187:AB187" si="382">1-I187</f>
        <v>0%</v>
      </c>
      <c r="AB187" s="457" t="str">
        <f t="shared" si="382"/>
        <v>0%</v>
      </c>
      <c r="AC187" s="456" t="str">
        <f t="shared" si="8"/>
        <v>2</v>
      </c>
      <c r="AD187" s="458" t="str">
        <f t="shared" si="376"/>
        <v>1</v>
      </c>
      <c r="AE187" s="458" t="str">
        <f t="shared" si="10"/>
        <v>1</v>
      </c>
      <c r="AF187" s="459" t="str">
        <f t="shared" si="377"/>
        <v>0</v>
      </c>
      <c r="AG187" s="460"/>
      <c r="AH187" s="604" t="s">
        <v>221</v>
      </c>
      <c r="AI187" s="605" t="str">
        <f t="shared" ref="AI187:AN187" si="383">SUM(AI175:AI179)</f>
        <v>43</v>
      </c>
      <c r="AJ187" s="606" t="str">
        <f t="shared" si="383"/>
        <v>45</v>
      </c>
      <c r="AK187" s="605" t="str">
        <f t="shared" si="383"/>
        <v>24</v>
      </c>
      <c r="AL187" s="606" t="str">
        <f t="shared" si="383"/>
        <v>25</v>
      </c>
      <c r="AM187" s="605" t="str">
        <f t="shared" si="383"/>
        <v>0</v>
      </c>
      <c r="AN187" s="606" t="str">
        <f t="shared" si="383"/>
        <v>0</v>
      </c>
      <c r="AO187" s="605" t="str">
        <f>sum(AO175:AO179)</f>
        <v>1</v>
      </c>
      <c r="AP187" s="606" t="str">
        <f>SUM(AP175:AP179)</f>
        <v>1</v>
      </c>
      <c r="AQ187" s="605" t="str">
        <f>sum(AQ175:AQ179)</f>
        <v>8</v>
      </c>
      <c r="AR187" s="606" t="str">
        <f>SUM(AR175:AR179)</f>
        <v>8</v>
      </c>
      <c r="AS187" s="605" t="str">
        <f t="shared" ref="AS187:AX187" si="384">sum(AS175:AS179)</f>
        <v>2</v>
      </c>
      <c r="AT187" s="606" t="str">
        <f t="shared" si="384"/>
        <v>2</v>
      </c>
      <c r="AU187" s="605" t="str">
        <f t="shared" si="384"/>
        <v>8</v>
      </c>
      <c r="AV187" s="606" t="str">
        <f t="shared" si="384"/>
        <v>9</v>
      </c>
      <c r="AW187" s="605" t="str">
        <f t="shared" si="384"/>
        <v>0</v>
      </c>
      <c r="AX187" s="606" t="str">
        <f t="shared" si="384"/>
        <v>0</v>
      </c>
    </row>
    <row r="188">
      <c r="A188" s="466"/>
      <c r="B188" s="443">
        <v>2.0</v>
      </c>
      <c r="C188" s="444" t="s">
        <v>555</v>
      </c>
      <c r="D188" s="445" t="s">
        <v>10</v>
      </c>
      <c r="E188" s="445" t="s">
        <v>10</v>
      </c>
      <c r="F188" s="445" t="s">
        <v>69</v>
      </c>
      <c r="G188" s="446" t="str">
        <f>COUNTIFS(Reference!F:F,C188,Reference!G:G,"&lt;="&amp;VLOOKUP($F188,Summary!$N$25:$O$33,2,0))</f>
        <v>2</v>
      </c>
      <c r="H188" s="447">
        <v>2.0</v>
      </c>
      <c r="I188" s="448">
        <v>1.0</v>
      </c>
      <c r="J188" s="448">
        <v>1.0</v>
      </c>
      <c r="K188" s="445" t="s">
        <v>162</v>
      </c>
      <c r="L188" s="445"/>
      <c r="M188" s="445"/>
      <c r="N188" s="446"/>
      <c r="O188" s="450" t="s">
        <v>556</v>
      </c>
      <c r="P188" s="14"/>
      <c r="Q188" s="452" t="str">
        <f>MATCH($D188,Reference!$J$5:$J$9,0)</f>
        <v>1</v>
      </c>
      <c r="R188" s="452" t="str">
        <f>MATCH($E188,Reference!$J$26:$J$32,0)</f>
        <v>1</v>
      </c>
      <c r="S188" s="452" t="str">
        <f>MATCH($F188,Reference!$J$45:$J$54,0)</f>
        <v>5</v>
      </c>
      <c r="T188" s="453" t="str">
        <f>MATCH($K188,Reference!$J$37:$J$39,0)</f>
        <v>2</v>
      </c>
      <c r="U188" s="454" t="str">
        <f t="shared" si="373"/>
        <v>2</v>
      </c>
      <c r="V188" s="454" t="str">
        <f t="shared" si="3"/>
        <v>1</v>
      </c>
      <c r="W188" s="455">
        <v>0.0</v>
      </c>
      <c r="X188" s="454" t="str">
        <f t="shared" si="374"/>
        <v>2</v>
      </c>
      <c r="Y188" s="456" t="str">
        <f t="shared" si="5"/>
        <v>FALSE</v>
      </c>
      <c r="Z188" s="456" t="str">
        <f t="shared" si="6"/>
        <v>FALSE</v>
      </c>
      <c r="AA188" s="457" t="str">
        <f t="shared" ref="AA188:AB188" si="385">1-I188</f>
        <v>0%</v>
      </c>
      <c r="AB188" s="457" t="str">
        <f t="shared" si="385"/>
        <v>0%</v>
      </c>
      <c r="AC188" s="456" t="str">
        <f t="shared" si="8"/>
        <v>2</v>
      </c>
      <c r="AD188" s="458" t="str">
        <f t="shared" si="376"/>
        <v>2</v>
      </c>
      <c r="AE188" s="458" t="str">
        <f t="shared" si="10"/>
        <v>1</v>
      </c>
      <c r="AF188" s="459" t="str">
        <f t="shared" si="377"/>
        <v>0</v>
      </c>
      <c r="AG188" s="460"/>
      <c r="AH188" s="615" t="s">
        <v>234</v>
      </c>
      <c r="AI188" s="616" t="str">
        <f t="shared" ref="AI188:AJ188" si="386">SUM(AI181:AI185)</f>
        <v>76</v>
      </c>
      <c r="AJ188" s="617" t="str">
        <f t="shared" si="386"/>
        <v>87</v>
      </c>
      <c r="AK188" s="616" t="str">
        <f>sum(AK181:AK185)</f>
        <v>45</v>
      </c>
      <c r="AL188" s="617" t="str">
        <f>SUM(AL181:AL185)</f>
        <v>49</v>
      </c>
      <c r="AM188" s="616" t="str">
        <f>sum(AM181:AM185)</f>
        <v>0</v>
      </c>
      <c r="AN188" s="617" t="str">
        <f>SUM(AN181:AN185)</f>
        <v>0</v>
      </c>
      <c r="AO188" s="616" t="str">
        <f>sum(AO181:AO185)</f>
        <v>2</v>
      </c>
      <c r="AP188" s="617" t="str">
        <f>SUM(AP181:AP185)</f>
        <v>2</v>
      </c>
      <c r="AQ188" s="616" t="str">
        <f>sum(AQ182:AQ185)</f>
        <v>12</v>
      </c>
      <c r="AR188" s="617" t="str">
        <f>SUM(AR181:AR185)</f>
        <v>15</v>
      </c>
      <c r="AS188" s="616" t="str">
        <f t="shared" ref="AS188:AX188" si="387">sum(AS181:AS185)</f>
        <v>4</v>
      </c>
      <c r="AT188" s="617" t="str">
        <f t="shared" si="387"/>
        <v>4</v>
      </c>
      <c r="AU188" s="616" t="str">
        <f t="shared" si="387"/>
        <v>13</v>
      </c>
      <c r="AV188" s="617" t="str">
        <f t="shared" si="387"/>
        <v>17</v>
      </c>
      <c r="AW188" s="616" t="str">
        <f t="shared" si="387"/>
        <v>0</v>
      </c>
      <c r="AX188" s="617" t="str">
        <f t="shared" si="387"/>
        <v>0</v>
      </c>
    </row>
    <row r="189">
      <c r="A189" s="442"/>
      <c r="B189" s="467">
        <v>2.0</v>
      </c>
      <c r="C189" s="468" t="s">
        <v>557</v>
      </c>
      <c r="D189" s="445" t="s">
        <v>10</v>
      </c>
      <c r="E189" s="445" t="s">
        <v>10</v>
      </c>
      <c r="F189" s="445" t="s">
        <v>69</v>
      </c>
      <c r="G189" s="446" t="str">
        <f>COUNTIFS(Reference!F:F,C189,Reference!G:G,"&lt;="&amp;VLOOKUP($F189,Summary!$N$25:$O$33,2,0))</f>
        <v>2</v>
      </c>
      <c r="H189" s="447">
        <v>0.0</v>
      </c>
      <c r="I189" s="448">
        <v>1.0</v>
      </c>
      <c r="J189" s="448">
        <v>1.0</v>
      </c>
      <c r="K189" s="449" t="s">
        <v>162</v>
      </c>
      <c r="L189" s="449"/>
      <c r="M189" s="449"/>
      <c r="N189" s="449"/>
      <c r="O189" s="450" t="s">
        <v>558</v>
      </c>
      <c r="P189" s="14"/>
      <c r="Q189" s="452" t="str">
        <f>MATCH($D189,Reference!$J$5:$J$9,0)</f>
        <v>1</v>
      </c>
      <c r="R189" s="452" t="str">
        <f>MATCH($E189,Reference!$J$26:$J$32,0)</f>
        <v>1</v>
      </c>
      <c r="S189" s="452" t="str">
        <f>MATCH($F189,Reference!$J$45:$J$54,0)</f>
        <v>5</v>
      </c>
      <c r="T189" s="453" t="str">
        <f>MATCH($K189,Reference!$J$37:$J$39,0)</f>
        <v>2</v>
      </c>
      <c r="U189" s="454" t="str">
        <f t="shared" si="373"/>
        <v>2</v>
      </c>
      <c r="V189" s="454" t="str">
        <f t="shared" si="3"/>
        <v>1</v>
      </c>
      <c r="W189" s="455">
        <v>0.0</v>
      </c>
      <c r="X189" s="454" t="str">
        <f t="shared" si="374"/>
        <v>2</v>
      </c>
      <c r="Y189" s="456" t="str">
        <f t="shared" si="5"/>
        <v>FALSE</v>
      </c>
      <c r="Z189" s="456" t="str">
        <f t="shared" si="6"/>
        <v>FALSE</v>
      </c>
      <c r="AA189" s="457" t="str">
        <f t="shared" ref="AA189:AB189" si="388">1-I189</f>
        <v>0%</v>
      </c>
      <c r="AB189" s="457" t="str">
        <f t="shared" si="388"/>
        <v>0%</v>
      </c>
      <c r="AC189" s="456" t="str">
        <f t="shared" si="8"/>
        <v>2</v>
      </c>
      <c r="AD189" s="458" t="str">
        <f t="shared" si="376"/>
        <v>0</v>
      </c>
      <c r="AE189" s="458" t="str">
        <f t="shared" si="10"/>
        <v>1</v>
      </c>
      <c r="AF189" s="459" t="str">
        <f t="shared" si="377"/>
        <v>0</v>
      </c>
      <c r="AG189" s="460"/>
      <c r="AH189" s="14"/>
      <c r="AI189" s="14"/>
      <c r="AJ189" s="14"/>
      <c r="AK189" s="14"/>
      <c r="AL189" s="14"/>
      <c r="AM189" s="14"/>
      <c r="AN189" s="14"/>
      <c r="AO189" s="14"/>
      <c r="AP189" s="14"/>
      <c r="AQ189" s="14"/>
      <c r="AR189" s="14"/>
      <c r="AS189" s="14"/>
      <c r="AT189" s="14"/>
    </row>
    <row r="190">
      <c r="A190" s="442"/>
      <c r="B190" s="467">
        <v>3.0</v>
      </c>
      <c r="C190" s="468" t="s">
        <v>559</v>
      </c>
      <c r="D190" s="445" t="s">
        <v>10</v>
      </c>
      <c r="E190" s="445" t="s">
        <v>10</v>
      </c>
      <c r="F190" s="445" t="s">
        <v>69</v>
      </c>
      <c r="G190" s="446" t="str">
        <f>COUNTIFS(Reference!F:F,C190,Reference!G:G,"&lt;="&amp;VLOOKUP($F190,Summary!$N$25:$O$33,2,0))</f>
        <v>2</v>
      </c>
      <c r="H190" s="447">
        <v>0.0</v>
      </c>
      <c r="I190" s="448">
        <v>1.0</v>
      </c>
      <c r="J190" s="448">
        <v>1.0</v>
      </c>
      <c r="K190" s="449" t="s">
        <v>162</v>
      </c>
      <c r="L190" s="449"/>
      <c r="M190" s="449"/>
      <c r="N190" s="449"/>
      <c r="O190" s="450" t="s">
        <v>560</v>
      </c>
      <c r="P190" s="14"/>
      <c r="Q190" s="452" t="str">
        <f>MATCH($D190,Reference!$J$5:$J$9,0)</f>
        <v>1</v>
      </c>
      <c r="R190" s="452" t="str">
        <f>MATCH($E190,Reference!$J$26:$J$32,0)</f>
        <v>1</v>
      </c>
      <c r="S190" s="452" t="str">
        <f>MATCH($F190,Reference!$J$45:$J$54,0)</f>
        <v>5</v>
      </c>
      <c r="T190" s="453" t="str">
        <f>MATCH($K190,Reference!$J$37:$J$39,0)</f>
        <v>2</v>
      </c>
      <c r="U190" s="454" t="str">
        <f t="shared" si="373"/>
        <v>2</v>
      </c>
      <c r="V190" s="454" t="str">
        <f t="shared" si="3"/>
        <v>1</v>
      </c>
      <c r="W190" s="455">
        <v>0.0</v>
      </c>
      <c r="X190" s="454" t="str">
        <f t="shared" si="374"/>
        <v>2</v>
      </c>
      <c r="Y190" s="456" t="str">
        <f t="shared" si="5"/>
        <v>FALSE</v>
      </c>
      <c r="Z190" s="456" t="str">
        <f t="shared" si="6"/>
        <v>FALSE</v>
      </c>
      <c r="AA190" s="457" t="str">
        <f t="shared" ref="AA190:AB190" si="389">1-I190</f>
        <v>0%</v>
      </c>
      <c r="AB190" s="457" t="str">
        <f t="shared" si="389"/>
        <v>0%</v>
      </c>
      <c r="AC190" s="456" t="str">
        <f t="shared" si="8"/>
        <v>2</v>
      </c>
      <c r="AD190" s="458" t="str">
        <f t="shared" si="376"/>
        <v>0</v>
      </c>
      <c r="AE190" s="458" t="str">
        <f t="shared" si="10"/>
        <v>1</v>
      </c>
      <c r="AF190" s="459" t="str">
        <f t="shared" si="377"/>
        <v>0</v>
      </c>
      <c r="AG190" s="460"/>
      <c r="AH190" s="14"/>
      <c r="AI190" s="14"/>
      <c r="AJ190" s="14"/>
      <c r="AK190" s="14"/>
      <c r="AL190" s="14"/>
      <c r="AM190" s="14"/>
      <c r="AN190" s="14"/>
      <c r="AO190" s="14"/>
      <c r="AP190" s="14"/>
      <c r="AQ190" s="14"/>
      <c r="AR190" s="14"/>
      <c r="AS190" s="14"/>
      <c r="AT190" s="14"/>
    </row>
    <row r="191">
      <c r="A191" s="442"/>
      <c r="B191" s="467">
        <v>5.0</v>
      </c>
      <c r="C191" s="468" t="s">
        <v>561</v>
      </c>
      <c r="D191" s="445" t="s">
        <v>10</v>
      </c>
      <c r="E191" s="445" t="s">
        <v>10</v>
      </c>
      <c r="F191" s="445" t="s">
        <v>69</v>
      </c>
      <c r="G191" s="446" t="str">
        <f>COUNTIFS(Reference!F:F,C191,Reference!G:G,"&lt;="&amp;VLOOKUP($F191,Summary!$N$25:$O$33,2,0))</f>
        <v>2</v>
      </c>
      <c r="H191" s="447">
        <v>0.0</v>
      </c>
      <c r="I191" s="448">
        <v>1.0</v>
      </c>
      <c r="J191" s="448">
        <v>1.0</v>
      </c>
      <c r="K191" s="449" t="s">
        <v>162</v>
      </c>
      <c r="L191" s="449"/>
      <c r="M191" s="449"/>
      <c r="N191" s="449"/>
      <c r="O191" s="450" t="s">
        <v>562</v>
      </c>
      <c r="P191" s="14"/>
      <c r="Q191" s="452" t="str">
        <f>MATCH($D191,Reference!$J$5:$J$9,0)</f>
        <v>1</v>
      </c>
      <c r="R191" s="452" t="str">
        <f>MATCH($E191,Reference!$J$26:$J$32,0)</f>
        <v>1</v>
      </c>
      <c r="S191" s="452" t="str">
        <f>MATCH($F191,Reference!$J$45:$J$54,0)</f>
        <v>5</v>
      </c>
      <c r="T191" s="453" t="str">
        <f>MATCH($K191,Reference!$J$37:$J$39,0)</f>
        <v>2</v>
      </c>
      <c r="U191" s="454" t="str">
        <f t="shared" si="373"/>
        <v>2</v>
      </c>
      <c r="V191" s="454" t="str">
        <f t="shared" si="3"/>
        <v>1</v>
      </c>
      <c r="W191" s="455">
        <v>0.0</v>
      </c>
      <c r="X191" s="454" t="str">
        <f t="shared" si="374"/>
        <v>2</v>
      </c>
      <c r="Y191" s="456" t="str">
        <f t="shared" si="5"/>
        <v>FALSE</v>
      </c>
      <c r="Z191" s="456" t="str">
        <f t="shared" si="6"/>
        <v>FALSE</v>
      </c>
      <c r="AA191" s="457" t="str">
        <f t="shared" ref="AA191:AB191" si="390">1-I191</f>
        <v>0%</v>
      </c>
      <c r="AB191" s="457" t="str">
        <f t="shared" si="390"/>
        <v>0%</v>
      </c>
      <c r="AC191" s="456" t="str">
        <f t="shared" si="8"/>
        <v>2</v>
      </c>
      <c r="AD191" s="458" t="str">
        <f t="shared" si="376"/>
        <v>0</v>
      </c>
      <c r="AE191" s="458" t="str">
        <f t="shared" si="10"/>
        <v>1</v>
      </c>
      <c r="AF191" s="459" t="str">
        <f t="shared" si="377"/>
        <v>0</v>
      </c>
      <c r="AG191" s="460"/>
      <c r="AH191" s="521" t="s">
        <v>75</v>
      </c>
      <c r="AI191" s="106"/>
      <c r="AJ191" s="106"/>
      <c r="AK191" s="106"/>
      <c r="AL191" s="106"/>
      <c r="AM191" s="106"/>
      <c r="AN191" s="106"/>
      <c r="AO191" s="106"/>
      <c r="AP191" s="106"/>
      <c r="AQ191" s="106"/>
      <c r="AR191" s="106"/>
      <c r="AS191" s="106"/>
      <c r="AT191" s="106"/>
      <c r="AU191" s="106"/>
      <c r="AV191" s="106"/>
      <c r="AW191" s="106"/>
      <c r="AX191" s="106"/>
    </row>
    <row r="192">
      <c r="A192" s="682"/>
      <c r="B192" s="443">
        <v>10.0</v>
      </c>
      <c r="C192" s="444" t="s">
        <v>563</v>
      </c>
      <c r="D192" s="445" t="s">
        <v>10</v>
      </c>
      <c r="E192" s="445" t="s">
        <v>10</v>
      </c>
      <c r="F192" s="445" t="s">
        <v>69</v>
      </c>
      <c r="G192" s="446" t="str">
        <f>COUNTIFS(Reference!F:F,C192,Reference!G:G,"&lt;="&amp;VLOOKUP($F192,Summary!$N$25:$O$33,2,0))</f>
        <v>2</v>
      </c>
      <c r="H192" s="447">
        <v>0.0</v>
      </c>
      <c r="I192" s="448">
        <v>1.0</v>
      </c>
      <c r="J192" s="448">
        <v>1.0</v>
      </c>
      <c r="K192" s="445" t="s">
        <v>162</v>
      </c>
      <c r="L192" s="445"/>
      <c r="M192" s="445"/>
      <c r="N192" s="446"/>
      <c r="O192" s="450" t="s">
        <v>564</v>
      </c>
      <c r="P192" s="14"/>
      <c r="Q192" s="452" t="str">
        <f>MATCH($D192,Reference!$J$5:$J$9,0)</f>
        <v>1</v>
      </c>
      <c r="R192" s="452" t="str">
        <f>MATCH($E192,Reference!$J$26:$J$32,0)</f>
        <v>1</v>
      </c>
      <c r="S192" s="452" t="str">
        <f>MATCH($F192,Reference!$J$45:$J$54,0)</f>
        <v>5</v>
      </c>
      <c r="T192" s="453" t="str">
        <f>MATCH($K192,Reference!$J$37:$J$39,0)</f>
        <v>2</v>
      </c>
      <c r="U192" s="454" t="str">
        <f t="shared" si="373"/>
        <v>2</v>
      </c>
      <c r="V192" s="454" t="str">
        <f t="shared" si="3"/>
        <v>1</v>
      </c>
      <c r="W192" s="455">
        <v>0.0</v>
      </c>
      <c r="X192" s="454" t="str">
        <f t="shared" si="374"/>
        <v>2</v>
      </c>
      <c r="Y192" s="456" t="str">
        <f t="shared" si="5"/>
        <v>FALSE</v>
      </c>
      <c r="Z192" s="456" t="str">
        <f t="shared" si="6"/>
        <v>FALSE</v>
      </c>
      <c r="AA192" s="457" t="str">
        <f t="shared" ref="AA192:AB192" si="391">1-I192</f>
        <v>0%</v>
      </c>
      <c r="AB192" s="457" t="str">
        <f t="shared" si="391"/>
        <v>0%</v>
      </c>
      <c r="AC192" s="456" t="str">
        <f t="shared" si="8"/>
        <v>2</v>
      </c>
      <c r="AD192" s="458" t="str">
        <f t="shared" si="376"/>
        <v>0</v>
      </c>
      <c r="AE192" s="458" t="str">
        <f t="shared" si="10"/>
        <v>1</v>
      </c>
      <c r="AF192" s="459" t="str">
        <f t="shared" si="377"/>
        <v>0</v>
      </c>
      <c r="AG192" s="460"/>
      <c r="AH192" s="523" t="s">
        <v>141</v>
      </c>
      <c r="AI192" s="524" t="s">
        <v>24</v>
      </c>
      <c r="AJ192" s="106"/>
      <c r="AK192" s="524" t="s">
        <v>33</v>
      </c>
      <c r="AL192" s="106"/>
      <c r="AM192" s="524" t="s">
        <v>37</v>
      </c>
      <c r="AN192" s="106"/>
      <c r="AO192" s="524" t="s">
        <v>41</v>
      </c>
      <c r="AP192" s="106"/>
      <c r="AQ192" s="524" t="s">
        <v>35</v>
      </c>
      <c r="AR192" s="106"/>
      <c r="AS192" s="525" t="s">
        <v>217</v>
      </c>
      <c r="AT192" s="106"/>
      <c r="AU192" s="525" t="s">
        <v>36</v>
      </c>
      <c r="AV192" s="106"/>
      <c r="AW192" s="525" t="s">
        <v>218</v>
      </c>
      <c r="AX192" s="106"/>
    </row>
    <row r="193">
      <c r="A193" s="442"/>
      <c r="B193" s="442">
        <v>0.0</v>
      </c>
      <c r="C193" s="482" t="s">
        <v>565</v>
      </c>
      <c r="D193" s="483" t="s">
        <v>15</v>
      </c>
      <c r="E193" s="483" t="s">
        <v>33</v>
      </c>
      <c r="F193" s="484" t="s">
        <v>69</v>
      </c>
      <c r="G193" s="508">
        <v>2.0</v>
      </c>
      <c r="H193" s="485">
        <v>0.0</v>
      </c>
      <c r="I193" s="486">
        <v>1.0</v>
      </c>
      <c r="J193" s="486">
        <v>1.0</v>
      </c>
      <c r="K193" s="522" t="s">
        <v>162</v>
      </c>
      <c r="L193" s="522"/>
      <c r="M193" s="522"/>
      <c r="N193" s="522"/>
      <c r="O193" s="224" t="s">
        <v>566</v>
      </c>
      <c r="P193" s="14"/>
      <c r="Q193" s="452" t="str">
        <f>MATCH($D193,Reference!$J$5:$J$9,0)</f>
        <v>2</v>
      </c>
      <c r="R193" s="452" t="str">
        <f>MATCH($E193,Reference!$J$26:$J$32,0)</f>
        <v>2</v>
      </c>
      <c r="S193" s="452" t="str">
        <f>MATCH($F193,Reference!$J$45:$J$54,0)</f>
        <v>5</v>
      </c>
      <c r="T193" s="453" t="str">
        <f>MATCH($K193,Reference!$J$37:$J$39,0)</f>
        <v>2</v>
      </c>
      <c r="U193" s="454" t="str">
        <f t="shared" si="373"/>
        <v>2</v>
      </c>
      <c r="V193" s="454" t="str">
        <f t="shared" si="3"/>
        <v>1</v>
      </c>
      <c r="W193" s="454" t="str">
        <f t="shared" ref="W193:W205" si="393">(MIN(G193,2)+H193-U193)*50</f>
        <v>0</v>
      </c>
      <c r="X193" s="454" t="str">
        <f t="shared" si="374"/>
        <v>2</v>
      </c>
      <c r="Y193" s="456" t="str">
        <f t="shared" si="5"/>
        <v>FALSE</v>
      </c>
      <c r="Z193" s="456" t="str">
        <f t="shared" si="6"/>
        <v>FALSE</v>
      </c>
      <c r="AA193" s="457" t="str">
        <f t="shared" ref="AA193:AB193" si="392">1-I193</f>
        <v>0%</v>
      </c>
      <c r="AB193" s="457" t="str">
        <f t="shared" si="392"/>
        <v>0%</v>
      </c>
      <c r="AC193" s="456" t="str">
        <f t="shared" si="8"/>
        <v>2</v>
      </c>
      <c r="AD193" s="458" t="str">
        <f t="shared" si="376"/>
        <v>0</v>
      </c>
      <c r="AE193" s="458" t="str">
        <f t="shared" si="10"/>
        <v>1</v>
      </c>
      <c r="AF193" s="459" t="str">
        <f t="shared" ref="AF193:AF205" si="395">(MIN(H193,2)+G193-U193)*5</f>
        <v>0</v>
      </c>
      <c r="AG193" s="460"/>
      <c r="AH193" s="587" t="s">
        <v>221</v>
      </c>
      <c r="AI193" s="499"/>
      <c r="AJ193" s="588"/>
      <c r="AK193" s="499"/>
      <c r="AL193" s="588"/>
      <c r="AM193" s="499"/>
      <c r="AN193" s="588"/>
      <c r="AO193" s="499"/>
      <c r="AP193" s="588"/>
      <c r="AQ193" s="499"/>
      <c r="AR193" s="588"/>
      <c r="AS193" s="499"/>
      <c r="AT193" s="588"/>
      <c r="AU193" s="499"/>
      <c r="AV193" s="588"/>
      <c r="AW193" s="499"/>
      <c r="AX193" s="588"/>
    </row>
    <row r="194">
      <c r="A194" s="442"/>
      <c r="B194" s="509">
        <v>0.0</v>
      </c>
      <c r="C194" s="510" t="s">
        <v>567</v>
      </c>
      <c r="D194" s="511" t="s">
        <v>15</v>
      </c>
      <c r="E194" s="511" t="s">
        <v>33</v>
      </c>
      <c r="F194" s="512" t="s">
        <v>69</v>
      </c>
      <c r="G194" s="508">
        <v>2.0</v>
      </c>
      <c r="H194" s="508">
        <v>0.0</v>
      </c>
      <c r="I194" s="486">
        <v>1.0</v>
      </c>
      <c r="J194" s="486">
        <v>1.0</v>
      </c>
      <c r="K194" s="522" t="s">
        <v>162</v>
      </c>
      <c r="L194" s="522"/>
      <c r="M194" s="522"/>
      <c r="N194" s="522"/>
      <c r="O194" s="224" t="s">
        <v>568</v>
      </c>
      <c r="P194" s="14"/>
      <c r="Q194" s="452" t="str">
        <f>MATCH($D194,Reference!$J$5:$J$9,0)</f>
        <v>2</v>
      </c>
      <c r="R194" s="452" t="str">
        <f>MATCH($E194,Reference!$J$26:$J$32,0)</f>
        <v>2</v>
      </c>
      <c r="S194" s="452" t="str">
        <f>MATCH($F194,Reference!$J$45:$J$54,0)</f>
        <v>5</v>
      </c>
      <c r="T194" s="453" t="str">
        <f>MATCH($K194,Reference!$J$37:$J$39,0)</f>
        <v>2</v>
      </c>
      <c r="U194" s="454" t="str">
        <f t="shared" si="373"/>
        <v>2</v>
      </c>
      <c r="V194" s="454" t="str">
        <f t="shared" si="3"/>
        <v>1</v>
      </c>
      <c r="W194" s="454" t="str">
        <f t="shared" si="393"/>
        <v>0</v>
      </c>
      <c r="X194" s="454" t="str">
        <f t="shared" si="374"/>
        <v>2</v>
      </c>
      <c r="Y194" s="456" t="str">
        <f t="shared" si="5"/>
        <v>FALSE</v>
      </c>
      <c r="Z194" s="456" t="str">
        <f t="shared" si="6"/>
        <v>FALSE</v>
      </c>
      <c r="AA194" s="457" t="str">
        <f t="shared" ref="AA194:AB194" si="394">1-I194</f>
        <v>0%</v>
      </c>
      <c r="AB194" s="457" t="str">
        <f t="shared" si="394"/>
        <v>0%</v>
      </c>
      <c r="AC194" s="456" t="str">
        <f t="shared" si="8"/>
        <v>2</v>
      </c>
      <c r="AD194" s="458" t="str">
        <f t="shared" si="376"/>
        <v>0</v>
      </c>
      <c r="AE194" s="458" t="str">
        <f t="shared" si="10"/>
        <v>1</v>
      </c>
      <c r="AF194" s="459" t="str">
        <f t="shared" si="395"/>
        <v>0</v>
      </c>
      <c r="AG194" s="460"/>
      <c r="AH194" s="643" t="s">
        <v>10</v>
      </c>
      <c r="AI194" s="534" t="str">
        <f t="shared" ref="AI194:AJ194" si="396">SUM(AM194+AK194+AO194+AQ194+AS194+AU194)</f>
        <v>10</v>
      </c>
      <c r="AJ194" s="535" t="str">
        <f t="shared" si="396"/>
        <v>10</v>
      </c>
      <c r="AK194" s="449" t="str">
        <f>sumifs($V$2:$V700, $E$2:$E700, "Basic", $F$2:F700, "Warrior")</f>
        <v>10</v>
      </c>
      <c r="AL194" s="537" t="str">
        <f>COUNTIFS($E$2:$E700, "Basic", $E$2:$E700, "Basic", $F$2:F700, "Warrior" )</f>
        <v>10</v>
      </c>
      <c r="AM194" s="644"/>
      <c r="AN194" s="645"/>
      <c r="AO194" s="449"/>
      <c r="AP194" s="537"/>
      <c r="AQ194" s="449"/>
      <c r="AR194" s="537"/>
      <c r="AS194" s="449"/>
      <c r="AT194" s="537"/>
      <c r="AU194" s="449"/>
      <c r="AV194" s="537"/>
      <c r="AW194" s="449"/>
      <c r="AX194" s="537"/>
    </row>
    <row r="195">
      <c r="A195" s="442"/>
      <c r="B195" s="466">
        <v>1.0</v>
      </c>
      <c r="C195" s="475" t="s">
        <v>569</v>
      </c>
      <c r="D195" s="476" t="s">
        <v>15</v>
      </c>
      <c r="E195" s="477" t="s">
        <v>36</v>
      </c>
      <c r="F195" s="476" t="s">
        <v>69</v>
      </c>
      <c r="G195" s="478">
        <v>2.0</v>
      </c>
      <c r="H195" s="478">
        <v>0.0</v>
      </c>
      <c r="I195" s="479">
        <v>1.0</v>
      </c>
      <c r="J195" s="479">
        <v>1.0</v>
      </c>
      <c r="K195" s="477" t="s">
        <v>162</v>
      </c>
      <c r="L195" s="477"/>
      <c r="M195" s="477"/>
      <c r="N195" s="477"/>
      <c r="O195" s="480" t="s">
        <v>570</v>
      </c>
      <c r="P195" s="14"/>
      <c r="Q195" s="452" t="str">
        <f>MATCH($D195,Reference!$J$5:$J$9,0)</f>
        <v>2</v>
      </c>
      <c r="R195" s="452" t="str">
        <f>MATCH($E195,Reference!$J$26:$J$32,0)</f>
        <v>7</v>
      </c>
      <c r="S195" s="452" t="str">
        <f>MATCH($F195,Reference!$J$45:$J$54,0)</f>
        <v>5</v>
      </c>
      <c r="T195" s="453" t="str">
        <f>MATCH($K195,Reference!$J$37:$J$39,0)</f>
        <v>2</v>
      </c>
      <c r="U195" s="454" t="str">
        <f t="shared" si="373"/>
        <v>2</v>
      </c>
      <c r="V195" s="454" t="str">
        <f t="shared" si="3"/>
        <v>1</v>
      </c>
      <c r="W195" s="454" t="str">
        <f t="shared" si="393"/>
        <v>0</v>
      </c>
      <c r="X195" s="454" t="str">
        <f t="shared" si="374"/>
        <v>2</v>
      </c>
      <c r="Y195" s="456" t="str">
        <f t="shared" si="5"/>
        <v>FALSE</v>
      </c>
      <c r="Z195" s="456" t="str">
        <f t="shared" si="6"/>
        <v>FALSE</v>
      </c>
      <c r="AA195" s="457" t="str">
        <f t="shared" ref="AA195:AB195" si="397">1-I195</f>
        <v>0%</v>
      </c>
      <c r="AB195" s="457" t="str">
        <f t="shared" si="397"/>
        <v>0%</v>
      </c>
      <c r="AC195" s="456" t="str">
        <f t="shared" si="8"/>
        <v>2</v>
      </c>
      <c r="AD195" s="458" t="str">
        <f t="shared" si="376"/>
        <v>0</v>
      </c>
      <c r="AE195" s="458" t="str">
        <f t="shared" si="10"/>
        <v>1</v>
      </c>
      <c r="AF195" s="459" t="str">
        <f t="shared" si="395"/>
        <v>0</v>
      </c>
      <c r="AG195" s="460"/>
      <c r="AH195" s="405" t="s">
        <v>15</v>
      </c>
      <c r="AI195" s="522" t="str">
        <f t="shared" ref="AI195:AJ195" si="398">SUM(AM195+AK195+AO195+AQ195+AS195+AU195)</f>
        <v>13</v>
      </c>
      <c r="AJ195" s="544" t="str">
        <f t="shared" si="398"/>
        <v>13</v>
      </c>
      <c r="AK195" s="499" t="str">
        <f>sumifs($V$2:$V700, $D$2:$D700, "Common", $E$2:$E700, "Classic", $F$2:F700, "Warrior")</f>
        <v>6</v>
      </c>
      <c r="AL195" s="588" t="str">
        <f>COUNTIFS($D$2:$D700, "Common", $E$2:$E700, "Classic", $F$2:F700, "Warrior" )</f>
        <v>6</v>
      </c>
      <c r="AM195" s="531" t="str">
        <f>sumifs($V$2:$V700, $D$2:$D700, "Common", $E$2:$E700, "Promo", $F$2:F700, "Warrior")</f>
        <v>0</v>
      </c>
      <c r="AN195" s="647" t="str">
        <f>COUNTIFS($D$2:$D700, "Common", $E$2:$E700, "Promo", $F$2:F700, "Warrior" )</f>
        <v>0</v>
      </c>
      <c r="AO195" s="499" t="str">
        <f>sumifs($V$2:$V700, $D$2:$D700, "Common", $E$2:$E700, "Naxx", $F$2:F700, "Warrior")</f>
        <v>1</v>
      </c>
      <c r="AP195" s="588" t="str">
        <f>COUNTIFS($D$2:$D700, "Common", $E$2:$E700, "Naxx", $F$2:F700, "Warrior" )</f>
        <v>1</v>
      </c>
      <c r="AQ195" s="499" t="str">
        <f>sumifs($V$2:$V700, $D$2:$D700, "Common", $E$2:$E700, "GvG", $F$2:F700, "Warrior")</f>
        <v>2</v>
      </c>
      <c r="AR195" s="588" t="str">
        <f>COUNTIFS($D$2:$D700, "Common", $E$2:$E700, "GvG", $F$2:F700, "Warrior" )</f>
        <v>2</v>
      </c>
      <c r="AS195" s="499" t="str">
        <f>sumifs($V$2:$V700, $D$2:$D700, "Common", $E$2:$E700, "Blackrock", $F$2:F700, "Warrior")</f>
        <v>1</v>
      </c>
      <c r="AT195" s="588" t="str">
        <f>COUNTIFS($D$2:$D700, "Common", $E$2:$E700, "Blackrock", $F$2:F700, "Warrior" )</f>
        <v>1</v>
      </c>
      <c r="AU195" s="499" t="str">
        <f>sumifs($V$2:$V700, $D$2:$D700, "Common", $E$2:$E700, "TGT", $F$2:F700, "Warrior")</f>
        <v>3</v>
      </c>
      <c r="AV195" s="588" t="str">
        <f>COUNTIFS($D$2:$D700, "Common", $E$2:$E700, "TGT", $F$2:F700, "Warrior" )</f>
        <v>3</v>
      </c>
      <c r="AW195" s="531">
        <v>0.0</v>
      </c>
      <c r="AX195" s="647">
        <v>0.0</v>
      </c>
    </row>
    <row r="196">
      <c r="A196" s="442"/>
      <c r="B196" s="509">
        <v>1.0</v>
      </c>
      <c r="C196" s="510" t="s">
        <v>571</v>
      </c>
      <c r="D196" s="511" t="s">
        <v>15</v>
      </c>
      <c r="E196" s="511" t="s">
        <v>33</v>
      </c>
      <c r="F196" s="512" t="s">
        <v>69</v>
      </c>
      <c r="G196" s="508">
        <v>2.0</v>
      </c>
      <c r="H196" s="508">
        <v>0.0</v>
      </c>
      <c r="I196" s="486">
        <v>1.0</v>
      </c>
      <c r="J196" s="486">
        <v>1.0</v>
      </c>
      <c r="K196" s="522" t="s">
        <v>162</v>
      </c>
      <c r="L196" s="522"/>
      <c r="M196" s="522"/>
      <c r="N196" s="522"/>
      <c r="O196" s="224" t="s">
        <v>572</v>
      </c>
      <c r="P196" s="14"/>
      <c r="Q196" s="452" t="str">
        <f>MATCH($D196,Reference!$J$5:$J$9,0)</f>
        <v>2</v>
      </c>
      <c r="R196" s="452" t="str">
        <f>MATCH($E196,Reference!$J$26:$J$32,0)</f>
        <v>2</v>
      </c>
      <c r="S196" s="452" t="str">
        <f>MATCH($F196,Reference!$J$45:$J$54,0)</f>
        <v>5</v>
      </c>
      <c r="T196" s="453" t="str">
        <f>MATCH($K196,Reference!$J$37:$J$39,0)</f>
        <v>2</v>
      </c>
      <c r="U196" s="454" t="str">
        <f t="shared" si="373"/>
        <v>2</v>
      </c>
      <c r="V196" s="454" t="str">
        <f t="shared" si="3"/>
        <v>1</v>
      </c>
      <c r="W196" s="454" t="str">
        <f t="shared" si="393"/>
        <v>0</v>
      </c>
      <c r="X196" s="454" t="str">
        <f t="shared" si="374"/>
        <v>2</v>
      </c>
      <c r="Y196" s="456" t="str">
        <f t="shared" si="5"/>
        <v>FALSE</v>
      </c>
      <c r="Z196" s="456" t="str">
        <f t="shared" si="6"/>
        <v>FALSE</v>
      </c>
      <c r="AA196" s="457" t="str">
        <f t="shared" ref="AA196:AB196" si="399">1-I196</f>
        <v>0%</v>
      </c>
      <c r="AB196" s="457" t="str">
        <f t="shared" si="399"/>
        <v>0%</v>
      </c>
      <c r="AC196" s="456" t="str">
        <f t="shared" si="8"/>
        <v>2</v>
      </c>
      <c r="AD196" s="458" t="str">
        <f t="shared" si="376"/>
        <v>0</v>
      </c>
      <c r="AE196" s="458" t="str">
        <f t="shared" si="10"/>
        <v>1</v>
      </c>
      <c r="AF196" s="459" t="str">
        <f t="shared" si="395"/>
        <v>0</v>
      </c>
      <c r="AG196" s="460"/>
      <c r="AH196" s="556" t="s">
        <v>21</v>
      </c>
      <c r="AI196" s="557" t="str">
        <f>SUM(AM197+AK196+AO196+AQ196+AS196+AU196)</f>
        <v>12</v>
      </c>
      <c r="AJ196" s="558" t="str">
        <f>SUM(AN196+AL196+AP196+AR196+AT196+AV196)</f>
        <v>12</v>
      </c>
      <c r="AK196" s="554" t="str">
        <f>sumifs($V$2:$V700, $D$2:$D700, "Rare", $E$2:$E700, "Classic", $F$2:F700, "Warrior")</f>
        <v>5</v>
      </c>
      <c r="AL196" s="656" t="str">
        <f>COUNTIFS($D$2:$D700, "Rare", $E$2:$E700, "Classic", $F$2:F700, "Warrior" )</f>
        <v>5</v>
      </c>
      <c r="AM196" s="657" t="str">
        <f>sumifs($V$2:$V700, $D$2:$D700, "Rare", $E$2:$E700, "Promo", $F$2:F700, "Warrior")</f>
        <v>0</v>
      </c>
      <c r="AN196" s="658" t="str">
        <f>COUNTIFS($D$2:$D700, "Rare", $E$2:$E700, "Promo", $F$2:F700, "Warrior" )</f>
        <v>0</v>
      </c>
      <c r="AO196" s="554" t="str">
        <f>sumifs($V$2:$V700, $D$2:$D700, "Rare", $E$2:$E700, "Naxx", $F$2:F700, "Warrior")</f>
        <v>0</v>
      </c>
      <c r="AP196" s="656" t="str">
        <f>COUNTIFS($D$2:$D700, "Rare", $E$2:$E700, "Naxx", $F$2:F700, "Warrior" )</f>
        <v>0</v>
      </c>
      <c r="AQ196" s="554" t="str">
        <f>sumifs($V$2:$V700, $D$2:$D700, "Rare", $E$2:$E700, "GvG", $F$2:F700, "Warrior")</f>
        <v>3</v>
      </c>
      <c r="AR196" s="656" t="str">
        <f>COUNTIFS($D$2:$D700, "Rare", $E$2:$E700, "GvG", $F$2:F700, "Warrior" )</f>
        <v>3</v>
      </c>
      <c r="AS196" s="554" t="str">
        <f>sumifs($V$2:$V700, $D$2:$D700, "Rare", $E$2:$E700, "Blackrock", $F$2:F700, "Warrior")</f>
        <v>1</v>
      </c>
      <c r="AT196" s="656" t="str">
        <f>COUNTIFS($D$2:$D700, "Rare", $E$2:$E700, "Blackrock", $F$2:F700, "Warrior" )</f>
        <v>1</v>
      </c>
      <c r="AU196" s="554" t="str">
        <f>sumifs($V$2:$V700, $D$2:$D700, "Rare", $E$2:$E700, "TGT", $F$2:F700, "Warrior")</f>
        <v>3</v>
      </c>
      <c r="AV196" s="656" t="str">
        <f>COUNTIFS($D$2:$D700, "Rare", $E$2:$E700, "TGT", $F$2:F700, "Warrior" )</f>
        <v>3</v>
      </c>
      <c r="AW196" s="657">
        <v>0.0</v>
      </c>
      <c r="AX196" s="658">
        <v>0.0</v>
      </c>
    </row>
    <row r="197">
      <c r="A197" s="442"/>
      <c r="B197" s="466">
        <v>1.0</v>
      </c>
      <c r="C197" s="475" t="s">
        <v>573</v>
      </c>
      <c r="D197" s="476" t="s">
        <v>15</v>
      </c>
      <c r="E197" s="477" t="s">
        <v>36</v>
      </c>
      <c r="F197" s="476" t="s">
        <v>69</v>
      </c>
      <c r="G197" s="478">
        <v>2.0</v>
      </c>
      <c r="H197" s="478">
        <v>0.0</v>
      </c>
      <c r="I197" s="479">
        <v>1.0</v>
      </c>
      <c r="J197" s="479">
        <v>1.0</v>
      </c>
      <c r="K197" s="477" t="s">
        <v>162</v>
      </c>
      <c r="L197" s="477"/>
      <c r="M197" s="477"/>
      <c r="N197" s="477"/>
      <c r="O197" s="480" t="s">
        <v>574</v>
      </c>
      <c r="P197" s="14"/>
      <c r="Q197" s="452" t="str">
        <f>MATCH($D197,Reference!$J$5:$J$9,0)</f>
        <v>2</v>
      </c>
      <c r="R197" s="452" t="str">
        <f>MATCH($E197,Reference!$J$26:$J$32,0)</f>
        <v>7</v>
      </c>
      <c r="S197" s="452" t="str">
        <f>MATCH($F197,Reference!$J$45:$J$54,0)</f>
        <v>5</v>
      </c>
      <c r="T197" s="453" t="str">
        <f>MATCH($K197,Reference!$J$37:$J$39,0)</f>
        <v>2</v>
      </c>
      <c r="U197" s="454" t="str">
        <f t="shared" si="373"/>
        <v>2</v>
      </c>
      <c r="V197" s="454" t="str">
        <f t="shared" si="3"/>
        <v>1</v>
      </c>
      <c r="W197" s="454" t="str">
        <f t="shared" si="393"/>
        <v>0</v>
      </c>
      <c r="X197" s="454" t="str">
        <f t="shared" si="374"/>
        <v>2</v>
      </c>
      <c r="Y197" s="456" t="str">
        <f t="shared" si="5"/>
        <v>FALSE</v>
      </c>
      <c r="Z197" s="456" t="str">
        <f t="shared" si="6"/>
        <v>FALSE</v>
      </c>
      <c r="AA197" s="457" t="str">
        <f t="shared" ref="AA197:AB197" si="400">1-I197</f>
        <v>0%</v>
      </c>
      <c r="AB197" s="457" t="str">
        <f t="shared" si="400"/>
        <v>0%</v>
      </c>
      <c r="AC197" s="456" t="str">
        <f t="shared" si="8"/>
        <v>2</v>
      </c>
      <c r="AD197" s="458" t="str">
        <f t="shared" si="376"/>
        <v>0</v>
      </c>
      <c r="AE197" s="458" t="str">
        <f t="shared" si="10"/>
        <v>1</v>
      </c>
      <c r="AF197" s="459" t="str">
        <f t="shared" si="395"/>
        <v>0</v>
      </c>
      <c r="AG197" s="460"/>
      <c r="AH197" s="567" t="s">
        <v>22</v>
      </c>
      <c r="AI197" s="568" t="str">
        <f t="shared" ref="AI197:AJ197" si="401">SUM(AM197+AK197+AO197+AQ197+AS197+AU197)</f>
        <v>4</v>
      </c>
      <c r="AJ197" s="569" t="str">
        <f t="shared" si="401"/>
        <v>7</v>
      </c>
      <c r="AK197" s="641" t="str">
        <f>sumifs($V$2:$V700, $D$2:$D700, "Epic", $E$2:$E700, "Classic", $F$2:F700, "Warrior")</f>
        <v>2</v>
      </c>
      <c r="AL197" s="666" t="str">
        <f>COUNTIFS($D$2:$D700, "Epic", $E$2:$E700, "Classic", $F$2:F700, "Warrior" )</f>
        <v>3</v>
      </c>
      <c r="AM197" s="667" t="str">
        <f>sumifs($V$2:$V700, $D$2:$D700, "Epic", $E$2:$E700, "Promo", $F$2:F700, "Warrior")</f>
        <v>0</v>
      </c>
      <c r="AN197" s="668" t="str">
        <f>COUNTIFS($D$2:$D700, "Epic", $E$2:$E700, "Promo", $F$2:F700, "Warrior" )</f>
        <v>0</v>
      </c>
      <c r="AO197" s="641" t="str">
        <f>sumifs($V$2:$V700, $D$2:$D700, "Epic", $E$2:$E700, "Naxx", $F$2:F700, "Warrior")</f>
        <v>0</v>
      </c>
      <c r="AP197" s="666" t="str">
        <f>COUNTIFS($D$2:$D700, "Epic", $E$2:$E700, "Naxx", $F$2:F700, "Warrior" )</f>
        <v>0</v>
      </c>
      <c r="AQ197" s="641" t="str">
        <f>sumifs($V$2:$V700, $D$2:$D700, "Epic", $E$2:$E700, "GvG", $F$2:F700, "Warrior")</f>
        <v>2</v>
      </c>
      <c r="AR197" s="666" t="str">
        <f>COUNTIFS($D$2:$D700, "Epic", $E$2:$E700, "GvG", $F$2:F700, "Warrior" )</f>
        <v>2</v>
      </c>
      <c r="AS197" s="641" t="str">
        <f>sumifs($V$2:$V700, $D$2:$D700, "Epic", $E$2:$E700, "Blackrock", $F$2:F700, "Warrior")</f>
        <v>0</v>
      </c>
      <c r="AT197" s="666" t="str">
        <f>COUNTIFS($D$2:$D700, "Epic", $E$2:$E700, "Blackrock", $F$2:F700, "Warrior" )</f>
        <v>0</v>
      </c>
      <c r="AU197" s="641" t="str">
        <f>sumifs($V$2:$V700, $D$2:$D700, "Epic", $E$2:$E700, "TGT", $F$2:F700, "Warrior")</f>
        <v>0</v>
      </c>
      <c r="AV197" s="666" t="str">
        <f>COUNTIFS($D$2:$D700, "Epic", $E$2:$E700, "TGT", $F$2:F700, "Warrior" )</f>
        <v>2</v>
      </c>
      <c r="AW197" s="667">
        <v>0.0</v>
      </c>
      <c r="AX197" s="668">
        <v>0.0</v>
      </c>
    </row>
    <row r="198">
      <c r="A198" s="442"/>
      <c r="B198" s="469">
        <v>1.0</v>
      </c>
      <c r="C198" s="501" t="s">
        <v>575</v>
      </c>
      <c r="D198" s="502" t="s">
        <v>15</v>
      </c>
      <c r="E198" s="502" t="s">
        <v>47</v>
      </c>
      <c r="F198" s="503" t="s">
        <v>69</v>
      </c>
      <c r="G198" s="504" t="str">
        <f>IF(Summary!$Y$27&gt;=VLOOKUP(C198,Reference!$N$6:$O$36,2,0),2,0)</f>
        <v>2</v>
      </c>
      <c r="H198" s="504">
        <v>0.0</v>
      </c>
      <c r="I198" s="505">
        <v>1.0</v>
      </c>
      <c r="J198" s="505"/>
      <c r="K198" s="506" t="s">
        <v>188</v>
      </c>
      <c r="L198" s="506" t="s">
        <v>446</v>
      </c>
      <c r="M198" s="506">
        <v>2.0</v>
      </c>
      <c r="N198" s="506">
        <v>1.0</v>
      </c>
      <c r="O198" s="507" t="s">
        <v>576</v>
      </c>
      <c r="P198" s="14"/>
      <c r="Q198" s="452" t="str">
        <f>MATCH($D198,Reference!$J$5:$J$9,0)</f>
        <v>2</v>
      </c>
      <c r="R198" s="452" t="str">
        <f>MATCH($E198,Reference!$J$26:$J$32,0)</f>
        <v>6</v>
      </c>
      <c r="S198" s="452" t="str">
        <f>MATCH($F198,Reference!$J$45:$J$54,0)</f>
        <v>5</v>
      </c>
      <c r="T198" s="453" t="str">
        <f>MATCH($K198,Reference!$J$37:$J$39,0)</f>
        <v>3</v>
      </c>
      <c r="U198" s="454" t="str">
        <f t="shared" si="373"/>
        <v>2</v>
      </c>
      <c r="V198" s="454" t="str">
        <f t="shared" si="3"/>
        <v>1</v>
      </c>
      <c r="W198" s="454" t="str">
        <f t="shared" si="393"/>
        <v>0</v>
      </c>
      <c r="X198" s="454" t="str">
        <f t="shared" si="374"/>
        <v>2</v>
      </c>
      <c r="Y198" s="456" t="str">
        <f t="shared" si="5"/>
        <v>FALSE</v>
      </c>
      <c r="Z198" s="456" t="str">
        <f t="shared" si="6"/>
        <v>FALSE</v>
      </c>
      <c r="AA198" s="457" t="str">
        <f t="shared" ref="AA198:AB198" si="402">1-I198</f>
        <v>0%</v>
      </c>
      <c r="AB198" s="457" t="str">
        <f t="shared" si="402"/>
        <v>100%</v>
      </c>
      <c r="AC198" s="456" t="str">
        <f t="shared" si="8"/>
        <v>2</v>
      </c>
      <c r="AD198" s="458" t="str">
        <f t="shared" si="376"/>
        <v>0</v>
      </c>
      <c r="AE198" s="458" t="str">
        <f t="shared" si="10"/>
        <v>1</v>
      </c>
      <c r="AF198" s="459" t="str">
        <f t="shared" si="395"/>
        <v>0</v>
      </c>
      <c r="AG198" s="460"/>
      <c r="AH198" s="583" t="s">
        <v>23</v>
      </c>
      <c r="AI198" s="584" t="str">
        <f t="shared" ref="AI198:AJ198" si="403">SUM(AM198+AK198+AO198+AQ198+AS198+AU198)</f>
        <v>2</v>
      </c>
      <c r="AJ198" s="585" t="str">
        <f t="shared" si="403"/>
        <v>3</v>
      </c>
      <c r="AK198" s="677" t="str">
        <f>sumifs($V$2:$V700, $D$2:$D700, "Legendary", $E$2:$E700, "Classic", $F$2:F700, "Warrior")</f>
        <v>1</v>
      </c>
      <c r="AL198" s="678" t="str">
        <f>COUNTIFS($D$2:$D700, "Legendary", $E$2:$E700, "Classic", $F$2:F700, "Warrior" )</f>
        <v>1</v>
      </c>
      <c r="AM198" s="679" t="str">
        <f>sumifs($V$2:$V700, $D$2:$D700, "Legendary", $E$2:$E700, "Promo", $F$2:F700, "Warrior")</f>
        <v>0</v>
      </c>
      <c r="AN198" s="680" t="str">
        <f>COUNTIFS($D$2:$D700, "Legendary", $E$2:$E700, "Promo", $F$2:F700, "Warrior" )</f>
        <v>0</v>
      </c>
      <c r="AO198" s="677" t="str">
        <f>sumifs($V$2:$V700, $D$2:$D700, "Legendary", $E$2:$E700, "Naxx", $F$2:F700, "Warrior")</f>
        <v>0</v>
      </c>
      <c r="AP198" s="678" t="str">
        <f>COUNTIFS($D$2:$D700, "Legendary", $E$2:$E700, "Naxx", $F$2:F700, "Warrior" )</f>
        <v>0</v>
      </c>
      <c r="AQ198" s="677" t="str">
        <f>sumifs($V$2:$V700, $D$2:$D700, "Legendary", $E$2:$E700, "GvG", $F$2:F700, "Warrior")</f>
        <v>0</v>
      </c>
      <c r="AR198" s="678" t="str">
        <f>COUNTIFS($D$2:$D700, "Legendary", $E$2:$E700, "GvG", $F$2:F700, "Warrior" )</f>
        <v>1</v>
      </c>
      <c r="AS198" s="677" t="str">
        <f>sumifs($V$2:$V700, $D$2:$D700, "Legendary", $E$2:$E700, "Blackrock", $F$2:F700, "Warrior")</f>
        <v>0</v>
      </c>
      <c r="AT198" s="678" t="str">
        <f>COUNTIFS($D$2:$D700, "Legendary", $E$2:$E700, "Blackrock", $F$2:F700, "Warrior" )</f>
        <v>0</v>
      </c>
      <c r="AU198" s="677" t="str">
        <f>sumifs($V$2:$V700, $D$2:$D700, "Legendary", $E$2:$E700, "TGT", $F$2:F700, "Warrior")</f>
        <v>1</v>
      </c>
      <c r="AV198" s="678" t="str">
        <f>COUNTIFS($D$2:$D700, "Legendary", $E$2:$E700, "TGT", $F$2:F700, "Warrior" )</f>
        <v>1</v>
      </c>
      <c r="AW198" s="679">
        <v>0.0</v>
      </c>
      <c r="AX198" s="680">
        <v>0.0</v>
      </c>
    </row>
    <row r="199">
      <c r="A199" s="463"/>
      <c r="B199" s="472">
        <v>2.0</v>
      </c>
      <c r="C199" s="489" t="s">
        <v>577</v>
      </c>
      <c r="D199" s="490" t="s">
        <v>15</v>
      </c>
      <c r="E199" s="490" t="s">
        <v>35</v>
      </c>
      <c r="F199" s="491" t="s">
        <v>69</v>
      </c>
      <c r="G199" s="492">
        <v>2.0</v>
      </c>
      <c r="H199" s="493">
        <v>0.0</v>
      </c>
      <c r="I199" s="494">
        <v>1.0</v>
      </c>
      <c r="J199" s="494">
        <v>1.0</v>
      </c>
      <c r="K199" s="495" t="s">
        <v>188</v>
      </c>
      <c r="L199" s="495"/>
      <c r="M199" s="495">
        <v>3.0</v>
      </c>
      <c r="N199" s="495">
        <v>2.0</v>
      </c>
      <c r="O199" s="496" t="s">
        <v>578</v>
      </c>
      <c r="P199" s="14"/>
      <c r="Q199" s="452" t="str">
        <f>MATCH($D199,Reference!$J$5:$J$9,0)</f>
        <v>2</v>
      </c>
      <c r="R199" s="452" t="str">
        <f>MATCH($E199,Reference!$J$26:$J$32,0)</f>
        <v>5</v>
      </c>
      <c r="S199" s="452" t="str">
        <f>MATCH($F199,Reference!$J$45:$J$54,0)</f>
        <v>5</v>
      </c>
      <c r="T199" s="453" t="str">
        <f>MATCH($K199,Reference!$J$37:$J$39,0)</f>
        <v>3</v>
      </c>
      <c r="U199" s="454" t="str">
        <f t="shared" si="373"/>
        <v>2</v>
      </c>
      <c r="V199" s="454" t="str">
        <f t="shared" si="3"/>
        <v>1</v>
      </c>
      <c r="W199" s="454" t="str">
        <f t="shared" si="393"/>
        <v>0</v>
      </c>
      <c r="X199" s="454" t="str">
        <f t="shared" si="374"/>
        <v>2</v>
      </c>
      <c r="Y199" s="456" t="str">
        <f t="shared" si="5"/>
        <v>FALSE</v>
      </c>
      <c r="Z199" s="456" t="str">
        <f t="shared" si="6"/>
        <v>FALSE</v>
      </c>
      <c r="AA199" s="457" t="str">
        <f t="shared" ref="AA199:AB199" si="404">1-I199</f>
        <v>0%</v>
      </c>
      <c r="AB199" s="457" t="str">
        <f t="shared" si="404"/>
        <v>0%</v>
      </c>
      <c r="AC199" s="456" t="str">
        <f t="shared" si="8"/>
        <v>2</v>
      </c>
      <c r="AD199" s="458" t="str">
        <f t="shared" si="376"/>
        <v>0</v>
      </c>
      <c r="AE199" s="458" t="str">
        <f t="shared" si="10"/>
        <v>1</v>
      </c>
      <c r="AF199" s="459" t="str">
        <f t="shared" si="395"/>
        <v>0</v>
      </c>
      <c r="AG199" s="460"/>
      <c r="AH199" s="587" t="s">
        <v>234</v>
      </c>
      <c r="AI199" s="499"/>
      <c r="AJ199" s="588"/>
      <c r="AK199" s="499"/>
      <c r="AL199" s="588"/>
      <c r="AM199" s="499"/>
      <c r="AN199" s="588"/>
      <c r="AO199" s="499"/>
      <c r="AP199" s="588"/>
      <c r="AQ199" s="499"/>
      <c r="AR199" s="588"/>
      <c r="AS199" s="499"/>
      <c r="AT199" s="588"/>
      <c r="AU199" s="499"/>
      <c r="AV199" s="588"/>
      <c r="AW199" s="499"/>
      <c r="AX199" s="588"/>
    </row>
    <row r="200">
      <c r="A200" s="466"/>
      <c r="B200" s="513">
        <v>3.0</v>
      </c>
      <c r="C200" s="514" t="s">
        <v>579</v>
      </c>
      <c r="D200" s="515" t="s">
        <v>15</v>
      </c>
      <c r="E200" s="515" t="s">
        <v>41</v>
      </c>
      <c r="F200" s="516" t="s">
        <v>69</v>
      </c>
      <c r="G200" s="517" t="str">
        <f>IF(Summary!$Y$25&gt;=VLOOKUP(C200,Reference!$N$41:$O$70,2,0),2,0)</f>
        <v>2</v>
      </c>
      <c r="H200" s="517">
        <v>0.0</v>
      </c>
      <c r="I200" s="518">
        <v>1.0</v>
      </c>
      <c r="J200" s="518"/>
      <c r="K200" s="519" t="s">
        <v>188</v>
      </c>
      <c r="L200" s="519"/>
      <c r="M200" s="519">
        <v>3.0</v>
      </c>
      <c r="N200" s="519">
        <v>4.0</v>
      </c>
      <c r="O200" s="520" t="s">
        <v>580</v>
      </c>
      <c r="P200" s="14"/>
      <c r="Q200" s="452" t="str">
        <f>MATCH($D200,Reference!$J$5:$J$9,0)</f>
        <v>2</v>
      </c>
      <c r="R200" s="452" t="str">
        <f>MATCH($E200,Reference!$J$26:$J$32,0)</f>
        <v>4</v>
      </c>
      <c r="S200" s="452" t="str">
        <f>MATCH($F200,Reference!$J$45:$J$54,0)</f>
        <v>5</v>
      </c>
      <c r="T200" s="453" t="str">
        <f>MATCH($K200,Reference!$J$37:$J$39,0)</f>
        <v>3</v>
      </c>
      <c r="U200" s="454" t="str">
        <f t="shared" si="373"/>
        <v>2</v>
      </c>
      <c r="V200" s="454" t="str">
        <f t="shared" si="3"/>
        <v>1</v>
      </c>
      <c r="W200" s="454" t="str">
        <f t="shared" si="393"/>
        <v>0</v>
      </c>
      <c r="X200" s="454" t="str">
        <f t="shared" si="374"/>
        <v>2</v>
      </c>
      <c r="Y200" s="456" t="str">
        <f t="shared" si="5"/>
        <v>FALSE</v>
      </c>
      <c r="Z200" s="456" t="str">
        <f t="shared" si="6"/>
        <v>FALSE</v>
      </c>
      <c r="AA200" s="457" t="str">
        <f t="shared" ref="AA200:AB200" si="405">1-I200</f>
        <v>0%</v>
      </c>
      <c r="AB200" s="457" t="str">
        <f t="shared" si="405"/>
        <v>100%</v>
      </c>
      <c r="AC200" s="456" t="str">
        <f t="shared" si="8"/>
        <v>2</v>
      </c>
      <c r="AD200" s="458" t="str">
        <f t="shared" si="376"/>
        <v>0</v>
      </c>
      <c r="AE200" s="458" t="str">
        <f t="shared" si="10"/>
        <v>1</v>
      </c>
      <c r="AF200" s="459" t="str">
        <f t="shared" si="395"/>
        <v>0</v>
      </c>
      <c r="AG200" s="460"/>
      <c r="AH200" s="643" t="s">
        <v>10</v>
      </c>
      <c r="AI200" s="534" t="str">
        <f t="shared" ref="AI200:AJ200" si="406">SUM(AM200+AK200+AO200+AQ200+AS200+AU200)</f>
        <v>20</v>
      </c>
      <c r="AJ200" s="535" t="str">
        <f t="shared" si="406"/>
        <v>20</v>
      </c>
      <c r="AK200" s="449" t="str">
        <f>sumifs($U$2:$U700, $E$2:$E700, "Basic", $F$2:F700, "Warrior")</f>
        <v>20</v>
      </c>
      <c r="AL200" s="535" t="str">
        <f>COUNTIFS($E$2:$E700, "Basic", $F$2:F700, "Warrior" )*2</f>
        <v>20</v>
      </c>
      <c r="AM200" s="449"/>
      <c r="AN200" s="537"/>
      <c r="AO200" s="449"/>
      <c r="AP200" s="537"/>
      <c r="AQ200" s="449"/>
      <c r="AR200" s="537"/>
      <c r="AS200" s="449"/>
      <c r="AT200" s="537"/>
      <c r="AU200" s="449"/>
      <c r="AV200" s="537"/>
      <c r="AW200" s="449"/>
      <c r="AX200" s="537"/>
    </row>
    <row r="201">
      <c r="A201" s="463"/>
      <c r="B201" s="509">
        <v>3.0</v>
      </c>
      <c r="C201" s="510" t="s">
        <v>581</v>
      </c>
      <c r="D201" s="511" t="s">
        <v>15</v>
      </c>
      <c r="E201" s="511" t="s">
        <v>33</v>
      </c>
      <c r="F201" s="512" t="s">
        <v>69</v>
      </c>
      <c r="G201" s="508">
        <v>2.0</v>
      </c>
      <c r="H201" s="485">
        <v>0.0</v>
      </c>
      <c r="I201" s="486">
        <v>1.0</v>
      </c>
      <c r="J201" s="486">
        <v>1.0</v>
      </c>
      <c r="K201" s="522" t="s">
        <v>162</v>
      </c>
      <c r="L201" s="522"/>
      <c r="M201" s="522"/>
      <c r="N201" s="522"/>
      <c r="O201" s="224" t="s">
        <v>582</v>
      </c>
      <c r="P201" s="14"/>
      <c r="Q201" s="452" t="str">
        <f>MATCH($D201,Reference!$J$5:$J$9,0)</f>
        <v>2</v>
      </c>
      <c r="R201" s="452" t="str">
        <f>MATCH($E201,Reference!$J$26:$J$32,0)</f>
        <v>2</v>
      </c>
      <c r="S201" s="452" t="str">
        <f>MATCH($F201,Reference!$J$45:$J$54,0)</f>
        <v>5</v>
      </c>
      <c r="T201" s="453" t="str">
        <f>MATCH($K201,Reference!$J$37:$J$39,0)</f>
        <v>2</v>
      </c>
      <c r="U201" s="454" t="str">
        <f t="shared" si="373"/>
        <v>2</v>
      </c>
      <c r="V201" s="454" t="str">
        <f t="shared" si="3"/>
        <v>1</v>
      </c>
      <c r="W201" s="454" t="str">
        <f t="shared" si="393"/>
        <v>0</v>
      </c>
      <c r="X201" s="454" t="str">
        <f t="shared" si="374"/>
        <v>2</v>
      </c>
      <c r="Y201" s="456" t="str">
        <f t="shared" si="5"/>
        <v>FALSE</v>
      </c>
      <c r="Z201" s="456" t="str">
        <f t="shared" si="6"/>
        <v>FALSE</v>
      </c>
      <c r="AA201" s="457" t="str">
        <f t="shared" ref="AA201:AB201" si="407">1-I201</f>
        <v>0%</v>
      </c>
      <c r="AB201" s="457" t="str">
        <f t="shared" si="407"/>
        <v>0%</v>
      </c>
      <c r="AC201" s="456" t="str">
        <f t="shared" si="8"/>
        <v>2</v>
      </c>
      <c r="AD201" s="458" t="str">
        <f t="shared" si="376"/>
        <v>0</v>
      </c>
      <c r="AE201" s="458" t="str">
        <f t="shared" si="10"/>
        <v>1</v>
      </c>
      <c r="AF201" s="459" t="str">
        <f t="shared" si="395"/>
        <v>0</v>
      </c>
      <c r="AG201" s="460"/>
      <c r="AH201" s="591" t="s">
        <v>15</v>
      </c>
      <c r="AI201" s="522" t="str">
        <f t="shared" ref="AI201:AJ201" si="408">SUM(AM201+AK201+AO201+AQ201+AS201+AU201)</f>
        <v>26</v>
      </c>
      <c r="AJ201" s="544" t="str">
        <f t="shared" si="408"/>
        <v>26</v>
      </c>
      <c r="AK201" s="499" t="str">
        <f>sumifs($U$2:$U700, $D$2:$D700, "Common", $E$2:$E700, "Classic", $F$2:F700, "Warrior")</f>
        <v>12</v>
      </c>
      <c r="AL201" s="544" t="str">
        <f>COUNTIFS($D$2:$D700, "Common", $E$2:$E700, "Classic", $F$2:F700, "Warrior" )*2</f>
        <v>12</v>
      </c>
      <c r="AM201" s="531" t="str">
        <f>sumifs($U$2:$U700, $D$2:$D700, "Common", $E$2:$E700, "Promo", $F$2:F700, "Warrior")</f>
        <v>0</v>
      </c>
      <c r="AN201" s="647" t="str">
        <f>COUNTIFS($D$2:$D700, "Common", $E$2:$E700, "Promo", $F$2:F700, "Warrior" )*2</f>
        <v>0</v>
      </c>
      <c r="AO201" s="499" t="str">
        <f>sumifs($U$2:$U700, $D$2:$D700, "Common", $E$2:$E700, "Naxx", $F$2:F700, "Warrior")</f>
        <v>2</v>
      </c>
      <c r="AP201" s="544" t="str">
        <f>COUNTIFS($D$2:$D700, "Common", $E$2:$E700, "Naxx", $F$2:F700, "Warrior" )*2</f>
        <v>2</v>
      </c>
      <c r="AQ201" s="499" t="str">
        <f>sumifs($U$2:$U700, $D$2:$D700, "Common", $E$2:$E700, "GvG", $F$2:F700, "Warrior")</f>
        <v>4</v>
      </c>
      <c r="AR201" s="544" t="str">
        <f>COUNTIFS($D$2:$D700, "Common", $E$2:$E700, "GvG", $F$2:F700, "Warrior" )*2</f>
        <v>4</v>
      </c>
      <c r="AS201" s="499" t="str">
        <f>sumifs($U$2:$U700, $D$2:$D700, "Common", $E$2:$E700, "Blackrock", $F$2:F700, "Warrior")</f>
        <v>2</v>
      </c>
      <c r="AT201" s="544" t="str">
        <f>COUNTIFS($D$2:$D700, "Common", $E$2:$E700, "Blackrock", $F$2:F700, "Warrior" )*2</f>
        <v>2</v>
      </c>
      <c r="AU201" s="499" t="str">
        <f>sumifs($U$2:$U700, $D$2:$D700, "Common", $E$2:$E700, "TGT", $F$2:F700, "Warrior")</f>
        <v>6</v>
      </c>
      <c r="AV201" s="544" t="str">
        <f>COUNTIFS($D$2:$D700, "Common", $E$2:$E700, "TGT", $F$2:F700, "Warrior" )*2</f>
        <v>6</v>
      </c>
      <c r="AW201" s="531">
        <v>0.0</v>
      </c>
      <c r="AX201" s="647">
        <v>0.0</v>
      </c>
    </row>
    <row r="202">
      <c r="A202" s="469"/>
      <c r="B202" s="463">
        <v>3.0</v>
      </c>
      <c r="C202" s="538" t="s">
        <v>583</v>
      </c>
      <c r="D202" s="539" t="s">
        <v>15</v>
      </c>
      <c r="E202" s="539" t="s">
        <v>35</v>
      </c>
      <c r="F202" s="540" t="s">
        <v>69</v>
      </c>
      <c r="G202" s="541">
        <v>2.0</v>
      </c>
      <c r="H202" s="493">
        <v>1.0</v>
      </c>
      <c r="I202" s="494">
        <v>1.0</v>
      </c>
      <c r="J202" s="494">
        <v>1.0</v>
      </c>
      <c r="K202" s="542" t="s">
        <v>162</v>
      </c>
      <c r="L202" s="542"/>
      <c r="M202" s="542"/>
      <c r="N202" s="542"/>
      <c r="O202" s="543" t="s">
        <v>584</v>
      </c>
      <c r="P202" s="14"/>
      <c r="Q202" s="452" t="str">
        <f>MATCH($D202,Reference!$J$5:$J$9,0)</f>
        <v>2</v>
      </c>
      <c r="R202" s="452" t="str">
        <f>MATCH($E202,Reference!$J$26:$J$32,0)</f>
        <v>5</v>
      </c>
      <c r="S202" s="452" t="str">
        <f>MATCH($F202,Reference!$J$45:$J$54,0)</f>
        <v>5</v>
      </c>
      <c r="T202" s="453" t="str">
        <f>MATCH($K202,Reference!$J$37:$J$39,0)</f>
        <v>2</v>
      </c>
      <c r="U202" s="454" t="str">
        <f t="shared" si="373"/>
        <v>2</v>
      </c>
      <c r="V202" s="454" t="str">
        <f t="shared" si="3"/>
        <v>1</v>
      </c>
      <c r="W202" s="454" t="str">
        <f t="shared" si="393"/>
        <v>50</v>
      </c>
      <c r="X202" s="454" t="str">
        <f t="shared" si="374"/>
        <v>2</v>
      </c>
      <c r="Y202" s="456" t="str">
        <f t="shared" si="5"/>
        <v>FALSE</v>
      </c>
      <c r="Z202" s="456" t="str">
        <f t="shared" si="6"/>
        <v>FALSE</v>
      </c>
      <c r="AA202" s="457" t="str">
        <f t="shared" ref="AA202:AB202" si="409">1-I202</f>
        <v>0%</v>
      </c>
      <c r="AB202" s="457" t="str">
        <f t="shared" si="409"/>
        <v>0%</v>
      </c>
      <c r="AC202" s="456" t="str">
        <f t="shared" si="8"/>
        <v>2</v>
      </c>
      <c r="AD202" s="458" t="str">
        <f t="shared" si="376"/>
        <v>1</v>
      </c>
      <c r="AE202" s="458" t="str">
        <f t="shared" si="10"/>
        <v>1</v>
      </c>
      <c r="AF202" s="459" t="str">
        <f t="shared" si="395"/>
        <v>5</v>
      </c>
      <c r="AG202" s="460"/>
      <c r="AH202" s="592" t="s">
        <v>21</v>
      </c>
      <c r="AI202" s="557" t="str">
        <f t="shared" ref="AI202:AJ202" si="410">SUM(AM202+AK202+AO202+AQ202+AS202+AU202)</f>
        <v>24</v>
      </c>
      <c r="AJ202" s="558" t="str">
        <f t="shared" si="410"/>
        <v>24</v>
      </c>
      <c r="AK202" s="554" t="str">
        <f>sumifs($U$2:$U700, $D$2:$D700, "Rare", $E$2:$E700, "Classic", $F$2:F700, "Warrior")</f>
        <v>10</v>
      </c>
      <c r="AL202" s="558" t="str">
        <f>COUNTIFS($D$2:$D700, "Rare", $E$2:$E700, "Classic", $F$2:F700, "Warrior" )*2</f>
        <v>10</v>
      </c>
      <c r="AM202" s="657" t="str">
        <f>sumifs($U$2:$U700, $D$2:$D700, "Rare", $E$2:$E700, "Promo", $F$2:F700, "Warrior")</f>
        <v>0</v>
      </c>
      <c r="AN202" s="658" t="str">
        <f>COUNTIFS($D$2:$D700, "Rare", $E$2:$E700, "Promo", $F$2:F700, "Warrior" )*2</f>
        <v>0</v>
      </c>
      <c r="AO202" s="554" t="str">
        <f>sumifs($U$2:$U700, $D$2:$D700, "Rare", $E$2:$E700, "Naxx", $F$2:F700, "Warrior")</f>
        <v>0</v>
      </c>
      <c r="AP202" s="558" t="str">
        <f>COUNTIFS($D$2:$D700, "Rare", $E$2:$E700, "Naxx", $F$2:F700, "Warrior" )*2</f>
        <v>0</v>
      </c>
      <c r="AQ202" s="554" t="str">
        <f>sumifs($U$2:$U700, $D$2:$D700, "Rare", $E$2:$E700, "GvG", $F$2:F700, "Warrior")</f>
        <v>6</v>
      </c>
      <c r="AR202" s="558" t="str">
        <f>COUNTIFS($D$2:$D700, "Rare", $E$2:$E700, "GvG", $F$2:F700, "Warrior" )*2</f>
        <v>6</v>
      </c>
      <c r="AS202" s="554" t="str">
        <f>sumifs($U$2:$U700, $D$2:$D700, "Rare", $E$2:$E700, "Blackrock", $F$2:F700, "Warrior")</f>
        <v>2</v>
      </c>
      <c r="AT202" s="558" t="str">
        <f>COUNTIFS($D$2:$D700, "Rare", $E$2:$E700, "Blackrock", $F$2:F700, "Warrior" )*2</f>
        <v>2</v>
      </c>
      <c r="AU202" s="554" t="str">
        <f>sumifs($U$2:$U700, $D$2:$D700, "Rare", $E$2:$E700, "TGT", $F$2:F700, "Warrior")</f>
        <v>6</v>
      </c>
      <c r="AV202" s="558" t="str">
        <f>COUNTIFS($D$2:$D700, "Rare", $E$2:$E700, "TGT", $F$2:F700, "Warrior" )*2</f>
        <v>6</v>
      </c>
      <c r="AW202" s="657">
        <v>0.0</v>
      </c>
      <c r="AX202" s="658">
        <v>0.0</v>
      </c>
    </row>
    <row r="203">
      <c r="A203" s="442"/>
      <c r="B203" s="466">
        <v>4.0</v>
      </c>
      <c r="C203" s="475" t="s">
        <v>585</v>
      </c>
      <c r="D203" s="476" t="s">
        <v>15</v>
      </c>
      <c r="E203" s="477" t="s">
        <v>36</v>
      </c>
      <c r="F203" s="476" t="s">
        <v>69</v>
      </c>
      <c r="G203" s="478">
        <v>2.0</v>
      </c>
      <c r="H203" s="478">
        <v>2.0</v>
      </c>
      <c r="I203" s="479">
        <v>1.0</v>
      </c>
      <c r="J203" s="479">
        <v>1.0</v>
      </c>
      <c r="K203" s="477" t="s">
        <v>188</v>
      </c>
      <c r="L203" s="477"/>
      <c r="M203" s="477">
        <v>3.0</v>
      </c>
      <c r="N203" s="477">
        <v>5.0</v>
      </c>
      <c r="O203" s="480" t="s">
        <v>586</v>
      </c>
      <c r="P203" s="14"/>
      <c r="Q203" s="452" t="str">
        <f>MATCH($D203,Reference!$J$5:$J$9,0)</f>
        <v>2</v>
      </c>
      <c r="R203" s="452" t="str">
        <f>MATCH($E203,Reference!$J$26:$J$32,0)</f>
        <v>7</v>
      </c>
      <c r="S203" s="452" t="str">
        <f>MATCH($F203,Reference!$J$45:$J$54,0)</f>
        <v>5</v>
      </c>
      <c r="T203" s="453" t="str">
        <f>MATCH($K203,Reference!$J$37:$J$39,0)</f>
        <v>3</v>
      </c>
      <c r="U203" s="454" t="str">
        <f t="shared" si="373"/>
        <v>2</v>
      </c>
      <c r="V203" s="454" t="str">
        <f t="shared" si="3"/>
        <v>1</v>
      </c>
      <c r="W203" s="454" t="str">
        <f t="shared" si="393"/>
        <v>100</v>
      </c>
      <c r="X203" s="454" t="str">
        <f t="shared" si="374"/>
        <v>2</v>
      </c>
      <c r="Y203" s="456" t="str">
        <f t="shared" si="5"/>
        <v>FALSE</v>
      </c>
      <c r="Z203" s="456" t="str">
        <f t="shared" si="6"/>
        <v>FALSE</v>
      </c>
      <c r="AA203" s="457" t="str">
        <f t="shared" ref="AA203:AB203" si="411">1-I203</f>
        <v>0%</v>
      </c>
      <c r="AB203" s="457" t="str">
        <f t="shared" si="411"/>
        <v>0%</v>
      </c>
      <c r="AC203" s="456" t="str">
        <f t="shared" si="8"/>
        <v>2</v>
      </c>
      <c r="AD203" s="458" t="str">
        <f t="shared" si="376"/>
        <v>2</v>
      </c>
      <c r="AE203" s="458" t="str">
        <f t="shared" si="10"/>
        <v>1</v>
      </c>
      <c r="AF203" s="459" t="str">
        <f t="shared" si="395"/>
        <v>10</v>
      </c>
      <c r="AG203" s="460"/>
      <c r="AH203" s="593" t="s">
        <v>22</v>
      </c>
      <c r="AI203" s="568" t="str">
        <f t="shared" ref="AI203:AJ203" si="412">SUM(AM203+AK203+AO203+AQ203+AS203+AU203)</f>
        <v>8</v>
      </c>
      <c r="AJ203" s="569" t="str">
        <f t="shared" si="412"/>
        <v>14</v>
      </c>
      <c r="AK203" s="641" t="str">
        <f>sumifs($U$2:$U700, $D$2:$D700, "Epic", $E$2:$E700, "Classic", $F$2:F700, "Warrior")</f>
        <v>4</v>
      </c>
      <c r="AL203" s="569" t="str">
        <f>COUNTIFS($D$2:$D700, "Epic", $E$2:$E700, "Classic", $F$2:F700, "Warrior" )*2</f>
        <v>6</v>
      </c>
      <c r="AM203" s="667" t="str">
        <f>sumifs($U$2:$U700, $D$2:$D700, "Epic", $E$2:$E700, "Promo", $F$2:F700, "Warrior")</f>
        <v>0</v>
      </c>
      <c r="AN203" s="668" t="str">
        <f>COUNTIFS($D$2:$D700, "Epic", $E$2:$E700, "Promo", $F$2:F700, "Warrior" )*2</f>
        <v>0</v>
      </c>
      <c r="AO203" s="641" t="str">
        <f>sumifs($U$2:$U700, $D$2:$D700, "Epic", $E$2:$E700, "Naxx", $F$2:F700, "Warrior")</f>
        <v>0</v>
      </c>
      <c r="AP203" s="569" t="str">
        <f>COUNTIFS($D$2:$D700, "Epic", $E$2:$E700, "Naxx", $F$2:F700, "Warrior" )*2</f>
        <v>0</v>
      </c>
      <c r="AQ203" s="641" t="str">
        <f>sumifs($U$2:$U700, $D$2:$D700, "Epic", $E$2:$E700, "GvG", $F$2:F700, "Warrior")</f>
        <v>4</v>
      </c>
      <c r="AR203" s="569" t="str">
        <f>COUNTIFS($D$2:$D700, "Epic", $E$2:$E700, "GvG", $F$2:F700, "Warrior" )*2</f>
        <v>4</v>
      </c>
      <c r="AS203" s="641" t="str">
        <f>sumifs($U$2:$U700, $D$2:$D700, "Epic", $E$2:$E700, "Blackrock", $F$2:F700, "Warrior")</f>
        <v>0</v>
      </c>
      <c r="AT203" s="569" t="str">
        <f>COUNTIFS($D$2:$D700, "Epic", $E$2:$E700, "Blackrock", $F$2:F700, "Warrior" )*2</f>
        <v>0</v>
      </c>
      <c r="AU203" s="641" t="str">
        <f>sumifs($U$2:$U700, $D$2:$D700, "Epic", $E$2:$E700, "TGT", $F$2:F700, "Warrior")</f>
        <v>0</v>
      </c>
      <c r="AV203" s="569" t="str">
        <f>COUNTIFS($D$2:$D700, "Epic", $E$2:$E700, "TGT", $F$2:F700, "Warrior" )*2</f>
        <v>4</v>
      </c>
      <c r="AW203" s="667">
        <v>0.0</v>
      </c>
      <c r="AX203" s="668">
        <v>0.0</v>
      </c>
    </row>
    <row r="204">
      <c r="A204" s="466"/>
      <c r="B204" s="509">
        <v>4.0</v>
      </c>
      <c r="C204" s="510" t="s">
        <v>587</v>
      </c>
      <c r="D204" s="511" t="s">
        <v>15</v>
      </c>
      <c r="E204" s="511" t="s">
        <v>33</v>
      </c>
      <c r="F204" s="512" t="s">
        <v>69</v>
      </c>
      <c r="G204" s="485">
        <v>2.0</v>
      </c>
      <c r="H204" s="485">
        <v>0.0</v>
      </c>
      <c r="I204" s="486">
        <v>1.0</v>
      </c>
      <c r="J204" s="486">
        <v>1.0</v>
      </c>
      <c r="K204" s="522" t="s">
        <v>188</v>
      </c>
      <c r="L204" s="522"/>
      <c r="M204" s="522" t="s">
        <v>588</v>
      </c>
      <c r="N204" s="522">
        <v>5.0</v>
      </c>
      <c r="O204" s="224" t="s">
        <v>589</v>
      </c>
      <c r="P204" s="14"/>
      <c r="Q204" s="452" t="str">
        <f>MATCH($D204,Reference!$J$5:$J$9,0)</f>
        <v>2</v>
      </c>
      <c r="R204" s="452" t="str">
        <f>MATCH($E204,Reference!$J$26:$J$32,0)</f>
        <v>2</v>
      </c>
      <c r="S204" s="452" t="str">
        <f>MATCH($F204,Reference!$J$45:$J$54,0)</f>
        <v>5</v>
      </c>
      <c r="T204" s="453" t="str">
        <f>MATCH($K204,Reference!$J$37:$J$39,0)</f>
        <v>3</v>
      </c>
      <c r="U204" s="454" t="str">
        <f t="shared" si="373"/>
        <v>2</v>
      </c>
      <c r="V204" s="454" t="str">
        <f t="shared" si="3"/>
        <v>1</v>
      </c>
      <c r="W204" s="454" t="str">
        <f t="shared" si="393"/>
        <v>0</v>
      </c>
      <c r="X204" s="454" t="str">
        <f t="shared" si="374"/>
        <v>2</v>
      </c>
      <c r="Y204" s="456" t="str">
        <f t="shared" si="5"/>
        <v>FALSE</v>
      </c>
      <c r="Z204" s="456" t="str">
        <f t="shared" si="6"/>
        <v>FALSE</v>
      </c>
      <c r="AA204" s="457" t="str">
        <f t="shared" ref="AA204:AB204" si="413">1-I204</f>
        <v>0%</v>
      </c>
      <c r="AB204" s="457" t="str">
        <f t="shared" si="413"/>
        <v>0%</v>
      </c>
      <c r="AC204" s="456" t="str">
        <f t="shared" si="8"/>
        <v>2</v>
      </c>
      <c r="AD204" s="458" t="str">
        <f t="shared" si="376"/>
        <v>0</v>
      </c>
      <c r="AE204" s="458" t="str">
        <f t="shared" si="10"/>
        <v>1</v>
      </c>
      <c r="AF204" s="459" t="str">
        <f t="shared" si="395"/>
        <v>0</v>
      </c>
      <c r="AG204" s="460"/>
      <c r="AH204" s="583" t="s">
        <v>23</v>
      </c>
      <c r="AI204" s="584" t="str">
        <f t="shared" ref="AI204:AJ204" si="414">SUM(AM204+AK204+AO204+AQ204+AS204+AU204)</f>
        <v>2</v>
      </c>
      <c r="AJ204" s="585" t="str">
        <f t="shared" si="414"/>
        <v>3</v>
      </c>
      <c r="AK204" s="677" t="str">
        <f>sumifs($U$2:$U700, $D$2:$D700, "Legendary", $E$2:$E700, "Classic", $F$2:F700, "Warrior")</f>
        <v>1</v>
      </c>
      <c r="AL204" s="678" t="str">
        <f>COUNTIFS($D$2:$D700, "Legendary", $E$2:$E700, "Classic", $F$2:F700, "Warrior" )</f>
        <v>1</v>
      </c>
      <c r="AM204" s="679" t="str">
        <f>sumifs($U$2:$U700, $D$2:$D700, "Legendary", $E$2:$E700, "Promo", $F$2:F700, "Warrior")</f>
        <v>0</v>
      </c>
      <c r="AN204" s="680" t="str">
        <f>COUNTIFS($D$2:$D700, "Legendary", $E$2:$E700, "Promo", $F$2:F700, "Warrior" )</f>
        <v>0</v>
      </c>
      <c r="AO204" s="677" t="str">
        <f>sumifs($U$2:$U700, $D$2:$D700, "Legendary", $E$2:$E700, "Naxx", $F$2:F700, "Warrior")</f>
        <v>0</v>
      </c>
      <c r="AP204" s="678" t="str">
        <f>COUNTIFS($D$2:$D700, "Legendary", $E$2:$E700, "Naxx", $F$2:F700, "Warrior" )</f>
        <v>0</v>
      </c>
      <c r="AQ204" s="677" t="str">
        <f>sumifs($U$2:$U700, $D$2:$D700, "Legendary", $E$2:$E700, "GvG", $F$2:F700, "Warrior")</f>
        <v>0</v>
      </c>
      <c r="AR204" s="678" t="str">
        <f>COUNTIFS($D$2:$D700, "Legendary", $E$2:$E700, "GvG", $F$2:F700, "Warrior" )</f>
        <v>1</v>
      </c>
      <c r="AS204" s="677" t="str">
        <f>sumifs($U$2:$U700, $D$2:$D700, "Legendary", $E$2:$E700, "Blackrock", $F$2:F700, "Warrior")</f>
        <v>0</v>
      </c>
      <c r="AT204" s="678" t="str">
        <f>COUNTIFS($D$2:$D700, "Legendary", $E$2:$E700, "Blackrock", $F$2:F700, "Warrior" )</f>
        <v>0</v>
      </c>
      <c r="AU204" s="677" t="str">
        <f>sumifs($U$2:$U700, $D$2:$D700, "Legendary", $E$2:$E700, "TGT", $F$2:F700, "Warrior")</f>
        <v>1</v>
      </c>
      <c r="AV204" s="678" t="str">
        <f>COUNTIFS($D$2:$D700, "Legendary", $E$2:$E700, "TGT", $F$2:F700, "Warrior" )</f>
        <v>1</v>
      </c>
      <c r="AW204" s="679">
        <v>0.0</v>
      </c>
      <c r="AX204" s="680">
        <v>0.0</v>
      </c>
    </row>
    <row r="205">
      <c r="A205" s="442"/>
      <c r="B205" s="442">
        <v>6.0</v>
      </c>
      <c r="C205" s="482" t="s">
        <v>590</v>
      </c>
      <c r="D205" s="483" t="s">
        <v>15</v>
      </c>
      <c r="E205" s="483" t="s">
        <v>33</v>
      </c>
      <c r="F205" s="484" t="s">
        <v>69</v>
      </c>
      <c r="G205" s="471">
        <v>2.0</v>
      </c>
      <c r="H205" s="485">
        <v>0.0</v>
      </c>
      <c r="I205" s="486">
        <v>1.0</v>
      </c>
      <c r="J205" s="486">
        <v>1.0</v>
      </c>
      <c r="K205" s="499" t="s">
        <v>188</v>
      </c>
      <c r="L205" s="499"/>
      <c r="M205" s="499">
        <v>6.0</v>
      </c>
      <c r="N205" s="499">
        <v>6.0</v>
      </c>
      <c r="O205" s="223" t="s">
        <v>591</v>
      </c>
      <c r="P205" s="14"/>
      <c r="Q205" s="452" t="str">
        <f>MATCH($D205,Reference!$J$5:$J$9,0)</f>
        <v>2</v>
      </c>
      <c r="R205" s="452" t="str">
        <f>MATCH($E205,Reference!$J$26:$J$32,0)</f>
        <v>2</v>
      </c>
      <c r="S205" s="452" t="str">
        <f>MATCH($F205,Reference!$J$45:$J$54,0)</f>
        <v>5</v>
      </c>
      <c r="T205" s="453" t="str">
        <f>MATCH($K205,Reference!$J$37:$J$39,0)</f>
        <v>3</v>
      </c>
      <c r="U205" s="454" t="str">
        <f t="shared" si="373"/>
        <v>2</v>
      </c>
      <c r="V205" s="454" t="str">
        <f t="shared" si="3"/>
        <v>1</v>
      </c>
      <c r="W205" s="454" t="str">
        <f t="shared" si="393"/>
        <v>0</v>
      </c>
      <c r="X205" s="454" t="str">
        <f t="shared" si="374"/>
        <v>2</v>
      </c>
      <c r="Y205" s="456" t="str">
        <f t="shared" si="5"/>
        <v>FALSE</v>
      </c>
      <c r="Z205" s="456" t="str">
        <f t="shared" si="6"/>
        <v>FALSE</v>
      </c>
      <c r="AA205" s="457" t="str">
        <f t="shared" ref="AA205:AB205" si="415">1-I205</f>
        <v>0%</v>
      </c>
      <c r="AB205" s="457" t="str">
        <f t="shared" si="415"/>
        <v>0%</v>
      </c>
      <c r="AC205" s="456" t="str">
        <f t="shared" si="8"/>
        <v>2</v>
      </c>
      <c r="AD205" s="458" t="str">
        <f t="shared" si="376"/>
        <v>0</v>
      </c>
      <c r="AE205" s="458" t="str">
        <f t="shared" si="10"/>
        <v>1</v>
      </c>
      <c r="AF205" s="459" t="str">
        <f t="shared" si="395"/>
        <v>0</v>
      </c>
      <c r="AG205" s="460"/>
      <c r="AH205" s="601" t="s">
        <v>24</v>
      </c>
      <c r="AI205" s="602"/>
      <c r="AJ205" s="603"/>
      <c r="AK205" s="602"/>
      <c r="AL205" s="603"/>
      <c r="AM205" s="602"/>
      <c r="AN205" s="603"/>
      <c r="AO205" s="602"/>
      <c r="AP205" s="603"/>
      <c r="AQ205" s="602"/>
      <c r="AR205" s="603"/>
      <c r="AS205" s="602"/>
      <c r="AT205" s="603"/>
      <c r="AU205" s="602"/>
      <c r="AV205" s="603"/>
      <c r="AW205" s="602"/>
      <c r="AX205" s="603"/>
    </row>
    <row r="206">
      <c r="A206" s="466"/>
      <c r="B206" s="594">
        <v>1.0</v>
      </c>
      <c r="C206" s="595" t="s">
        <v>592</v>
      </c>
      <c r="D206" s="575" t="s">
        <v>21</v>
      </c>
      <c r="E206" s="575" t="s">
        <v>35</v>
      </c>
      <c r="F206" s="576" t="s">
        <v>69</v>
      </c>
      <c r="G206" s="597">
        <v>2.0</v>
      </c>
      <c r="H206" s="597">
        <v>0.0</v>
      </c>
      <c r="I206" s="598">
        <v>1.0</v>
      </c>
      <c r="J206" s="598">
        <v>1.0</v>
      </c>
      <c r="K206" s="600" t="s">
        <v>162</v>
      </c>
      <c r="L206" s="600"/>
      <c r="M206" s="600"/>
      <c r="N206" s="600"/>
      <c r="O206" s="599" t="s">
        <v>593</v>
      </c>
      <c r="P206" s="14"/>
      <c r="Q206" s="452" t="str">
        <f>MATCH($D206,Reference!$J$5:$J$9,0)</f>
        <v>3</v>
      </c>
      <c r="R206" s="452" t="str">
        <f>MATCH($E206,Reference!$J$26:$J$32,0)</f>
        <v>5</v>
      </c>
      <c r="S206" s="452" t="str">
        <f>MATCH($F206,Reference!$J$45:$J$54,0)</f>
        <v>5</v>
      </c>
      <c r="T206" s="453" t="str">
        <f>MATCH($K206,Reference!$J$37:$J$39,0)</f>
        <v>2</v>
      </c>
      <c r="U206" s="454" t="str">
        <f t="shared" si="373"/>
        <v>2</v>
      </c>
      <c r="V206" s="454" t="str">
        <f t="shared" si="3"/>
        <v>1</v>
      </c>
      <c r="W206" s="454" t="str">
        <f t="shared" ref="W206:W208" si="419">(MIN(G206,2)+H206-U206)*100</f>
        <v>0</v>
      </c>
      <c r="X206" s="454" t="str">
        <f t="shared" si="374"/>
        <v>2</v>
      </c>
      <c r="Y206" s="456" t="str">
        <f t="shared" si="5"/>
        <v>FALSE</v>
      </c>
      <c r="Z206" s="456" t="str">
        <f t="shared" si="6"/>
        <v>FALSE</v>
      </c>
      <c r="AA206" s="457" t="str">
        <f t="shared" ref="AA206:AB206" si="416">1-I206</f>
        <v>0%</v>
      </c>
      <c r="AB206" s="457" t="str">
        <f t="shared" si="416"/>
        <v>0%</v>
      </c>
      <c r="AC206" s="456" t="str">
        <f t="shared" si="8"/>
        <v>2</v>
      </c>
      <c r="AD206" s="458" t="str">
        <f t="shared" si="376"/>
        <v>0</v>
      </c>
      <c r="AE206" s="458" t="str">
        <f t="shared" si="10"/>
        <v>1</v>
      </c>
      <c r="AF206" s="459" t="str">
        <f t="shared" ref="AF206:AF217" si="421">(MIN(H206,2)+G206-U206)*20</f>
        <v>0</v>
      </c>
      <c r="AG206" s="460"/>
      <c r="AH206" s="604" t="s">
        <v>221</v>
      </c>
      <c r="AI206" s="605" t="str">
        <f t="shared" ref="AI206:AN206" si="417">SUM(AI194:AI198)</f>
        <v>41</v>
      </c>
      <c r="AJ206" s="606" t="str">
        <f t="shared" si="417"/>
        <v>45</v>
      </c>
      <c r="AK206" s="605" t="str">
        <f t="shared" si="417"/>
        <v>24</v>
      </c>
      <c r="AL206" s="606" t="str">
        <f t="shared" si="417"/>
        <v>25</v>
      </c>
      <c r="AM206" s="605" t="str">
        <f t="shared" si="417"/>
        <v>0</v>
      </c>
      <c r="AN206" s="606" t="str">
        <f t="shared" si="417"/>
        <v>0</v>
      </c>
      <c r="AO206" s="605" t="str">
        <f>sum(AO194:AO198)</f>
        <v>1</v>
      </c>
      <c r="AP206" s="606" t="str">
        <f>SUM(AP194:AP198)</f>
        <v>1</v>
      </c>
      <c r="AQ206" s="605" t="str">
        <f>sum(AQ194:AQ198)</f>
        <v>7</v>
      </c>
      <c r="AR206" s="606" t="str">
        <f>SUM(AR194:AR198)</f>
        <v>8</v>
      </c>
      <c r="AS206" s="605" t="str">
        <f t="shared" ref="AS206:AX206" si="418">sum(AS194:AS198)</f>
        <v>2</v>
      </c>
      <c r="AT206" s="606" t="str">
        <f t="shared" si="418"/>
        <v>2</v>
      </c>
      <c r="AU206" s="605" t="str">
        <f t="shared" si="418"/>
        <v>7</v>
      </c>
      <c r="AV206" s="606" t="str">
        <f t="shared" si="418"/>
        <v>9</v>
      </c>
      <c r="AW206" s="605" t="str">
        <f t="shared" si="418"/>
        <v>0</v>
      </c>
      <c r="AX206" s="606" t="str">
        <f t="shared" si="418"/>
        <v>0</v>
      </c>
    </row>
    <row r="207">
      <c r="A207" s="442"/>
      <c r="B207" s="560">
        <v>2.0</v>
      </c>
      <c r="C207" s="561" t="s">
        <v>594</v>
      </c>
      <c r="D207" s="562" t="s">
        <v>21</v>
      </c>
      <c r="E207" s="563" t="s">
        <v>36</v>
      </c>
      <c r="F207" s="562" t="s">
        <v>69</v>
      </c>
      <c r="G207" s="564">
        <v>2.0</v>
      </c>
      <c r="H207" s="564">
        <v>0.0</v>
      </c>
      <c r="I207" s="565">
        <v>1.0</v>
      </c>
      <c r="J207" s="565">
        <v>1.0</v>
      </c>
      <c r="K207" s="563" t="s">
        <v>162</v>
      </c>
      <c r="L207" s="563"/>
      <c r="M207" s="563"/>
      <c r="N207" s="563"/>
      <c r="O207" s="566" t="s">
        <v>595</v>
      </c>
      <c r="P207" s="14"/>
      <c r="Q207" s="452" t="str">
        <f>MATCH($D207,Reference!$J$5:$J$9,0)</f>
        <v>3</v>
      </c>
      <c r="R207" s="452" t="str">
        <f>MATCH($E207,Reference!$J$26:$J$32,0)</f>
        <v>7</v>
      </c>
      <c r="S207" s="452" t="str">
        <f>MATCH($F207,Reference!$J$45:$J$54,0)</f>
        <v>5</v>
      </c>
      <c r="T207" s="453" t="str">
        <f>MATCH($K207,Reference!$J$37:$J$39,0)</f>
        <v>2</v>
      </c>
      <c r="U207" s="454" t="str">
        <f t="shared" si="373"/>
        <v>2</v>
      </c>
      <c r="V207" s="454" t="str">
        <f t="shared" si="3"/>
        <v>1</v>
      </c>
      <c r="W207" s="454" t="str">
        <f t="shared" si="419"/>
        <v>0</v>
      </c>
      <c r="X207" s="454" t="str">
        <f t="shared" si="374"/>
        <v>2</v>
      </c>
      <c r="Y207" s="456" t="str">
        <f t="shared" si="5"/>
        <v>FALSE</v>
      </c>
      <c r="Z207" s="456" t="str">
        <f t="shared" si="6"/>
        <v>FALSE</v>
      </c>
      <c r="AA207" s="457" t="str">
        <f t="shared" ref="AA207:AB207" si="420">1-I207</f>
        <v>0%</v>
      </c>
      <c r="AB207" s="457" t="str">
        <f t="shared" si="420"/>
        <v>0%</v>
      </c>
      <c r="AC207" s="456" t="str">
        <f t="shared" si="8"/>
        <v>2</v>
      </c>
      <c r="AD207" s="458" t="str">
        <f t="shared" si="376"/>
        <v>0</v>
      </c>
      <c r="AE207" s="458" t="str">
        <f t="shared" si="10"/>
        <v>1</v>
      </c>
      <c r="AF207" s="459" t="str">
        <f t="shared" si="421"/>
        <v>0</v>
      </c>
      <c r="AG207" s="460"/>
      <c r="AH207" s="615" t="s">
        <v>234</v>
      </c>
      <c r="AI207" s="616" t="str">
        <f t="shared" ref="AI207:AJ207" si="422">SUM(AI200:AI204)</f>
        <v>80</v>
      </c>
      <c r="AJ207" s="617" t="str">
        <f t="shared" si="422"/>
        <v>87</v>
      </c>
      <c r="AK207" s="616" t="str">
        <f>sum(AK200:AK204)</f>
        <v>47</v>
      </c>
      <c r="AL207" s="617" t="str">
        <f>SUM(AL200:AL204)</f>
        <v>49</v>
      </c>
      <c r="AM207" s="616" t="str">
        <f>sum(AM200:AM204)</f>
        <v>0</v>
      </c>
      <c r="AN207" s="617" t="str">
        <f>SUM(AN200:AN204)</f>
        <v>0</v>
      </c>
      <c r="AO207" s="616" t="str">
        <f>sum(AO200:AO204)</f>
        <v>2</v>
      </c>
      <c r="AP207" s="617" t="str">
        <f>SUM(AP200:AP204)</f>
        <v>2</v>
      </c>
      <c r="AQ207" s="616" t="str">
        <f>sum(AQ201:AQ204)</f>
        <v>14</v>
      </c>
      <c r="AR207" s="617" t="str">
        <f>SUM(AR200:AR204)</f>
        <v>15</v>
      </c>
      <c r="AS207" s="616" t="str">
        <f t="shared" ref="AS207:AX207" si="423">sum(AS200:AS204)</f>
        <v>4</v>
      </c>
      <c r="AT207" s="617" t="str">
        <f t="shared" si="423"/>
        <v>4</v>
      </c>
      <c r="AU207" s="616" t="str">
        <f t="shared" si="423"/>
        <v>13</v>
      </c>
      <c r="AV207" s="617" t="str">
        <f t="shared" si="423"/>
        <v>17</v>
      </c>
      <c r="AW207" s="616" t="str">
        <f t="shared" si="423"/>
        <v>0</v>
      </c>
      <c r="AX207" s="617" t="str">
        <f t="shared" si="423"/>
        <v>0</v>
      </c>
    </row>
    <row r="208">
      <c r="A208" s="442"/>
      <c r="B208" s="547">
        <v>2.0</v>
      </c>
      <c r="C208" s="548" t="s">
        <v>596</v>
      </c>
      <c r="D208" s="549" t="s">
        <v>21</v>
      </c>
      <c r="E208" s="549" t="s">
        <v>33</v>
      </c>
      <c r="F208" s="550" t="s">
        <v>69</v>
      </c>
      <c r="G208" s="551">
        <v>2.0</v>
      </c>
      <c r="H208" s="552">
        <v>0.0</v>
      </c>
      <c r="I208" s="553">
        <v>1.0</v>
      </c>
      <c r="J208" s="553">
        <v>1.0</v>
      </c>
      <c r="K208" s="554" t="s">
        <v>188</v>
      </c>
      <c r="L208" s="554"/>
      <c r="M208" s="554">
        <v>0.0</v>
      </c>
      <c r="N208" s="554">
        <v>5.0</v>
      </c>
      <c r="O208" s="555" t="s">
        <v>597</v>
      </c>
      <c r="P208" s="14"/>
      <c r="Q208" s="452" t="str">
        <f>MATCH($D208,Reference!$J$5:$J$9,0)</f>
        <v>3</v>
      </c>
      <c r="R208" s="452" t="str">
        <f>MATCH($E208,Reference!$J$26:$J$32,0)</f>
        <v>2</v>
      </c>
      <c r="S208" s="452" t="str">
        <f>MATCH($F208,Reference!$J$45:$J$54,0)</f>
        <v>5</v>
      </c>
      <c r="T208" s="453" t="str">
        <f>MATCH($K208,Reference!$J$37:$J$39,0)</f>
        <v>3</v>
      </c>
      <c r="U208" s="454" t="str">
        <f t="shared" si="373"/>
        <v>2</v>
      </c>
      <c r="V208" s="454" t="str">
        <f t="shared" si="3"/>
        <v>1</v>
      </c>
      <c r="W208" s="454" t="str">
        <f t="shared" si="419"/>
        <v>0</v>
      </c>
      <c r="X208" s="454" t="str">
        <f t="shared" si="374"/>
        <v>2</v>
      </c>
      <c r="Y208" s="456" t="str">
        <f t="shared" si="5"/>
        <v>FALSE</v>
      </c>
      <c r="Z208" s="456" t="str">
        <f t="shared" si="6"/>
        <v>FALSE</v>
      </c>
      <c r="AA208" s="457" t="str">
        <f t="shared" ref="AA208:AB208" si="424">1-I208</f>
        <v>0%</v>
      </c>
      <c r="AB208" s="457" t="str">
        <f t="shared" si="424"/>
        <v>0%</v>
      </c>
      <c r="AC208" s="456" t="str">
        <f t="shared" si="8"/>
        <v>2</v>
      </c>
      <c r="AD208" s="458" t="str">
        <f t="shared" si="376"/>
        <v>0</v>
      </c>
      <c r="AE208" s="458" t="str">
        <f t="shared" si="10"/>
        <v>1</v>
      </c>
      <c r="AF208" s="459" t="str">
        <f t="shared" si="421"/>
        <v>0</v>
      </c>
      <c r="AG208" s="460"/>
      <c r="AH208" s="14"/>
      <c r="AI208" s="14"/>
      <c r="AJ208" s="14"/>
      <c r="AK208" s="14"/>
      <c r="AL208" s="14"/>
      <c r="AM208" s="14"/>
      <c r="AN208" s="14"/>
      <c r="AO208" s="14"/>
      <c r="AP208" s="14"/>
      <c r="AQ208" s="14"/>
      <c r="AR208" s="14"/>
      <c r="AS208" s="14"/>
      <c r="AT208" s="14"/>
    </row>
    <row r="209">
      <c r="A209" s="442"/>
      <c r="B209" s="607">
        <v>2.0</v>
      </c>
      <c r="C209" s="708" t="s">
        <v>598</v>
      </c>
      <c r="D209" s="609" t="s">
        <v>21</v>
      </c>
      <c r="E209" s="609" t="s">
        <v>47</v>
      </c>
      <c r="F209" s="610" t="s">
        <v>69</v>
      </c>
      <c r="G209" s="611" t="str">
        <f>IF(Summary!$Y$27&gt;=VLOOKUP(C209,Reference!$N$6:$O$36,2,0),2,0)</f>
        <v>2</v>
      </c>
      <c r="H209" s="611">
        <v>0.0</v>
      </c>
      <c r="I209" s="612">
        <v>1.0</v>
      </c>
      <c r="J209" s="612"/>
      <c r="K209" s="613" t="s">
        <v>162</v>
      </c>
      <c r="L209" s="613"/>
      <c r="M209" s="613"/>
      <c r="N209" s="613"/>
      <c r="O209" s="614" t="s">
        <v>599</v>
      </c>
      <c r="P209" s="14"/>
      <c r="Q209" s="452" t="str">
        <f>MATCH($D209,Reference!$J$5:$J$9,0)</f>
        <v>3</v>
      </c>
      <c r="R209" s="452" t="str">
        <f>MATCH($E209,Reference!$J$26:$J$32,0)</f>
        <v>6</v>
      </c>
      <c r="S209" s="452" t="str">
        <f>MATCH($F209,Reference!$J$45:$J$54,0)</f>
        <v>5</v>
      </c>
      <c r="T209" s="453" t="str">
        <f>MATCH($K209,Reference!$J$37:$J$39,0)</f>
        <v>2</v>
      </c>
      <c r="U209" s="454" t="str">
        <f t="shared" si="373"/>
        <v>2</v>
      </c>
      <c r="V209" s="454" t="str">
        <f t="shared" si="3"/>
        <v>1</v>
      </c>
      <c r="W209" s="455">
        <v>0.0</v>
      </c>
      <c r="X209" s="454" t="str">
        <f t="shared" si="374"/>
        <v>2</v>
      </c>
      <c r="Y209" s="456" t="str">
        <f t="shared" si="5"/>
        <v>FALSE</v>
      </c>
      <c r="Z209" s="456" t="str">
        <f t="shared" si="6"/>
        <v>FALSE</v>
      </c>
      <c r="AA209" s="457" t="str">
        <f t="shared" ref="AA209:AB209" si="425">1-I209</f>
        <v>0%</v>
      </c>
      <c r="AB209" s="457" t="str">
        <f t="shared" si="425"/>
        <v>100%</v>
      </c>
      <c r="AC209" s="456" t="str">
        <f t="shared" si="8"/>
        <v>2</v>
      </c>
      <c r="AD209" s="458" t="str">
        <f t="shared" si="376"/>
        <v>0</v>
      </c>
      <c r="AE209" s="458" t="str">
        <f t="shared" si="10"/>
        <v>1</v>
      </c>
      <c r="AF209" s="459" t="str">
        <f t="shared" si="421"/>
        <v>0</v>
      </c>
      <c r="AG209" s="460"/>
      <c r="AH209" s="14"/>
      <c r="AI209" s="14"/>
      <c r="AJ209" s="14"/>
      <c r="AK209" s="14"/>
      <c r="AL209" s="14"/>
      <c r="AM209" s="14"/>
      <c r="AN209" s="14"/>
      <c r="AO209" s="14"/>
      <c r="AP209" s="14"/>
      <c r="AQ209" s="14"/>
      <c r="AR209" s="14"/>
      <c r="AS209" s="14"/>
      <c r="AT209" s="14"/>
    </row>
    <row r="210">
      <c r="A210" s="442"/>
      <c r="B210" s="594">
        <v>2.0</v>
      </c>
      <c r="C210" s="595" t="s">
        <v>600</v>
      </c>
      <c r="D210" s="575" t="s">
        <v>21</v>
      </c>
      <c r="E210" s="575" t="s">
        <v>35</v>
      </c>
      <c r="F210" s="576" t="s">
        <v>69</v>
      </c>
      <c r="G210" s="597">
        <v>2.0</v>
      </c>
      <c r="H210" s="596">
        <v>0.0</v>
      </c>
      <c r="I210" s="598">
        <v>1.0</v>
      </c>
      <c r="J210" s="598">
        <v>1.0</v>
      </c>
      <c r="K210" s="600" t="s">
        <v>188</v>
      </c>
      <c r="L210" s="709" t="s">
        <v>198</v>
      </c>
      <c r="M210" s="600">
        <v>2.0</v>
      </c>
      <c r="N210" s="600">
        <v>3.0</v>
      </c>
      <c r="O210" s="710" t="s">
        <v>601</v>
      </c>
      <c r="P210" s="14"/>
      <c r="Q210" s="452" t="str">
        <f>MATCH($D210,Reference!$J$5:$J$9,0)</f>
        <v>3</v>
      </c>
      <c r="R210" s="452" t="str">
        <f>MATCH($E210,Reference!$J$26:$J$32,0)</f>
        <v>5</v>
      </c>
      <c r="S210" s="452" t="str">
        <f>MATCH($F210,Reference!$J$45:$J$54,0)</f>
        <v>5</v>
      </c>
      <c r="T210" s="453" t="str">
        <f>MATCH($K210,Reference!$J$37:$J$39,0)</f>
        <v>3</v>
      </c>
      <c r="U210" s="454" t="str">
        <f t="shared" si="373"/>
        <v>2</v>
      </c>
      <c r="V210" s="454" t="str">
        <f t="shared" si="3"/>
        <v>1</v>
      </c>
      <c r="W210" s="454" t="str">
        <f t="shared" ref="W210:W217" si="427">(MIN(G210,2)+H210-U210)*100</f>
        <v>0</v>
      </c>
      <c r="X210" s="454" t="str">
        <f t="shared" si="374"/>
        <v>2</v>
      </c>
      <c r="Y210" s="456" t="str">
        <f t="shared" si="5"/>
        <v>FALSE</v>
      </c>
      <c r="Z210" s="456" t="str">
        <f t="shared" si="6"/>
        <v>FALSE</v>
      </c>
      <c r="AA210" s="457" t="str">
        <f t="shared" ref="AA210:AB210" si="426">1-I210</f>
        <v>0%</v>
      </c>
      <c r="AB210" s="457" t="str">
        <f t="shared" si="426"/>
        <v>0%</v>
      </c>
      <c r="AC210" s="456" t="str">
        <f t="shared" si="8"/>
        <v>2</v>
      </c>
      <c r="AD210" s="458" t="str">
        <f t="shared" si="376"/>
        <v>0</v>
      </c>
      <c r="AE210" s="458" t="str">
        <f t="shared" si="10"/>
        <v>1</v>
      </c>
      <c r="AF210" s="459" t="str">
        <f t="shared" si="421"/>
        <v>0</v>
      </c>
      <c r="AG210" s="460"/>
      <c r="AH210" s="521" t="s">
        <v>77</v>
      </c>
      <c r="AI210" s="106"/>
      <c r="AJ210" s="106"/>
      <c r="AK210" s="106"/>
      <c r="AL210" s="106"/>
      <c r="AM210" s="106"/>
      <c r="AN210" s="106"/>
      <c r="AO210" s="106"/>
      <c r="AP210" s="106"/>
      <c r="AQ210" s="106"/>
      <c r="AR210" s="106"/>
      <c r="AS210" s="106"/>
      <c r="AT210" s="106"/>
      <c r="AU210" s="106"/>
      <c r="AV210" s="106"/>
      <c r="AW210" s="106"/>
      <c r="AX210" s="106"/>
    </row>
    <row r="211">
      <c r="A211" s="463"/>
      <c r="B211" s="560">
        <v>2.0</v>
      </c>
      <c r="C211" s="561" t="s">
        <v>602</v>
      </c>
      <c r="D211" s="562" t="s">
        <v>21</v>
      </c>
      <c r="E211" s="563" t="s">
        <v>36</v>
      </c>
      <c r="F211" s="562" t="s">
        <v>69</v>
      </c>
      <c r="G211" s="564">
        <v>2.0</v>
      </c>
      <c r="H211" s="564">
        <v>0.0</v>
      </c>
      <c r="I211" s="565">
        <v>1.33</v>
      </c>
      <c r="J211" s="565">
        <v>1.33</v>
      </c>
      <c r="K211" s="563" t="s">
        <v>188</v>
      </c>
      <c r="L211" s="563"/>
      <c r="M211" s="563">
        <v>1.0</v>
      </c>
      <c r="N211" s="563">
        <v>4.0</v>
      </c>
      <c r="O211" s="566" t="s">
        <v>603</v>
      </c>
      <c r="P211" s="14"/>
      <c r="Q211" s="452" t="str">
        <f>MATCH($D211,Reference!$J$5:$J$9,0)</f>
        <v>3</v>
      </c>
      <c r="R211" s="452" t="str">
        <f>MATCH($E211,Reference!$J$26:$J$32,0)</f>
        <v>7</v>
      </c>
      <c r="S211" s="452" t="str">
        <f>MATCH($F211,Reference!$J$45:$J$54,0)</f>
        <v>5</v>
      </c>
      <c r="T211" s="453" t="str">
        <f>MATCH($K211,Reference!$J$37:$J$39,0)</f>
        <v>3</v>
      </c>
      <c r="U211" s="454" t="str">
        <f t="shared" si="373"/>
        <v>2</v>
      </c>
      <c r="V211" s="454" t="str">
        <f t="shared" si="3"/>
        <v>1</v>
      </c>
      <c r="W211" s="454" t="str">
        <f t="shared" si="427"/>
        <v>0</v>
      </c>
      <c r="X211" s="454" t="str">
        <f t="shared" si="374"/>
        <v>2</v>
      </c>
      <c r="Y211" s="456" t="str">
        <f t="shared" si="5"/>
        <v>FALSE</v>
      </c>
      <c r="Z211" s="456" t="str">
        <f t="shared" si="6"/>
        <v>FALSE</v>
      </c>
      <c r="AA211" s="457" t="str">
        <f t="shared" ref="AA211:AB211" si="428">1-I211</f>
        <v>-33%</v>
      </c>
      <c r="AB211" s="457" t="str">
        <f t="shared" si="428"/>
        <v>-33%</v>
      </c>
      <c r="AC211" s="456" t="str">
        <f t="shared" si="8"/>
        <v>2</v>
      </c>
      <c r="AD211" s="458" t="str">
        <f t="shared" si="376"/>
        <v>0</v>
      </c>
      <c r="AE211" s="458" t="str">
        <f t="shared" si="10"/>
        <v>1</v>
      </c>
      <c r="AF211" s="459" t="str">
        <f t="shared" si="421"/>
        <v>0</v>
      </c>
      <c r="AG211" s="460"/>
      <c r="AH211" s="523" t="s">
        <v>141</v>
      </c>
      <c r="AI211" s="524" t="s">
        <v>24</v>
      </c>
      <c r="AJ211" s="106"/>
      <c r="AK211" s="524" t="s">
        <v>33</v>
      </c>
      <c r="AL211" s="106"/>
      <c r="AM211" s="524" t="s">
        <v>37</v>
      </c>
      <c r="AN211" s="106"/>
      <c r="AO211" s="524" t="s">
        <v>41</v>
      </c>
      <c r="AP211" s="106"/>
      <c r="AQ211" s="524" t="s">
        <v>35</v>
      </c>
      <c r="AR211" s="106"/>
      <c r="AS211" s="525" t="s">
        <v>217</v>
      </c>
      <c r="AT211" s="106"/>
      <c r="AU211" s="525" t="s">
        <v>36</v>
      </c>
      <c r="AV211" s="106"/>
      <c r="AW211" s="525" t="s">
        <v>218</v>
      </c>
      <c r="AX211" s="106"/>
    </row>
    <row r="212">
      <c r="A212" s="442"/>
      <c r="B212" s="547">
        <v>4.0</v>
      </c>
      <c r="C212" s="548" t="s">
        <v>604</v>
      </c>
      <c r="D212" s="549" t="s">
        <v>21</v>
      </c>
      <c r="E212" s="549" t="s">
        <v>33</v>
      </c>
      <c r="F212" s="550" t="s">
        <v>69</v>
      </c>
      <c r="G212" s="551">
        <v>2.0</v>
      </c>
      <c r="H212" s="551">
        <v>0.0</v>
      </c>
      <c r="I212" s="553">
        <v>1.0</v>
      </c>
      <c r="J212" s="553">
        <v>1.0</v>
      </c>
      <c r="K212" s="554" t="s">
        <v>188</v>
      </c>
      <c r="L212" s="554"/>
      <c r="M212" s="554">
        <v>3.0</v>
      </c>
      <c r="N212" s="554">
        <v>5.0</v>
      </c>
      <c r="O212" s="555" t="s">
        <v>605</v>
      </c>
      <c r="P212" s="14"/>
      <c r="Q212" s="452" t="str">
        <f>MATCH($D212,Reference!$J$5:$J$9,0)</f>
        <v>3</v>
      </c>
      <c r="R212" s="452" t="str">
        <f>MATCH($E212,Reference!$J$26:$J$32,0)</f>
        <v>2</v>
      </c>
      <c r="S212" s="452" t="str">
        <f>MATCH($F212,Reference!$J$45:$J$54,0)</f>
        <v>5</v>
      </c>
      <c r="T212" s="453" t="str">
        <f>MATCH($K212,Reference!$J$37:$J$39,0)</f>
        <v>3</v>
      </c>
      <c r="U212" s="454" t="str">
        <f t="shared" si="373"/>
        <v>2</v>
      </c>
      <c r="V212" s="454" t="str">
        <f t="shared" si="3"/>
        <v>1</v>
      </c>
      <c r="W212" s="454" t="str">
        <f t="shared" si="427"/>
        <v>0</v>
      </c>
      <c r="X212" s="454" t="str">
        <f t="shared" si="374"/>
        <v>2</v>
      </c>
      <c r="Y212" s="456" t="str">
        <f t="shared" si="5"/>
        <v>FALSE</v>
      </c>
      <c r="Z212" s="456" t="str">
        <f t="shared" si="6"/>
        <v>FALSE</v>
      </c>
      <c r="AA212" s="457" t="str">
        <f t="shared" ref="AA212:AB212" si="429">1-I212</f>
        <v>0%</v>
      </c>
      <c r="AB212" s="457" t="str">
        <f t="shared" si="429"/>
        <v>0%</v>
      </c>
      <c r="AC212" s="456" t="str">
        <f t="shared" si="8"/>
        <v>2</v>
      </c>
      <c r="AD212" s="458" t="str">
        <f t="shared" si="376"/>
        <v>0</v>
      </c>
      <c r="AE212" s="458" t="str">
        <f t="shared" si="10"/>
        <v>1</v>
      </c>
      <c r="AF212" s="459" t="str">
        <f t="shared" si="421"/>
        <v>0</v>
      </c>
      <c r="AG212" s="460"/>
      <c r="AH212" s="587" t="s">
        <v>221</v>
      </c>
      <c r="AI212" s="499"/>
      <c r="AJ212" s="588"/>
      <c r="AK212" s="499"/>
      <c r="AL212" s="588"/>
      <c r="AM212" s="499"/>
      <c r="AN212" s="588"/>
      <c r="AO212" s="499"/>
      <c r="AP212" s="588"/>
      <c r="AQ212" s="499"/>
      <c r="AR212" s="588"/>
      <c r="AS212" s="499"/>
      <c r="AT212" s="588"/>
      <c r="AU212" s="499"/>
      <c r="AV212" s="588"/>
      <c r="AW212" s="499"/>
      <c r="AX212" s="588"/>
    </row>
    <row r="213">
      <c r="A213" s="466"/>
      <c r="B213" s="547">
        <v>4.0</v>
      </c>
      <c r="C213" s="548" t="s">
        <v>606</v>
      </c>
      <c r="D213" s="549" t="s">
        <v>21</v>
      </c>
      <c r="E213" s="549" t="s">
        <v>33</v>
      </c>
      <c r="F213" s="550" t="s">
        <v>69</v>
      </c>
      <c r="G213" s="551">
        <v>2.0</v>
      </c>
      <c r="H213" s="552">
        <v>0.0</v>
      </c>
      <c r="I213" s="553">
        <v>1.0</v>
      </c>
      <c r="J213" s="553">
        <v>1.0</v>
      </c>
      <c r="K213" s="549" t="s">
        <v>162</v>
      </c>
      <c r="L213" s="549"/>
      <c r="M213" s="550"/>
      <c r="N213" s="551"/>
      <c r="O213" s="555" t="s">
        <v>607</v>
      </c>
      <c r="P213" s="14"/>
      <c r="Q213" s="452" t="str">
        <f>MATCH($D213,Reference!$J$5:$J$9,0)</f>
        <v>3</v>
      </c>
      <c r="R213" s="452" t="str">
        <f>MATCH($E213,Reference!$J$26:$J$32,0)</f>
        <v>2</v>
      </c>
      <c r="S213" s="452" t="str">
        <f>MATCH($F213,Reference!$J$45:$J$54,0)</f>
        <v>5</v>
      </c>
      <c r="T213" s="453" t="str">
        <f>MATCH($K213,Reference!$J$37:$J$39,0)</f>
        <v>2</v>
      </c>
      <c r="U213" s="454" t="str">
        <f t="shared" si="373"/>
        <v>2</v>
      </c>
      <c r="V213" s="454" t="str">
        <f t="shared" si="3"/>
        <v>1</v>
      </c>
      <c r="W213" s="454" t="str">
        <f t="shared" si="427"/>
        <v>0</v>
      </c>
      <c r="X213" s="454" t="str">
        <f t="shared" si="374"/>
        <v>2</v>
      </c>
      <c r="Y213" s="456" t="str">
        <f t="shared" si="5"/>
        <v>FALSE</v>
      </c>
      <c r="Z213" s="456" t="str">
        <f t="shared" si="6"/>
        <v>FALSE</v>
      </c>
      <c r="AA213" s="457" t="str">
        <f t="shared" ref="AA213:AB213" si="430">1-I213</f>
        <v>0%</v>
      </c>
      <c r="AB213" s="457" t="str">
        <f t="shared" si="430"/>
        <v>0%</v>
      </c>
      <c r="AC213" s="456" t="str">
        <f t="shared" si="8"/>
        <v>2</v>
      </c>
      <c r="AD213" s="458" t="str">
        <f t="shared" si="376"/>
        <v>0</v>
      </c>
      <c r="AE213" s="458" t="str">
        <f t="shared" si="10"/>
        <v>1</v>
      </c>
      <c r="AF213" s="459" t="str">
        <f t="shared" si="421"/>
        <v>0</v>
      </c>
      <c r="AG213" s="460"/>
      <c r="AH213" s="643" t="s">
        <v>10</v>
      </c>
      <c r="AI213" s="534" t="str">
        <f t="shared" ref="AI213:AJ213" si="431">SUM(AM213+AK213+AO213+AQ213+AS213+AU213)</f>
        <v>43</v>
      </c>
      <c r="AJ213" s="535" t="str">
        <f t="shared" si="431"/>
        <v>43</v>
      </c>
      <c r="AK213" s="449" t="str">
        <f>sumifs($V$2:$V700, $E$2:$E700, "Basic", $F$2:F700, "Neutral")</f>
        <v>43</v>
      </c>
      <c r="AL213" s="537" t="str">
        <f>COUNTIFS($E$2:$E700, "Basic", $E$2:$E700, "Basic", $F$2:F700, "Neutral" )</f>
        <v>43</v>
      </c>
      <c r="AM213" s="644"/>
      <c r="AN213" s="645"/>
      <c r="AO213" s="449"/>
      <c r="AP213" s="537"/>
      <c r="AQ213" s="449"/>
      <c r="AR213" s="537"/>
      <c r="AS213" s="449"/>
      <c r="AT213" s="537"/>
      <c r="AU213" s="449"/>
      <c r="AV213" s="537"/>
      <c r="AW213" s="449"/>
      <c r="AX213" s="537"/>
    </row>
    <row r="214">
      <c r="A214" s="466"/>
      <c r="B214" s="547">
        <v>4.0</v>
      </c>
      <c r="C214" s="548" t="s">
        <v>608</v>
      </c>
      <c r="D214" s="549" t="s">
        <v>21</v>
      </c>
      <c r="E214" s="549" t="s">
        <v>33</v>
      </c>
      <c r="F214" s="550" t="s">
        <v>69</v>
      </c>
      <c r="G214" s="551">
        <v>2.0</v>
      </c>
      <c r="H214" s="551">
        <v>0.0</v>
      </c>
      <c r="I214" s="553">
        <v>1.0</v>
      </c>
      <c r="J214" s="553">
        <v>1.0</v>
      </c>
      <c r="K214" s="554" t="s">
        <v>162</v>
      </c>
      <c r="L214" s="554"/>
      <c r="M214" s="554"/>
      <c r="N214" s="554"/>
      <c r="O214" s="555" t="s">
        <v>609</v>
      </c>
      <c r="P214" s="14"/>
      <c r="Q214" s="452" t="str">
        <f>MATCH($D214,Reference!$J$5:$J$9,0)</f>
        <v>3</v>
      </c>
      <c r="R214" s="452" t="str">
        <f>MATCH($E214,Reference!$J$26:$J$32,0)</f>
        <v>2</v>
      </c>
      <c r="S214" s="452" t="str">
        <f>MATCH($F214,Reference!$J$45:$J$54,0)</f>
        <v>5</v>
      </c>
      <c r="T214" s="453" t="str">
        <f>MATCH($K214,Reference!$J$37:$J$39,0)</f>
        <v>2</v>
      </c>
      <c r="U214" s="454" t="str">
        <f t="shared" si="373"/>
        <v>2</v>
      </c>
      <c r="V214" s="454" t="str">
        <f t="shared" si="3"/>
        <v>1</v>
      </c>
      <c r="W214" s="454" t="str">
        <f t="shared" si="427"/>
        <v>0</v>
      </c>
      <c r="X214" s="454" t="str">
        <f t="shared" si="374"/>
        <v>2</v>
      </c>
      <c r="Y214" s="456" t="str">
        <f t="shared" si="5"/>
        <v>FALSE</v>
      </c>
      <c r="Z214" s="456" t="str">
        <f t="shared" si="6"/>
        <v>FALSE</v>
      </c>
      <c r="AA214" s="457" t="str">
        <f t="shared" ref="AA214:AB214" si="432">1-I214</f>
        <v>0%</v>
      </c>
      <c r="AB214" s="457" t="str">
        <f t="shared" si="432"/>
        <v>0%</v>
      </c>
      <c r="AC214" s="456" t="str">
        <f t="shared" si="8"/>
        <v>2</v>
      </c>
      <c r="AD214" s="458" t="str">
        <f t="shared" si="376"/>
        <v>0</v>
      </c>
      <c r="AE214" s="458" t="str">
        <f t="shared" si="10"/>
        <v>1</v>
      </c>
      <c r="AF214" s="459" t="str">
        <f t="shared" si="421"/>
        <v>0</v>
      </c>
      <c r="AG214" s="460"/>
      <c r="AH214" s="405" t="s">
        <v>15</v>
      </c>
      <c r="AI214" s="522" t="str">
        <f t="shared" ref="AI214:AJ214" si="433">SUM(AM214+AK214+AO214+AQ214+AS214+AU214)</f>
        <v>98</v>
      </c>
      <c r="AJ214" s="544" t="str">
        <f t="shared" si="433"/>
        <v>99</v>
      </c>
      <c r="AK214" s="499" t="str">
        <f>sumifs($V$2:$V700, $D$2:$D700, "Common", $E$2:$E700, "Classic", $F$2:F700, "Neutral")</f>
        <v>39</v>
      </c>
      <c r="AL214" s="588" t="str">
        <f>COUNTIFS($D$2:$D700, "Common", $E$2:$E700, "Classic", $F$2:F700, "Neutral" )</f>
        <v>40</v>
      </c>
      <c r="AM214" s="531" t="str">
        <f>sumifs($V$2:$V700, $D$2:$D700, "Common", $E$2:$E700, "Promo", $F$2:F700, "Neutral")</f>
        <v>0</v>
      </c>
      <c r="AN214" s="647" t="str">
        <f>COUNTIFS($D$2:$D700, "Common", $E$2:$E700, "Promo", $F$2:F700, "Neutral" )</f>
        <v>0</v>
      </c>
      <c r="AO214" s="499" t="str">
        <f>sumifs($V$2:$V700, $D$2:$D700, "Common", $E$2:$E700, "Naxx", $F$2:F700, "Neutral")</f>
        <v>9</v>
      </c>
      <c r="AP214" s="588" t="str">
        <f>COUNTIFS($D$2:$D700, "Common", $E$2:$E700, "Naxx", $F$2:F700, "Neutral" )</f>
        <v>9</v>
      </c>
      <c r="AQ214" s="499" t="str">
        <f>sumifs($V$2:$V700, $D$2:$D700, "Common", $E$2:$E700, "GvG", $F$2:F700, "Neutral")</f>
        <v>22</v>
      </c>
      <c r="AR214" s="588" t="str">
        <f>COUNTIFS($D$2:$D700, "Common", $E$2:$E700, "GvG", $F$2:F700, "Neutral" )</f>
        <v>22</v>
      </c>
      <c r="AS214" s="499" t="str">
        <f>sumifs($V$2:$V700, $D$2:$D700, "Common", $E$2:$E700, "Blackrock", $F$2:F700, "Neutral")</f>
        <v>6</v>
      </c>
      <c r="AT214" s="588" t="str">
        <f>COUNTIFS($D$2:$D700, "Common", $E$2:$E700, "Blackrock", $F$2:F700, "Neutral" )</f>
        <v>6</v>
      </c>
      <c r="AU214" s="499" t="str">
        <f>sumifs($V$2:$V700, $D$2:$D700, "Common", $E$2:$E700, "TGT", $F$2:F700, "Neutral")</f>
        <v>22</v>
      </c>
      <c r="AV214" s="588" t="str">
        <f>COUNTIFS($D$2:$D700, "Common", $E$2:$E700, "TGT", $F$2:F700, "Neutral" )</f>
        <v>22</v>
      </c>
      <c r="AW214" s="531">
        <v>0.0</v>
      </c>
      <c r="AX214" s="647">
        <v>0.0</v>
      </c>
    </row>
    <row r="215">
      <c r="A215" s="466"/>
      <c r="B215" s="560">
        <v>4.0</v>
      </c>
      <c r="C215" s="561" t="s">
        <v>610</v>
      </c>
      <c r="D215" s="562" t="s">
        <v>21</v>
      </c>
      <c r="E215" s="563" t="s">
        <v>36</v>
      </c>
      <c r="F215" s="562" t="s">
        <v>69</v>
      </c>
      <c r="G215" s="564">
        <v>2.0</v>
      </c>
      <c r="H215" s="564">
        <v>0.0</v>
      </c>
      <c r="I215" s="565">
        <v>1.0</v>
      </c>
      <c r="J215" s="565">
        <v>1.0</v>
      </c>
      <c r="K215" s="563" t="s">
        <v>188</v>
      </c>
      <c r="L215" s="563"/>
      <c r="M215" s="563">
        <v>5.0</v>
      </c>
      <c r="N215" s="563">
        <v>4.0</v>
      </c>
      <c r="O215" s="566" t="s">
        <v>611</v>
      </c>
      <c r="P215" s="14"/>
      <c r="Q215" s="452" t="str">
        <f>MATCH($D215,Reference!$J$5:$J$9,0)</f>
        <v>3</v>
      </c>
      <c r="R215" s="452" t="str">
        <f>MATCH($E215,Reference!$J$26:$J$32,0)</f>
        <v>7</v>
      </c>
      <c r="S215" s="452" t="str">
        <f>MATCH($F215,Reference!$J$45:$J$54,0)</f>
        <v>5</v>
      </c>
      <c r="T215" s="453" t="str">
        <f>MATCH($K215,Reference!$J$37:$J$39,0)</f>
        <v>3</v>
      </c>
      <c r="U215" s="454" t="str">
        <f t="shared" si="373"/>
        <v>2</v>
      </c>
      <c r="V215" s="454" t="str">
        <f t="shared" si="3"/>
        <v>1</v>
      </c>
      <c r="W215" s="454" t="str">
        <f t="shared" si="427"/>
        <v>0</v>
      </c>
      <c r="X215" s="454" t="str">
        <f t="shared" si="374"/>
        <v>2</v>
      </c>
      <c r="Y215" s="456" t="str">
        <f t="shared" si="5"/>
        <v>FALSE</v>
      </c>
      <c r="Z215" s="456" t="str">
        <f t="shared" si="6"/>
        <v>FALSE</v>
      </c>
      <c r="AA215" s="457" t="str">
        <f t="shared" ref="AA215:AB215" si="434">1-I215</f>
        <v>0%</v>
      </c>
      <c r="AB215" s="457" t="str">
        <f t="shared" si="434"/>
        <v>0%</v>
      </c>
      <c r="AC215" s="456" t="str">
        <f t="shared" si="8"/>
        <v>2</v>
      </c>
      <c r="AD215" s="458" t="str">
        <f t="shared" si="376"/>
        <v>0</v>
      </c>
      <c r="AE215" s="458" t="str">
        <f t="shared" si="10"/>
        <v>1</v>
      </c>
      <c r="AF215" s="459" t="str">
        <f t="shared" si="421"/>
        <v>0</v>
      </c>
      <c r="AG215" s="460"/>
      <c r="AH215" s="556" t="s">
        <v>21</v>
      </c>
      <c r="AI215" s="557" t="str">
        <f t="shared" ref="AI215:AJ215" si="435">SUM(AM215+AK215+AO215+AQ215+AS215+AU215)</f>
        <v>54</v>
      </c>
      <c r="AJ215" s="558" t="str">
        <f t="shared" si="435"/>
        <v>61</v>
      </c>
      <c r="AK215" s="554" t="str">
        <f>sumifs($V$2:$V700, $D$2:$D700, "Rare", $E$2:$E700, "Classic", $F$2:F700, "Neutral")</f>
        <v>31</v>
      </c>
      <c r="AL215" s="656" t="str">
        <f>COUNTIFS($D$2:$D700, "Rare", $E$2:$E700, "Classic", $F$2:F700, "Neutral" )</f>
        <v>36</v>
      </c>
      <c r="AM215" s="657" t="str">
        <f>sumifs($V$2:$V700, $D$2:$D700, "Rare", $E$2:$E700, "Promo", $F$2:F700, "Neutral")</f>
        <v>0</v>
      </c>
      <c r="AN215" s="658" t="str">
        <f>COUNTIFS($D$2:$D700, "Rare", $E$2:$E700, "Promo", $F$2:F700, "Neutral" )</f>
        <v>0</v>
      </c>
      <c r="AO215" s="554" t="str">
        <f>sumifs($V$2:$V700, $D$2:$D700, "Rare", $E$2:$E700, "Naxx", $F$2:F700, "Neutral")</f>
        <v>4</v>
      </c>
      <c r="AP215" s="656" t="str">
        <f>COUNTIFS($D$2:$D700, "Rare", $E$2:$E700, "Naxx", $F$2:F700, "Neutral" )</f>
        <v>4</v>
      </c>
      <c r="AQ215" s="554" t="str">
        <f>sumifs($V$2:$V700, $D$2:$D700, "Rare", $E$2:$E700, "GvG", $F$2:F700, "Neutral")</f>
        <v>8</v>
      </c>
      <c r="AR215" s="656" t="str">
        <f>COUNTIFS($D$2:$D700, "Rare", $E$2:$E700, "GvG", $F$2:F700, "Neutral" )</f>
        <v>10</v>
      </c>
      <c r="AS215" s="554" t="str">
        <f>sumifs($V$2:$V700, $D$2:$D700, "Rare", $E$2:$E700, "Blackrock", $F$2:F700, "Neutral")</f>
        <v>2</v>
      </c>
      <c r="AT215" s="656" t="str">
        <f>COUNTIFS($D$2:$D700, "Rare", $E$2:$E700, "Blackrock", $F$2:F700, "Neutral" )</f>
        <v>2</v>
      </c>
      <c r="AU215" s="554" t="str">
        <f>sumifs($V$2:$V700, $D$2:$D700, "Rare", $E$2:$E700, "TGT", $F$2:F700, "Neutral")</f>
        <v>9</v>
      </c>
      <c r="AV215" s="656" t="str">
        <f>COUNTIFS($D$2:$D700, "Rare", $E$2:$E700, "TGT", $F$2:F700, "Neutral" )</f>
        <v>9</v>
      </c>
      <c r="AW215" s="657">
        <v>0.0</v>
      </c>
      <c r="AX215" s="658">
        <v>0.0</v>
      </c>
    </row>
    <row r="216">
      <c r="A216" s="466"/>
      <c r="B216" s="594">
        <v>5.0</v>
      </c>
      <c r="C216" s="595" t="s">
        <v>612</v>
      </c>
      <c r="D216" s="575" t="s">
        <v>21</v>
      </c>
      <c r="E216" s="575" t="s">
        <v>35</v>
      </c>
      <c r="F216" s="576" t="s">
        <v>69</v>
      </c>
      <c r="G216" s="597">
        <v>2.0</v>
      </c>
      <c r="H216" s="597">
        <v>0.0</v>
      </c>
      <c r="I216" s="598">
        <v>1.0</v>
      </c>
      <c r="J216" s="598">
        <v>1.0</v>
      </c>
      <c r="K216" s="600" t="s">
        <v>188</v>
      </c>
      <c r="L216" s="600" t="s">
        <v>198</v>
      </c>
      <c r="M216" s="600">
        <v>5.0</v>
      </c>
      <c r="N216" s="600">
        <v>5.0</v>
      </c>
      <c r="O216" s="599" t="s">
        <v>613</v>
      </c>
      <c r="P216" s="14"/>
      <c r="Q216" s="452" t="str">
        <f>MATCH($D216,Reference!$J$5:$J$9,0)</f>
        <v>3</v>
      </c>
      <c r="R216" s="452" t="str">
        <f>MATCH($E216,Reference!$J$26:$J$32,0)</f>
        <v>5</v>
      </c>
      <c r="S216" s="452" t="str">
        <f>MATCH($F216,Reference!$J$45:$J$54,0)</f>
        <v>5</v>
      </c>
      <c r="T216" s="453" t="str">
        <f>MATCH($K216,Reference!$J$37:$J$39,0)</f>
        <v>3</v>
      </c>
      <c r="U216" s="454" t="str">
        <f t="shared" si="373"/>
        <v>2</v>
      </c>
      <c r="V216" s="454" t="str">
        <f t="shared" si="3"/>
        <v>1</v>
      </c>
      <c r="W216" s="454" t="str">
        <f t="shared" si="427"/>
        <v>0</v>
      </c>
      <c r="X216" s="454" t="str">
        <f t="shared" si="374"/>
        <v>2</v>
      </c>
      <c r="Y216" s="456" t="str">
        <f t="shared" si="5"/>
        <v>FALSE</v>
      </c>
      <c r="Z216" s="456" t="str">
        <f t="shared" si="6"/>
        <v>FALSE</v>
      </c>
      <c r="AA216" s="457" t="str">
        <f t="shared" ref="AA216:AB216" si="436">1-I216</f>
        <v>0%</v>
      </c>
      <c r="AB216" s="457" t="str">
        <f t="shared" si="436"/>
        <v>0%</v>
      </c>
      <c r="AC216" s="456" t="str">
        <f t="shared" si="8"/>
        <v>2</v>
      </c>
      <c r="AD216" s="458" t="str">
        <f t="shared" si="376"/>
        <v>0</v>
      </c>
      <c r="AE216" s="458" t="str">
        <f t="shared" si="10"/>
        <v>1</v>
      </c>
      <c r="AF216" s="459" t="str">
        <f t="shared" si="421"/>
        <v>0</v>
      </c>
      <c r="AG216" s="460"/>
      <c r="AH216" s="567" t="s">
        <v>22</v>
      </c>
      <c r="AI216" s="568" t="str">
        <f t="shared" ref="AI216:AJ216" si="437">SUM(AM216+AK216+AO216+AQ216+AS216+AU216)</f>
        <v>16</v>
      </c>
      <c r="AJ216" s="569" t="str">
        <f t="shared" si="437"/>
        <v>30</v>
      </c>
      <c r="AK216" s="641" t="str">
        <f>sumifs($V$2:$V700, $D$2:$D700, "Epic", $E$2:$E700, "Classic", $F$2:F700, "Neutral")</f>
        <v>6</v>
      </c>
      <c r="AL216" s="666" t="str">
        <f>COUNTIFS($D$2:$D700, "Epic", $E$2:$E700, "Classic", $F$2:F700, "Neutral" )</f>
        <v>10</v>
      </c>
      <c r="AM216" s="667" t="str">
        <f>sumifs($V$2:$V700, $D$2:$D700, "Epic", $E$2:$E700, "Promo", $F$2:F700, "Neutral")</f>
        <v>0</v>
      </c>
      <c r="AN216" s="668" t="str">
        <f>COUNTIFS($D$2:$D700, "Epic", $E$2:$E700, "Promo", $F$2:F700, "Neutral" )</f>
        <v>1</v>
      </c>
      <c r="AO216" s="641" t="str">
        <f>sumifs($V$2:$V700, $D$2:$D700, "Epic", $E$2:$E700, "Naxx", $F$2:F700, "Neutral")</f>
        <v>2</v>
      </c>
      <c r="AP216" s="666" t="str">
        <f>COUNTIFS($D$2:$D700, "Epic", $E$2:$E700, "Naxx", $F$2:F700, "Neutral" )</f>
        <v>2</v>
      </c>
      <c r="AQ216" s="641" t="str">
        <f>sumifs($V$2:$V700, $D$2:$D700, "Epic", $E$2:$E700, "GvG", $F$2:F700, "Neutral")</f>
        <v>3</v>
      </c>
      <c r="AR216" s="666" t="str">
        <f>COUNTIFS($D$2:$D700, "Epic", $E$2:$E700, "GvG", $F$2:F700, "Neutral" )</f>
        <v>8</v>
      </c>
      <c r="AS216" s="641" t="str">
        <f>sumifs($V$2:$V700, $D$2:$D700, "Epic", $E$2:$E700, "Blackrock", $F$2:F700, "Neutral")</f>
        <v>0</v>
      </c>
      <c r="AT216" s="666" t="str">
        <f>COUNTIFS($D$2:$D700, "Epic", $E$2:$E700, "Blackrock", $F$2:F700, "Neutral" )</f>
        <v>0</v>
      </c>
      <c r="AU216" s="641" t="str">
        <f>sumifs($V$2:$V700, $D$2:$D700, "Epic", $E$2:$E700, "TGT", $F$2:F700, "Neutral")</f>
        <v>5</v>
      </c>
      <c r="AV216" s="666" t="str">
        <f>COUNTIFS($D$2:$D700, "Epic", $E$2:$E700, "TGT", $F$2:F700, "Neutral" )</f>
        <v>9</v>
      </c>
      <c r="AW216" s="667">
        <v>0.0</v>
      </c>
      <c r="AX216" s="668">
        <v>0.0</v>
      </c>
    </row>
    <row r="217">
      <c r="A217" s="463"/>
      <c r="B217" s="547">
        <v>6.0</v>
      </c>
      <c r="C217" s="548" t="s">
        <v>614</v>
      </c>
      <c r="D217" s="549" t="s">
        <v>21</v>
      </c>
      <c r="E217" s="549" t="s">
        <v>33</v>
      </c>
      <c r="F217" s="550" t="s">
        <v>69</v>
      </c>
      <c r="G217" s="551">
        <v>2.0</v>
      </c>
      <c r="H217" s="551">
        <v>0.0</v>
      </c>
      <c r="I217" s="553">
        <v>1.0</v>
      </c>
      <c r="J217" s="553">
        <v>1.0</v>
      </c>
      <c r="K217" s="554" t="s">
        <v>162</v>
      </c>
      <c r="L217" s="554"/>
      <c r="M217" s="554"/>
      <c r="N217" s="554"/>
      <c r="O217" s="555" t="s">
        <v>615</v>
      </c>
      <c r="P217" s="14"/>
      <c r="Q217" s="452" t="str">
        <f>MATCH($D217,Reference!$J$5:$J$9,0)</f>
        <v>3</v>
      </c>
      <c r="R217" s="452" t="str">
        <f>MATCH($E217,Reference!$J$26:$J$32,0)</f>
        <v>2</v>
      </c>
      <c r="S217" s="452" t="str">
        <f>MATCH($F217,Reference!$J$45:$J$54,0)</f>
        <v>5</v>
      </c>
      <c r="T217" s="453" t="str">
        <f>MATCH($K217,Reference!$J$37:$J$39,0)</f>
        <v>2</v>
      </c>
      <c r="U217" s="454" t="str">
        <f t="shared" si="373"/>
        <v>2</v>
      </c>
      <c r="V217" s="454" t="str">
        <f t="shared" si="3"/>
        <v>1</v>
      </c>
      <c r="W217" s="454" t="str">
        <f t="shared" si="427"/>
        <v>0</v>
      </c>
      <c r="X217" s="454" t="str">
        <f t="shared" si="374"/>
        <v>2</v>
      </c>
      <c r="Y217" s="456" t="str">
        <f t="shared" si="5"/>
        <v>FALSE</v>
      </c>
      <c r="Z217" s="456" t="str">
        <f t="shared" si="6"/>
        <v>FALSE</v>
      </c>
      <c r="AA217" s="457" t="str">
        <f t="shared" ref="AA217:AB217" si="438">1-I217</f>
        <v>0%</v>
      </c>
      <c r="AB217" s="457" t="str">
        <f t="shared" si="438"/>
        <v>0%</v>
      </c>
      <c r="AC217" s="456" t="str">
        <f t="shared" si="8"/>
        <v>2</v>
      </c>
      <c r="AD217" s="458" t="str">
        <f t="shared" si="376"/>
        <v>0</v>
      </c>
      <c r="AE217" s="458" t="str">
        <f t="shared" si="10"/>
        <v>1</v>
      </c>
      <c r="AF217" s="459" t="str">
        <f t="shared" si="421"/>
        <v>0</v>
      </c>
      <c r="AG217" s="460"/>
      <c r="AH217" s="583" t="s">
        <v>23</v>
      </c>
      <c r="AI217" s="584" t="str">
        <f t="shared" ref="AI217:AJ217" si="439">SUM(AM217+AK217+AO217+AQ217+AS217+AU217)</f>
        <v>27</v>
      </c>
      <c r="AJ217" s="585" t="str">
        <f t="shared" si="439"/>
        <v>59</v>
      </c>
      <c r="AK217" s="677" t="str">
        <f>sumifs($V$2:$V700, $D$2:$D700, "Legendary", $E$2:$E700, "Classic", $F$2:F700, "Neutral")</f>
        <v>10</v>
      </c>
      <c r="AL217" s="678" t="str">
        <f>COUNTIFS($D$2:$D700, "Legendary", $E$2:$E700, "Classic", $F$2:F700, "Neutral" )</f>
        <v>24</v>
      </c>
      <c r="AM217" s="679" t="str">
        <f>sumifs($V$2:$V700, $D$2:$D700, "Legendary", $E$2:$E700, "Promo", $F$2:F700, "Neutral")</f>
        <v>0</v>
      </c>
      <c r="AN217" s="680" t="str">
        <f>COUNTIFS($D$2:$D700, "Legendary", $E$2:$E700, "Promo", $F$2:F700, "Neutral" )</f>
        <v>3</v>
      </c>
      <c r="AO217" s="677" t="str">
        <f>sumifs($V$2:$V700, $D$2:$D700, "Legendary", $E$2:$E700, "Naxx", $F$2:F700, "Neutral")</f>
        <v>6</v>
      </c>
      <c r="AP217" s="678" t="str">
        <f>COUNTIFS($D$2:$D700, "Legendary", $E$2:$E700, "Naxx", $F$2:F700, "Neutral" )</f>
        <v>6</v>
      </c>
      <c r="AQ217" s="677" t="str">
        <f>sumifs($V$2:$V700, $D$2:$D700, "Legendary", $E$2:$E700, "GvG", $F$2:F700, "Neutral")</f>
        <v>3</v>
      </c>
      <c r="AR217" s="678" t="str">
        <f>COUNTIFS($D$2:$D700, "Legendary", $E$2:$E700, "GvG", $F$2:F700, "Neutral" )</f>
        <v>11</v>
      </c>
      <c r="AS217" s="677" t="str">
        <f>sumifs($V$2:$V700, $D$2:$D700, "Legendary", $E$2:$E700, "Blackrock", $F$2:F700, "Neutral")</f>
        <v>5</v>
      </c>
      <c r="AT217" s="678" t="str">
        <f>COUNTIFS($D$2:$D700, "Legendary", $E$2:$E700, "Blackrock", $F$2:F700, "Neutral" )</f>
        <v>5</v>
      </c>
      <c r="AU217" s="677" t="str">
        <f>sumifs($V$2:$V700, $D$2:$D700, "Legendary", $E$2:$E700, "TGT", $F$2:F700, "Neutral")</f>
        <v>3</v>
      </c>
      <c r="AV217" s="678" t="str">
        <f>COUNTIFS($D$2:$D700, "Legendary", $E$2:$E700, "TGT", $F$2:F700, "Neutral" )</f>
        <v>10</v>
      </c>
      <c r="AW217" s="679">
        <v>0.0</v>
      </c>
      <c r="AX217" s="680">
        <v>0.0</v>
      </c>
    </row>
    <row r="218">
      <c r="A218" s="466"/>
      <c r="B218" s="625">
        <v>1.0</v>
      </c>
      <c r="C218" s="646" t="s">
        <v>616</v>
      </c>
      <c r="D218" s="627" t="s">
        <v>22</v>
      </c>
      <c r="E218" s="627" t="s">
        <v>35</v>
      </c>
      <c r="F218" s="628" t="s">
        <v>69</v>
      </c>
      <c r="G218" s="629">
        <v>0.0</v>
      </c>
      <c r="H218" s="629">
        <v>0.0</v>
      </c>
      <c r="I218" s="631">
        <v>1.0</v>
      </c>
      <c r="J218" s="631">
        <v>1.0</v>
      </c>
      <c r="K218" s="632" t="s">
        <v>188</v>
      </c>
      <c r="L218" s="701"/>
      <c r="M218" s="632">
        <v>2.0</v>
      </c>
      <c r="N218" s="632">
        <v>1.0</v>
      </c>
      <c r="O218" s="711" t="s">
        <v>617</v>
      </c>
      <c r="P218" s="14"/>
      <c r="Q218" s="452" t="str">
        <f>MATCH($D218,Reference!$J$5:$J$9,0)</f>
        <v>4</v>
      </c>
      <c r="R218" s="452" t="str">
        <f>MATCH($E218,Reference!$J$26:$J$32,0)</f>
        <v>5</v>
      </c>
      <c r="S218" s="452" t="str">
        <f>MATCH($F218,Reference!$J$45:$J$54,0)</f>
        <v>5</v>
      </c>
      <c r="T218" s="453" t="str">
        <f>MATCH($K218,Reference!$J$37:$J$39,0)</f>
        <v>3</v>
      </c>
      <c r="U218" s="454" t="str">
        <f t="shared" si="373"/>
        <v>0</v>
      </c>
      <c r="V218" s="454" t="str">
        <f t="shared" si="3"/>
        <v>0</v>
      </c>
      <c r="W218" s="454" t="str">
        <f t="shared" ref="W218:W224" si="441">(MIN(G218,2)+H218-U218)*400</f>
        <v>0</v>
      </c>
      <c r="X218" s="454" t="str">
        <f t="shared" si="374"/>
        <v>0</v>
      </c>
      <c r="Y218" s="456" t="str">
        <f t="shared" si="5"/>
        <v>TRUE</v>
      </c>
      <c r="Z218" s="456" t="str">
        <f t="shared" si="6"/>
        <v>FALSE</v>
      </c>
      <c r="AA218" s="457" t="str">
        <f t="shared" ref="AA218:AB218" si="440">1-I218</f>
        <v>0%</v>
      </c>
      <c r="AB218" s="457" t="str">
        <f t="shared" si="440"/>
        <v>0%</v>
      </c>
      <c r="AC218" s="456" t="str">
        <f t="shared" si="8"/>
        <v>0</v>
      </c>
      <c r="AD218" s="458" t="str">
        <f t="shared" si="376"/>
        <v>0</v>
      </c>
      <c r="AE218" s="458" t="str">
        <f t="shared" si="10"/>
        <v>0</v>
      </c>
      <c r="AF218" s="459" t="str">
        <f t="shared" ref="AF218:AF224" si="443">(MIN(H218,2)+G218-U218)*100</f>
        <v>0</v>
      </c>
      <c r="AG218" s="460"/>
      <c r="AH218" s="587" t="s">
        <v>234</v>
      </c>
      <c r="AI218" s="499"/>
      <c r="AJ218" s="588"/>
      <c r="AK218" s="499"/>
      <c r="AL218" s="588"/>
      <c r="AM218" s="499"/>
      <c r="AN218" s="588"/>
      <c r="AO218" s="499"/>
      <c r="AP218" s="588"/>
      <c r="AQ218" s="499"/>
      <c r="AR218" s="588"/>
      <c r="AS218" s="499"/>
      <c r="AT218" s="588"/>
      <c r="AU218" s="499"/>
      <c r="AV218" s="588"/>
      <c r="AW218" s="499"/>
      <c r="AX218" s="588"/>
    </row>
    <row r="219">
      <c r="A219" s="442"/>
      <c r="B219" s="618">
        <v>2.0</v>
      </c>
      <c r="C219" s="619" t="s">
        <v>618</v>
      </c>
      <c r="D219" s="620" t="s">
        <v>22</v>
      </c>
      <c r="E219" s="621" t="s">
        <v>36</v>
      </c>
      <c r="F219" s="620" t="s">
        <v>69</v>
      </c>
      <c r="G219" s="622">
        <v>1.0</v>
      </c>
      <c r="H219" s="622">
        <v>0.0</v>
      </c>
      <c r="I219" s="623">
        <v>1.0</v>
      </c>
      <c r="J219" s="623">
        <v>1.0</v>
      </c>
      <c r="K219" s="621" t="s">
        <v>162</v>
      </c>
      <c r="L219" s="621"/>
      <c r="M219" s="621"/>
      <c r="N219" s="621"/>
      <c r="O219" s="624" t="s">
        <v>619</v>
      </c>
      <c r="P219" s="14"/>
      <c r="Q219" s="452" t="str">
        <f>MATCH($D219,Reference!$J$5:$J$9,0)</f>
        <v>4</v>
      </c>
      <c r="R219" s="452" t="str">
        <f>MATCH($E219,Reference!$J$26:$J$32,0)</f>
        <v>7</v>
      </c>
      <c r="S219" s="452" t="str">
        <f>MATCH($F219,Reference!$J$45:$J$54,0)</f>
        <v>5</v>
      </c>
      <c r="T219" s="453" t="str">
        <f>MATCH($K219,Reference!$J$37:$J$39,0)</f>
        <v>2</v>
      </c>
      <c r="U219" s="454" t="str">
        <f t="shared" si="373"/>
        <v>1</v>
      </c>
      <c r="V219" s="454" t="str">
        <f t="shared" si="3"/>
        <v>1</v>
      </c>
      <c r="W219" s="454" t="str">
        <f t="shared" si="441"/>
        <v>0</v>
      </c>
      <c r="X219" s="454" t="str">
        <f t="shared" si="374"/>
        <v>1</v>
      </c>
      <c r="Y219" s="456" t="str">
        <f t="shared" si="5"/>
        <v>FALSE</v>
      </c>
      <c r="Z219" s="456" t="str">
        <f t="shared" si="6"/>
        <v>FALSE</v>
      </c>
      <c r="AA219" s="457" t="str">
        <f t="shared" ref="AA219:AB219" si="442">1-I219</f>
        <v>0%</v>
      </c>
      <c r="AB219" s="457" t="str">
        <f t="shared" si="442"/>
        <v>0%</v>
      </c>
      <c r="AC219" s="456" t="str">
        <f t="shared" si="8"/>
        <v>1</v>
      </c>
      <c r="AD219" s="458" t="str">
        <f t="shared" si="376"/>
        <v>0</v>
      </c>
      <c r="AE219" s="458" t="str">
        <f t="shared" si="10"/>
        <v>1</v>
      </c>
      <c r="AF219" s="459" t="str">
        <f t="shared" si="443"/>
        <v>0</v>
      </c>
      <c r="AG219" s="460"/>
      <c r="AH219" s="643" t="s">
        <v>10</v>
      </c>
      <c r="AI219" s="534" t="str">
        <f t="shared" ref="AI219:AJ219" si="444">SUM(AM219+AK219+AO219+AQ219+AS219+AU219)</f>
        <v>86</v>
      </c>
      <c r="AJ219" s="535" t="str">
        <f t="shared" si="444"/>
        <v>86</v>
      </c>
      <c r="AK219" s="449" t="str">
        <f>sumifs($U$2:$U700, $E$2:$E700, "Basic", $F$2:F700, "Neutral")</f>
        <v>86</v>
      </c>
      <c r="AL219" s="535" t="str">
        <f>COUNTIFS($E$2:$E700, "Basic", $F$2:F700, "Neutral" )*2</f>
        <v>86</v>
      </c>
      <c r="AM219" s="449"/>
      <c r="AN219" s="537"/>
      <c r="AO219" s="449"/>
      <c r="AP219" s="537"/>
      <c r="AQ219" s="449"/>
      <c r="AR219" s="537"/>
      <c r="AS219" s="449"/>
      <c r="AT219" s="537"/>
      <c r="AU219" s="449"/>
      <c r="AV219" s="537"/>
      <c r="AW219" s="449"/>
      <c r="AX219" s="537"/>
    </row>
    <row r="220">
      <c r="A220" s="509"/>
      <c r="B220" s="618">
        <v>3.0</v>
      </c>
      <c r="C220" s="619" t="s">
        <v>620</v>
      </c>
      <c r="D220" s="620" t="s">
        <v>22</v>
      </c>
      <c r="E220" s="621" t="s">
        <v>36</v>
      </c>
      <c r="F220" s="620" t="s">
        <v>69</v>
      </c>
      <c r="G220" s="622">
        <v>1.0</v>
      </c>
      <c r="H220" s="622">
        <v>0.0</v>
      </c>
      <c r="I220" s="623">
        <v>1.0</v>
      </c>
      <c r="J220" s="623">
        <v>1.0</v>
      </c>
      <c r="K220" s="621" t="s">
        <v>188</v>
      </c>
      <c r="L220" s="621"/>
      <c r="M220" s="621">
        <v>3.0</v>
      </c>
      <c r="N220" s="621">
        <v>3.0</v>
      </c>
      <c r="O220" s="624" t="s">
        <v>621</v>
      </c>
      <c r="P220" s="14"/>
      <c r="Q220" s="452" t="str">
        <f>MATCH($D220,Reference!$J$5:$J$9,0)</f>
        <v>4</v>
      </c>
      <c r="R220" s="452" t="str">
        <f>MATCH($E220,Reference!$J$26:$J$32,0)</f>
        <v>7</v>
      </c>
      <c r="S220" s="452" t="str">
        <f>MATCH($F220,Reference!$J$45:$J$54,0)</f>
        <v>5</v>
      </c>
      <c r="T220" s="453" t="str">
        <f>MATCH($K220,Reference!$J$37:$J$39,0)</f>
        <v>3</v>
      </c>
      <c r="U220" s="454" t="str">
        <f t="shared" si="373"/>
        <v>1</v>
      </c>
      <c r="V220" s="454" t="str">
        <f t="shared" si="3"/>
        <v>1</v>
      </c>
      <c r="W220" s="454" t="str">
        <f t="shared" si="441"/>
        <v>0</v>
      </c>
      <c r="X220" s="454" t="str">
        <f t="shared" si="374"/>
        <v>1</v>
      </c>
      <c r="Y220" s="456" t="str">
        <f t="shared" si="5"/>
        <v>FALSE</v>
      </c>
      <c r="Z220" s="456" t="str">
        <f t="shared" si="6"/>
        <v>FALSE</v>
      </c>
      <c r="AA220" s="457" t="str">
        <f t="shared" ref="AA220:AB220" si="445">1-I220</f>
        <v>0%</v>
      </c>
      <c r="AB220" s="457" t="str">
        <f t="shared" si="445"/>
        <v>0%</v>
      </c>
      <c r="AC220" s="456" t="str">
        <f t="shared" si="8"/>
        <v>1</v>
      </c>
      <c r="AD220" s="458" t="str">
        <f t="shared" si="376"/>
        <v>0</v>
      </c>
      <c r="AE220" s="458" t="str">
        <f t="shared" si="10"/>
        <v>1</v>
      </c>
      <c r="AF220" s="459" t="str">
        <f t="shared" si="443"/>
        <v>0</v>
      </c>
      <c r="AG220" s="460"/>
      <c r="AH220" s="591" t="s">
        <v>15</v>
      </c>
      <c r="AI220" s="522" t="str">
        <f t="shared" ref="AI220:AJ220" si="446">SUM(AM220+AK220+AO220+AQ220+AS220+AU220)</f>
        <v>196</v>
      </c>
      <c r="AJ220" s="544" t="str">
        <f t="shared" si="446"/>
        <v>198</v>
      </c>
      <c r="AK220" s="499" t="str">
        <f>sumifs($U$2:$U700, $D$2:$D700, "Common", $E$2:$E700, "Classic", $F$2:F700, "Neutral")</f>
        <v>78</v>
      </c>
      <c r="AL220" s="544" t="str">
        <f>COUNTIFS($D$2:$D700, "Common", $E$2:$E700, "Classic", $F$2:F700, "Neutral" )*2</f>
        <v>80</v>
      </c>
      <c r="AM220" s="531" t="str">
        <f>sumifs($U$2:$U700, $D$2:$D700, "Common", $E$2:$E700, "Promo", $F$2:F700, "Neutral")</f>
        <v>0</v>
      </c>
      <c r="AN220" s="647" t="str">
        <f>COUNTIFS($D$2:$D700, "Common", $E$2:$E700, "Promo", $F$2:F700, "Neutral" )*2</f>
        <v>0</v>
      </c>
      <c r="AO220" s="499" t="str">
        <f>sumifs($U$2:$U700, $D$2:$D700, "Common", $E$2:$E700, "Naxx", $F$2:F700, "Neutral")</f>
        <v>18</v>
      </c>
      <c r="AP220" s="544" t="str">
        <f>COUNTIFS($D$2:$D700, "Common", $E$2:$E700, "Naxx", $F$2:F700, "Neutral" )*2</f>
        <v>18</v>
      </c>
      <c r="AQ220" s="499" t="str">
        <f>sumifs($U$2:$U700, $D$2:$D700, "Common", $E$2:$E700, "GvG", $F$2:F700, "Neutral")</f>
        <v>44</v>
      </c>
      <c r="AR220" s="544" t="str">
        <f>COUNTIFS($D$2:$D700, "Common", $E$2:$E700, "GvG", $F$2:F700, "Neutral" )*2</f>
        <v>44</v>
      </c>
      <c r="AS220" s="499" t="str">
        <f>sumifs($U$2:$U700, $D$2:$D700, "Common", $E$2:$E700, "Blackrock", $F$2:F700, "Neutral")</f>
        <v>12</v>
      </c>
      <c r="AT220" s="544" t="str">
        <f>COUNTIFS($D$2:$D700, "Common", $E$2:$E700, "Blackrock", $F$2:F700, "Neutral" )*2</f>
        <v>12</v>
      </c>
      <c r="AU220" s="499" t="str">
        <f>sumifs($U$2:$U700, $D$2:$D700, "Common", $E$2:$E700, "TGT", $F$2:F700, "Neutral")</f>
        <v>44</v>
      </c>
      <c r="AV220" s="544" t="str">
        <f>COUNTIFS($D$2:$D700, "Common", $E$2:$E700, "TGT", $F$2:F700, "Neutral" )*2</f>
        <v>44</v>
      </c>
      <c r="AW220" s="531">
        <v>0.0</v>
      </c>
      <c r="AX220" s="647">
        <v>0.0</v>
      </c>
    </row>
    <row r="221">
      <c r="A221" s="469"/>
      <c r="B221" s="634">
        <v>3.0</v>
      </c>
      <c r="C221" s="635" t="s">
        <v>622</v>
      </c>
      <c r="D221" s="636" t="s">
        <v>22</v>
      </c>
      <c r="E221" s="636" t="s">
        <v>33</v>
      </c>
      <c r="F221" s="637" t="s">
        <v>69</v>
      </c>
      <c r="G221" s="639">
        <v>1.0</v>
      </c>
      <c r="H221" s="638">
        <v>0.0</v>
      </c>
      <c r="I221" s="640">
        <v>1.0</v>
      </c>
      <c r="J221" s="640">
        <v>1.0</v>
      </c>
      <c r="K221" s="641" t="s">
        <v>162</v>
      </c>
      <c r="L221" s="641"/>
      <c r="M221" s="641"/>
      <c r="N221" s="641"/>
      <c r="O221" s="642" t="s">
        <v>623</v>
      </c>
      <c r="P221" s="14"/>
      <c r="Q221" s="452" t="str">
        <f>MATCH($D221,Reference!$J$5:$J$9,0)</f>
        <v>4</v>
      </c>
      <c r="R221" s="452" t="str">
        <f>MATCH($E221,Reference!$J$26:$J$32,0)</f>
        <v>2</v>
      </c>
      <c r="S221" s="452" t="str">
        <f>MATCH($F221,Reference!$J$45:$J$54,0)</f>
        <v>5</v>
      </c>
      <c r="T221" s="453" t="str">
        <f>MATCH($K221,Reference!$J$37:$J$39,0)</f>
        <v>2</v>
      </c>
      <c r="U221" s="454" t="str">
        <f t="shared" si="373"/>
        <v>1</v>
      </c>
      <c r="V221" s="454" t="str">
        <f t="shared" si="3"/>
        <v>1</v>
      </c>
      <c r="W221" s="454" t="str">
        <f t="shared" si="441"/>
        <v>0</v>
      </c>
      <c r="X221" s="454" t="str">
        <f t="shared" si="374"/>
        <v>1</v>
      </c>
      <c r="Y221" s="456" t="str">
        <f t="shared" si="5"/>
        <v>FALSE</v>
      </c>
      <c r="Z221" s="456" t="str">
        <f t="shared" si="6"/>
        <v>FALSE</v>
      </c>
      <c r="AA221" s="457" t="str">
        <f t="shared" ref="AA221:AB221" si="447">1-I221</f>
        <v>0%</v>
      </c>
      <c r="AB221" s="457" t="str">
        <f t="shared" si="447"/>
        <v>0%</v>
      </c>
      <c r="AC221" s="456" t="str">
        <f t="shared" si="8"/>
        <v>1</v>
      </c>
      <c r="AD221" s="458" t="str">
        <f t="shared" si="376"/>
        <v>0</v>
      </c>
      <c r="AE221" s="458" t="str">
        <f t="shared" si="10"/>
        <v>1</v>
      </c>
      <c r="AF221" s="459" t="str">
        <f t="shared" si="443"/>
        <v>0</v>
      </c>
      <c r="AG221" s="460"/>
      <c r="AH221" s="592" t="s">
        <v>21</v>
      </c>
      <c r="AI221" s="557" t="str">
        <f t="shared" ref="AI221:AJ221" si="448">SUM(AM221+AK221+AO221+AQ221+AS221+AU221)</f>
        <v>103</v>
      </c>
      <c r="AJ221" s="558" t="str">
        <f t="shared" si="448"/>
        <v>122</v>
      </c>
      <c r="AK221" s="554" t="str">
        <f>sumifs($U$2:$U700, $D$2:$D700, "Rare", $E$2:$E700, "Classic", $F$2:F700, "Neutral")</f>
        <v>60</v>
      </c>
      <c r="AL221" s="558" t="str">
        <f>COUNTIFS($D$2:$D700, "Rare", $E$2:$E700, "Classic", $F$2:F700, "Neutral" )*2</f>
        <v>72</v>
      </c>
      <c r="AM221" s="657" t="str">
        <f>sumifs($U$2:$U700, $D$2:$D700, "Rare", $E$2:$E700, "Promo", $F$2:F700, "Neutral")</f>
        <v>0</v>
      </c>
      <c r="AN221" s="658" t="str">
        <f>COUNTIFS($D$2:$D700, "Rare", $E$2:$E700, "Promo", $F$2:F700, "Neutral" )*2</f>
        <v>0</v>
      </c>
      <c r="AO221" s="554" t="str">
        <f>sumifs($U$2:$U700, $D$2:$D700, "Rare", $E$2:$E700, "Naxx", $F$2:F700, "Neutral")</f>
        <v>8</v>
      </c>
      <c r="AP221" s="558" t="str">
        <f>COUNTIFS($D$2:$D700, "Rare", $E$2:$E700, "Naxx", $F$2:F700, "Neutral" )*2</f>
        <v>8</v>
      </c>
      <c r="AQ221" s="554" t="str">
        <f>sumifs($U$2:$U700, $D$2:$D700, "Rare", $E$2:$E700, "GvG", $F$2:F700, "Neutral")</f>
        <v>13</v>
      </c>
      <c r="AR221" s="558" t="str">
        <f>COUNTIFS($D$2:$D700, "Rare", $E$2:$E700, "GvG", $F$2:F700, "Neutral" )*2</f>
        <v>20</v>
      </c>
      <c r="AS221" s="554" t="str">
        <f>sumifs($U$2:$U700, $D$2:$D700, "Rare", $E$2:$E700, "Blackrock", $F$2:F700, "Neutral")</f>
        <v>4</v>
      </c>
      <c r="AT221" s="558" t="str">
        <f>COUNTIFS($D$2:$D700, "Rare", $E$2:$E700, "Blackrock", $F$2:F700, "Neutral" )*2</f>
        <v>4</v>
      </c>
      <c r="AU221" s="554" t="str">
        <f>sumifs($U$2:$U700, $D$2:$D700, "Rare", $E$2:$E700, "TGT", $F$2:F700, "Neutral")</f>
        <v>18</v>
      </c>
      <c r="AV221" s="558" t="str">
        <f>COUNTIFS($D$2:$D700, "Rare", $E$2:$E700, "TGT", $F$2:F700, "Neutral" )*2</f>
        <v>18</v>
      </c>
      <c r="AW221" s="657">
        <v>0.0</v>
      </c>
      <c r="AX221" s="658">
        <v>0.0</v>
      </c>
    </row>
    <row r="222">
      <c r="A222" s="442"/>
      <c r="B222" s="634">
        <v>4.0</v>
      </c>
      <c r="C222" s="635" t="s">
        <v>624</v>
      </c>
      <c r="D222" s="636" t="s">
        <v>22</v>
      </c>
      <c r="E222" s="636" t="s">
        <v>33</v>
      </c>
      <c r="F222" s="637" t="s">
        <v>69</v>
      </c>
      <c r="G222" s="638">
        <v>2.0</v>
      </c>
      <c r="H222" s="638">
        <v>0.0</v>
      </c>
      <c r="I222" s="640">
        <v>1.0</v>
      </c>
      <c r="J222" s="640">
        <v>1.0</v>
      </c>
      <c r="K222" s="636" t="s">
        <v>162</v>
      </c>
      <c r="L222" s="636"/>
      <c r="M222" s="637"/>
      <c r="N222" s="638"/>
      <c r="O222" s="642" t="s">
        <v>625</v>
      </c>
      <c r="P222" s="14"/>
      <c r="Q222" s="452" t="str">
        <f>MATCH($D222,Reference!$J$5:$J$9,0)</f>
        <v>4</v>
      </c>
      <c r="R222" s="452" t="str">
        <f>MATCH($E222,Reference!$J$26:$J$32,0)</f>
        <v>2</v>
      </c>
      <c r="S222" s="452" t="str">
        <f>MATCH($F222,Reference!$J$45:$J$54,0)</f>
        <v>5</v>
      </c>
      <c r="T222" s="453" t="str">
        <f>MATCH($K222,Reference!$J$37:$J$39,0)</f>
        <v>2</v>
      </c>
      <c r="U222" s="454" t="str">
        <f t="shared" si="373"/>
        <v>2</v>
      </c>
      <c r="V222" s="454" t="str">
        <f t="shared" si="3"/>
        <v>1</v>
      </c>
      <c r="W222" s="454" t="str">
        <f t="shared" si="441"/>
        <v>0</v>
      </c>
      <c r="X222" s="454" t="str">
        <f t="shared" si="374"/>
        <v>2</v>
      </c>
      <c r="Y222" s="456" t="str">
        <f t="shared" si="5"/>
        <v>FALSE</v>
      </c>
      <c r="Z222" s="456" t="str">
        <f t="shared" si="6"/>
        <v>FALSE</v>
      </c>
      <c r="AA222" s="457" t="str">
        <f t="shared" ref="AA222:AB222" si="449">1-I222</f>
        <v>0%</v>
      </c>
      <c r="AB222" s="457" t="str">
        <f t="shared" si="449"/>
        <v>0%</v>
      </c>
      <c r="AC222" s="456" t="str">
        <f t="shared" si="8"/>
        <v>2</v>
      </c>
      <c r="AD222" s="458" t="str">
        <f t="shared" si="376"/>
        <v>0</v>
      </c>
      <c r="AE222" s="458" t="str">
        <f t="shared" si="10"/>
        <v>1</v>
      </c>
      <c r="AF222" s="459" t="str">
        <f t="shared" si="443"/>
        <v>0</v>
      </c>
      <c r="AG222" s="460"/>
      <c r="AH222" s="593" t="s">
        <v>22</v>
      </c>
      <c r="AI222" s="568" t="str">
        <f t="shared" ref="AI222:AJ222" si="450">SUM(AM222+AK222+AO222+AQ222+AS222+AU222)</f>
        <v>24</v>
      </c>
      <c r="AJ222" s="569" t="str">
        <f t="shared" si="450"/>
        <v>60</v>
      </c>
      <c r="AK222" s="641" t="str">
        <f>sumifs($U$2:$U700, $D$2:$D700, "Epic", $E$2:$E700, "Classic", $F$2:F700, "Neutral")</f>
        <v>9</v>
      </c>
      <c r="AL222" s="569" t="str">
        <f>COUNTIFS($D$2:$D700, "Epic", $E$2:$E700, "Classic", $F$2:F700, "Neutral" )*2</f>
        <v>20</v>
      </c>
      <c r="AM222" s="667" t="str">
        <f>sumifs($U$2:$U700, $D$2:$D700, "Epic", $E$2:$E700, "Promo", $F$2:F700, "Neutral")</f>
        <v>0</v>
      </c>
      <c r="AN222" s="668" t="str">
        <f>COUNTIFS($D$2:$D700, "Epic", $E$2:$E700, "Promo", $F$2:F700, "Neutral" )*2</f>
        <v>2</v>
      </c>
      <c r="AO222" s="641" t="str">
        <f>sumifs($U$2:$U700, $D$2:$D700, "Epic", $E$2:$E700, "Naxx", $F$2:F700, "Neutral")</f>
        <v>4</v>
      </c>
      <c r="AP222" s="569" t="str">
        <f>COUNTIFS($D$2:$D700, "Epic", $E$2:$E700, "Naxx", $F$2:F700, "Neutral" )*2</f>
        <v>4</v>
      </c>
      <c r="AQ222" s="641" t="str">
        <f>sumifs($U$2:$U700, $D$2:$D700, "Epic", $E$2:$E700, "GvG", $F$2:F700, "Neutral")</f>
        <v>4</v>
      </c>
      <c r="AR222" s="569" t="str">
        <f>COUNTIFS($D$2:$D700, "Epic", $E$2:$E700, "GvG", $F$2:F700, "Neutral" )*2</f>
        <v>16</v>
      </c>
      <c r="AS222" s="641" t="str">
        <f>sumifs($U$2:$U700, $D$2:$D700, "Epic", $E$2:$E700, "Blackrock", $F$2:F700, "Neutral")</f>
        <v>0</v>
      </c>
      <c r="AT222" s="569" t="str">
        <f>COUNTIFS($D$2:$D700, "Epic", $E$2:$E700, "Blackrock", $F$2:F700, "Neutral" )*2</f>
        <v>0</v>
      </c>
      <c r="AU222" s="641" t="str">
        <f>sumifs($U$2:$U700, $D$2:$D700, "Epic", $E$2:$E700, "TGT", $F$2:F700, "Neutral")</f>
        <v>7</v>
      </c>
      <c r="AV222" s="569" t="str">
        <f>COUNTIFS($D$2:$D700, "Epic", $E$2:$E700, "TGT", $F$2:F700, "Neutral" )*2</f>
        <v>18</v>
      </c>
      <c r="AW222" s="667">
        <v>0.0</v>
      </c>
      <c r="AX222" s="668">
        <v>0.0</v>
      </c>
    </row>
    <row r="223">
      <c r="A223" s="472"/>
      <c r="B223" s="634">
        <v>6.0</v>
      </c>
      <c r="C223" s="635" t="s">
        <v>626</v>
      </c>
      <c r="D223" s="636" t="s">
        <v>22</v>
      </c>
      <c r="E223" s="636" t="s">
        <v>33</v>
      </c>
      <c r="F223" s="637" t="s">
        <v>69</v>
      </c>
      <c r="G223" s="639">
        <v>2.0</v>
      </c>
      <c r="H223" s="638">
        <v>0.0</v>
      </c>
      <c r="I223" s="640">
        <v>1.0</v>
      </c>
      <c r="J223" s="640">
        <v>1.0</v>
      </c>
      <c r="K223" s="641" t="s">
        <v>188</v>
      </c>
      <c r="L223" s="641"/>
      <c r="M223" s="641">
        <v>4.0</v>
      </c>
      <c r="N223" s="641">
        <v>5.0</v>
      </c>
      <c r="O223" s="642" t="s">
        <v>627</v>
      </c>
      <c r="P223" s="14"/>
      <c r="Q223" s="452" t="str">
        <f>MATCH($D223,Reference!$J$5:$J$9,0)</f>
        <v>4</v>
      </c>
      <c r="R223" s="452" t="str">
        <f>MATCH($E223,Reference!$J$26:$J$32,0)</f>
        <v>2</v>
      </c>
      <c r="S223" s="452" t="str">
        <f>MATCH($F223,Reference!$J$45:$J$54,0)</f>
        <v>5</v>
      </c>
      <c r="T223" s="453" t="str">
        <f>MATCH($K223,Reference!$J$37:$J$39,0)</f>
        <v>3</v>
      </c>
      <c r="U223" s="454" t="str">
        <f t="shared" si="373"/>
        <v>2</v>
      </c>
      <c r="V223" s="454" t="str">
        <f t="shared" si="3"/>
        <v>1</v>
      </c>
      <c r="W223" s="454" t="str">
        <f t="shared" si="441"/>
        <v>0</v>
      </c>
      <c r="X223" s="454" t="str">
        <f t="shared" si="374"/>
        <v>2</v>
      </c>
      <c r="Y223" s="456" t="str">
        <f t="shared" si="5"/>
        <v>FALSE</v>
      </c>
      <c r="Z223" s="456" t="str">
        <f t="shared" si="6"/>
        <v>FALSE</v>
      </c>
      <c r="AA223" s="457" t="str">
        <f t="shared" ref="AA223:AB223" si="451">1-I223</f>
        <v>0%</v>
      </c>
      <c r="AB223" s="457" t="str">
        <f t="shared" si="451"/>
        <v>0%</v>
      </c>
      <c r="AC223" s="456" t="str">
        <f t="shared" si="8"/>
        <v>2</v>
      </c>
      <c r="AD223" s="458" t="str">
        <f t="shared" si="376"/>
        <v>0</v>
      </c>
      <c r="AE223" s="458" t="str">
        <f t="shared" si="10"/>
        <v>1</v>
      </c>
      <c r="AF223" s="459" t="str">
        <f t="shared" si="443"/>
        <v>0</v>
      </c>
      <c r="AG223" s="460"/>
      <c r="AH223" s="583" t="s">
        <v>23</v>
      </c>
      <c r="AI223" s="584" t="str">
        <f t="shared" ref="AI223:AJ223" si="452">SUM(AM223+AK223+AO223+AQ223+AS223+AU223)</f>
        <v>27</v>
      </c>
      <c r="AJ223" s="585" t="str">
        <f t="shared" si="452"/>
        <v>59</v>
      </c>
      <c r="AK223" s="677" t="str">
        <f>sumifs($U$2:$U700, $D$2:$D700, "Legendary", $E$2:$E700, "Classic", $F$2:F700, "Neutral")</f>
        <v>10</v>
      </c>
      <c r="AL223" s="678" t="str">
        <f>COUNTIFS($D$2:$D700, "Legendary", $E$2:$E700, "Classic", $F$2:F700, "Neutral" )</f>
        <v>24</v>
      </c>
      <c r="AM223" s="679" t="str">
        <f>sumifs($U$2:$U700, $D$2:$D700, "Legendary", $E$2:$E700, "Promo", $F$2:F700, "Neutral")</f>
        <v>0</v>
      </c>
      <c r="AN223" s="680" t="str">
        <f>COUNTIFS($D$2:$D700, "Legendary", $E$2:$E700, "Promo", $F$2:F700, "Neutral" )</f>
        <v>3</v>
      </c>
      <c r="AO223" s="677" t="str">
        <f>sumifs($U$2:$U700, $D$2:$D700, "Legendary", $E$2:$E700, "Naxx", $F$2:F700, "Neutral")</f>
        <v>6</v>
      </c>
      <c r="AP223" s="678" t="str">
        <f>COUNTIFS($D$2:$D700, "Legendary", $E$2:$E700, "Naxx", $F$2:F700, "Neutral" )</f>
        <v>6</v>
      </c>
      <c r="AQ223" s="677" t="str">
        <f>sumifs($U$2:$U700, $D$2:$D700, "Legendary", $E$2:$E700, "GvG", $F$2:F700, "Neutral")</f>
        <v>3</v>
      </c>
      <c r="AR223" s="678" t="str">
        <f>COUNTIFS($D$2:$D700, "Legendary", $E$2:$E700, "GvG", $F$2:F700, "Neutral" )</f>
        <v>11</v>
      </c>
      <c r="AS223" s="677" t="str">
        <f>sumifs($U$2:$U700, $D$2:$D700, "Legendary", $E$2:$E700, "Blackrock", $F$2:F700, "Neutral")</f>
        <v>5</v>
      </c>
      <c r="AT223" s="678" t="str">
        <f>COUNTIFS($D$2:$D700, "Legendary", $E$2:$E700, "Blackrock", $F$2:F700, "Neutral" )</f>
        <v>5</v>
      </c>
      <c r="AU223" s="677" t="str">
        <f>sumifs($U$2:$U700, $D$2:$D700, "Legendary", $E$2:$E700, "TGT", $F$2:F700, "Neutral")</f>
        <v>3</v>
      </c>
      <c r="AV223" s="678" t="str">
        <f>COUNTIFS($D$2:$D700, "Legendary", $E$2:$E700, "TGT", $F$2:F700, "Neutral" )</f>
        <v>10</v>
      </c>
      <c r="AW223" s="679">
        <v>0.0</v>
      </c>
      <c r="AX223" s="680">
        <v>0.0</v>
      </c>
    </row>
    <row r="224">
      <c r="A224" s="442"/>
      <c r="B224" s="625">
        <v>6.0</v>
      </c>
      <c r="C224" s="646" t="s">
        <v>628</v>
      </c>
      <c r="D224" s="627" t="s">
        <v>22</v>
      </c>
      <c r="E224" s="627" t="s">
        <v>35</v>
      </c>
      <c r="F224" s="628" t="s">
        <v>69</v>
      </c>
      <c r="G224" s="630">
        <v>1.0</v>
      </c>
      <c r="H224" s="630">
        <v>0.0</v>
      </c>
      <c r="I224" s="631">
        <v>1.0</v>
      </c>
      <c r="J224" s="712">
        <v>1.66</v>
      </c>
      <c r="K224" s="632" t="s">
        <v>162</v>
      </c>
      <c r="L224" s="632"/>
      <c r="M224" s="632"/>
      <c r="N224" s="632"/>
      <c r="O224" s="633" t="s">
        <v>629</v>
      </c>
      <c r="P224" s="14"/>
      <c r="Q224" s="452" t="str">
        <f>MATCH($D224,Reference!$J$5:$J$9,0)</f>
        <v>4</v>
      </c>
      <c r="R224" s="452" t="str">
        <f>MATCH($E224,Reference!$J$26:$J$32,0)</f>
        <v>5</v>
      </c>
      <c r="S224" s="452" t="str">
        <f>MATCH($F224,Reference!$J$45:$J$54,0)</f>
        <v>5</v>
      </c>
      <c r="T224" s="453" t="str">
        <f>MATCH($K224,Reference!$J$37:$J$39,0)</f>
        <v>2</v>
      </c>
      <c r="U224" s="454" t="str">
        <f t="shared" si="373"/>
        <v>1</v>
      </c>
      <c r="V224" s="454" t="str">
        <f t="shared" si="3"/>
        <v>1</v>
      </c>
      <c r="W224" s="454" t="str">
        <f t="shared" si="441"/>
        <v>0</v>
      </c>
      <c r="X224" s="454" t="str">
        <f t="shared" si="374"/>
        <v>1</v>
      </c>
      <c r="Y224" s="456" t="str">
        <f t="shared" si="5"/>
        <v>FALSE</v>
      </c>
      <c r="Z224" s="456" t="str">
        <f t="shared" si="6"/>
        <v>FALSE</v>
      </c>
      <c r="AA224" s="457" t="str">
        <f t="shared" ref="AA224:AB224" si="453">1-I224</f>
        <v>0%</v>
      </c>
      <c r="AB224" s="457" t="str">
        <f t="shared" si="453"/>
        <v>-66%</v>
      </c>
      <c r="AC224" s="456" t="str">
        <f t="shared" si="8"/>
        <v>1</v>
      </c>
      <c r="AD224" s="458" t="str">
        <f t="shared" si="376"/>
        <v>0</v>
      </c>
      <c r="AE224" s="458" t="str">
        <f t="shared" si="10"/>
        <v>1</v>
      </c>
      <c r="AF224" s="459" t="str">
        <f t="shared" si="443"/>
        <v>0</v>
      </c>
      <c r="AG224" s="460"/>
      <c r="AH224" s="601" t="s">
        <v>24</v>
      </c>
      <c r="AI224" s="602"/>
      <c r="AJ224" s="603"/>
      <c r="AK224" s="602"/>
      <c r="AL224" s="603"/>
      <c r="AM224" s="602"/>
      <c r="AN224" s="603"/>
      <c r="AO224" s="602"/>
      <c r="AP224" s="603"/>
      <c r="AQ224" s="602"/>
      <c r="AR224" s="603"/>
      <c r="AS224" s="602"/>
      <c r="AT224" s="603"/>
      <c r="AU224" s="602"/>
      <c r="AV224" s="603"/>
      <c r="AW224" s="602"/>
      <c r="AX224" s="603"/>
    </row>
    <row r="225">
      <c r="A225" s="442"/>
      <c r="B225" s="648">
        <v>5.0</v>
      </c>
      <c r="C225" s="649" t="s">
        <v>630</v>
      </c>
      <c r="D225" s="650" t="s">
        <v>23</v>
      </c>
      <c r="E225" s="650" t="s">
        <v>35</v>
      </c>
      <c r="F225" s="651" t="s">
        <v>69</v>
      </c>
      <c r="G225" s="652">
        <v>1.0</v>
      </c>
      <c r="H225" s="653">
        <v>0.0</v>
      </c>
      <c r="I225" s="654">
        <v>1.0</v>
      </c>
      <c r="J225" s="654"/>
      <c r="K225" s="703" t="s">
        <v>188</v>
      </c>
      <c r="L225" s="703"/>
      <c r="M225" s="703">
        <v>6.0</v>
      </c>
      <c r="N225" s="703">
        <v>2.0</v>
      </c>
      <c r="O225" s="655" t="s">
        <v>631</v>
      </c>
      <c r="P225" s="14"/>
      <c r="Q225" s="452" t="str">
        <f>MATCH($D225,Reference!$J$5:$J$9,0)</f>
        <v>5</v>
      </c>
      <c r="R225" s="452" t="str">
        <f>MATCH($E225,Reference!$J$26:$J$32,0)</f>
        <v>5</v>
      </c>
      <c r="S225" s="452" t="str">
        <f>MATCH($F225,Reference!$J$45:$J$54,0)</f>
        <v>5</v>
      </c>
      <c r="T225" s="453" t="str">
        <f>MATCH($K225,Reference!$J$37:$J$39,0)</f>
        <v>3</v>
      </c>
      <c r="U225" s="454" t="str">
        <f t="shared" ref="U225:U227" si="457">MIN((G225+H225),1)</f>
        <v>1</v>
      </c>
      <c r="V225" s="454" t="str">
        <f t="shared" si="3"/>
        <v>1</v>
      </c>
      <c r="W225" s="454" t="str">
        <f t="shared" ref="W225:W227" si="458">(MIN(G225,2)+H225-U225)*1600</f>
        <v>0</v>
      </c>
      <c r="X225" s="454" t="str">
        <f t="shared" ref="X225:X227" si="459">MIN((G225+H225+1),2)</f>
        <v>2</v>
      </c>
      <c r="Y225" s="456" t="str">
        <f t="shared" si="5"/>
        <v>FALSE</v>
      </c>
      <c r="Z225" s="456" t="str">
        <f t="shared" si="6"/>
        <v>TRUE</v>
      </c>
      <c r="AA225" s="457" t="str">
        <f t="shared" ref="AA225:AB225" si="454">1-I225</f>
        <v>0%</v>
      </c>
      <c r="AB225" s="457" t="str">
        <f t="shared" si="454"/>
        <v>100%</v>
      </c>
      <c r="AC225" s="456" t="str">
        <f t="shared" si="8"/>
        <v>2</v>
      </c>
      <c r="AD225" s="458" t="str">
        <f t="shared" ref="AD225:AD227" si="461">MIN((H225),1)</f>
        <v>0</v>
      </c>
      <c r="AE225" s="458" t="str">
        <f t="shared" si="10"/>
        <v>1</v>
      </c>
      <c r="AF225" s="459" t="str">
        <f t="shared" ref="AF225:AF227" si="462">(MIN(H225,2)+G225-U225)*400</f>
        <v>0</v>
      </c>
      <c r="AG225" s="460"/>
      <c r="AH225" s="604" t="s">
        <v>221</v>
      </c>
      <c r="AI225" s="605" t="str">
        <f t="shared" ref="AI225:AN225" si="455">SUM(AI213:AI217)</f>
        <v>238</v>
      </c>
      <c r="AJ225" s="606" t="str">
        <f t="shared" si="455"/>
        <v>292</v>
      </c>
      <c r="AK225" s="605" t="str">
        <f t="shared" si="455"/>
        <v>129</v>
      </c>
      <c r="AL225" s="606" t="str">
        <f t="shared" si="455"/>
        <v>153</v>
      </c>
      <c r="AM225" s="605" t="str">
        <f t="shared" si="455"/>
        <v>0</v>
      </c>
      <c r="AN225" s="606" t="str">
        <f t="shared" si="455"/>
        <v>4</v>
      </c>
      <c r="AO225" s="605" t="str">
        <f>sum(AO213:AO217)</f>
        <v>21</v>
      </c>
      <c r="AP225" s="606" t="str">
        <f>SUM(AP213:AP217)</f>
        <v>21</v>
      </c>
      <c r="AQ225" s="605" t="str">
        <f>sum(AQ213:AQ217)</f>
        <v>36</v>
      </c>
      <c r="AR225" s="606" t="str">
        <f>SUM(AR213:AR217)</f>
        <v>51</v>
      </c>
      <c r="AS225" s="605" t="str">
        <f t="shared" ref="AS225:AX225" si="456">sum(AS213:AS217)</f>
        <v>13</v>
      </c>
      <c r="AT225" s="606" t="str">
        <f t="shared" si="456"/>
        <v>13</v>
      </c>
      <c r="AU225" s="605" t="str">
        <f t="shared" si="456"/>
        <v>39</v>
      </c>
      <c r="AV225" s="606" t="str">
        <f t="shared" si="456"/>
        <v>50</v>
      </c>
      <c r="AW225" s="605" t="str">
        <f t="shared" si="456"/>
        <v>0</v>
      </c>
      <c r="AX225" s="606" t="str">
        <f t="shared" si="456"/>
        <v>0</v>
      </c>
    </row>
    <row r="226">
      <c r="A226" s="509"/>
      <c r="B226" s="659">
        <v>7.0</v>
      </c>
      <c r="C226" s="660" t="s">
        <v>632</v>
      </c>
      <c r="D226" s="661" t="s">
        <v>23</v>
      </c>
      <c r="E226" s="662" t="s">
        <v>36</v>
      </c>
      <c r="F226" s="661" t="s">
        <v>69</v>
      </c>
      <c r="G226" s="663">
        <v>1.0</v>
      </c>
      <c r="H226" s="663">
        <v>0.0</v>
      </c>
      <c r="I226" s="664">
        <v>1.0</v>
      </c>
      <c r="J226" s="664">
        <v>1.0</v>
      </c>
      <c r="K226" s="662" t="s">
        <v>188</v>
      </c>
      <c r="L226" s="662"/>
      <c r="M226" s="662">
        <v>5.0</v>
      </c>
      <c r="N226" s="662">
        <v>4.0</v>
      </c>
      <c r="O226" s="665" t="s">
        <v>633</v>
      </c>
      <c r="P226" s="14"/>
      <c r="Q226" s="452" t="str">
        <f>MATCH($D226,Reference!$J$5:$J$9,0)</f>
        <v>5</v>
      </c>
      <c r="R226" s="452" t="str">
        <f>MATCH($E226,Reference!$J$26:$J$32,0)</f>
        <v>7</v>
      </c>
      <c r="S226" s="452" t="str">
        <f>MATCH($F226,Reference!$J$45:$J$54,0)</f>
        <v>5</v>
      </c>
      <c r="T226" s="453" t="str">
        <f>MATCH($K226,Reference!$J$37:$J$39,0)</f>
        <v>3</v>
      </c>
      <c r="U226" s="454" t="str">
        <f t="shared" si="457"/>
        <v>1</v>
      </c>
      <c r="V226" s="454" t="str">
        <f t="shared" si="3"/>
        <v>1</v>
      </c>
      <c r="W226" s="454" t="str">
        <f t="shared" si="458"/>
        <v>0</v>
      </c>
      <c r="X226" s="454" t="str">
        <f t="shared" si="459"/>
        <v>2</v>
      </c>
      <c r="Y226" s="456" t="str">
        <f t="shared" si="5"/>
        <v>FALSE</v>
      </c>
      <c r="Z226" s="456" t="str">
        <f t="shared" si="6"/>
        <v>TRUE</v>
      </c>
      <c r="AA226" s="457" t="str">
        <f t="shared" ref="AA226:AB226" si="460">1-I226</f>
        <v>0%</v>
      </c>
      <c r="AB226" s="457" t="str">
        <f t="shared" si="460"/>
        <v>0%</v>
      </c>
      <c r="AC226" s="456" t="str">
        <f t="shared" si="8"/>
        <v>1</v>
      </c>
      <c r="AD226" s="458" t="str">
        <f t="shared" si="461"/>
        <v>0</v>
      </c>
      <c r="AE226" s="458" t="str">
        <f t="shared" si="10"/>
        <v>1</v>
      </c>
      <c r="AF226" s="459" t="str">
        <f t="shared" si="462"/>
        <v>0</v>
      </c>
      <c r="AG226" s="460"/>
      <c r="AH226" s="615" t="s">
        <v>234</v>
      </c>
      <c r="AI226" s="616" t="str">
        <f t="shared" ref="AI226:AJ226" si="463">SUM(AI219:AI223)</f>
        <v>436</v>
      </c>
      <c r="AJ226" s="617" t="str">
        <f t="shared" si="463"/>
        <v>525</v>
      </c>
      <c r="AK226" s="616" t="str">
        <f>sum(AK219:AK223)</f>
        <v>243</v>
      </c>
      <c r="AL226" s="617" t="str">
        <f>SUM(AL219:AL223)</f>
        <v>282</v>
      </c>
      <c r="AM226" s="616" t="str">
        <f>sum(AM219:AM223)</f>
        <v>0</v>
      </c>
      <c r="AN226" s="617" t="str">
        <f>SUM(AN219:AN223)</f>
        <v>5</v>
      </c>
      <c r="AO226" s="616" t="str">
        <f>sum(AO219:AO223)</f>
        <v>36</v>
      </c>
      <c r="AP226" s="617" t="str">
        <f>SUM(AP219:AP223)</f>
        <v>36</v>
      </c>
      <c r="AQ226" s="616" t="str">
        <f>sum(AQ220:AQ223)</f>
        <v>64</v>
      </c>
      <c r="AR226" s="617" t="str">
        <f>SUM(AR219:AR223)</f>
        <v>91</v>
      </c>
      <c r="AS226" s="616" t="str">
        <f t="shared" ref="AS226:AX226" si="464">sum(AS219:AS223)</f>
        <v>21</v>
      </c>
      <c r="AT226" s="617" t="str">
        <f t="shared" si="464"/>
        <v>21</v>
      </c>
      <c r="AU226" s="616" t="str">
        <f t="shared" si="464"/>
        <v>72</v>
      </c>
      <c r="AV226" s="617" t="str">
        <f t="shared" si="464"/>
        <v>90</v>
      </c>
      <c r="AW226" s="616" t="str">
        <f t="shared" si="464"/>
        <v>0</v>
      </c>
      <c r="AX226" s="617" t="str">
        <f t="shared" si="464"/>
        <v>0</v>
      </c>
    </row>
    <row r="227">
      <c r="A227" s="442"/>
      <c r="B227" s="669">
        <v>7.0</v>
      </c>
      <c r="C227" s="670" t="s">
        <v>634</v>
      </c>
      <c r="D227" s="671" t="s">
        <v>23</v>
      </c>
      <c r="E227" s="671" t="s">
        <v>33</v>
      </c>
      <c r="F227" s="672" t="s">
        <v>69</v>
      </c>
      <c r="G227" s="707">
        <v>0.0</v>
      </c>
      <c r="H227" s="673">
        <v>0.0</v>
      </c>
      <c r="I227" s="674">
        <v>1.0</v>
      </c>
      <c r="J227" s="674"/>
      <c r="K227" s="675" t="s">
        <v>188</v>
      </c>
      <c r="L227" s="675"/>
      <c r="M227" s="675">
        <v>7.0</v>
      </c>
      <c r="N227" s="675">
        <v>7.0</v>
      </c>
      <c r="O227" s="676" t="s">
        <v>635</v>
      </c>
      <c r="P227" s="14"/>
      <c r="Q227" s="452" t="str">
        <f>MATCH($D227,Reference!$J$5:$J$9,0)</f>
        <v>5</v>
      </c>
      <c r="R227" s="452" t="str">
        <f>MATCH($E227,Reference!$J$26:$J$32,0)</f>
        <v>2</v>
      </c>
      <c r="S227" s="452" t="str">
        <f>MATCH($F227,Reference!$J$45:$J$54,0)</f>
        <v>5</v>
      </c>
      <c r="T227" s="453" t="str">
        <f>MATCH($K227,Reference!$J$37:$J$39,0)</f>
        <v>3</v>
      </c>
      <c r="U227" s="454" t="str">
        <f t="shared" si="457"/>
        <v>0</v>
      </c>
      <c r="V227" s="454" t="str">
        <f t="shared" si="3"/>
        <v>0</v>
      </c>
      <c r="W227" s="454" t="str">
        <f t="shared" si="458"/>
        <v>0</v>
      </c>
      <c r="X227" s="454" t="str">
        <f t="shared" si="459"/>
        <v>1</v>
      </c>
      <c r="Y227" s="456" t="str">
        <f t="shared" si="5"/>
        <v>TRUE</v>
      </c>
      <c r="Z227" s="456" t="str">
        <f t="shared" si="6"/>
        <v>TRUE</v>
      </c>
      <c r="AA227" s="457" t="str">
        <f t="shared" ref="AA227:AB227" si="465">1-I227</f>
        <v>0%</v>
      </c>
      <c r="AB227" s="457" t="str">
        <f t="shared" si="465"/>
        <v>100%</v>
      </c>
      <c r="AC227" s="456" t="str">
        <f t="shared" si="8"/>
        <v>1</v>
      </c>
      <c r="AD227" s="458" t="str">
        <f t="shared" si="461"/>
        <v>0</v>
      </c>
      <c r="AE227" s="458" t="str">
        <f t="shared" si="10"/>
        <v>0</v>
      </c>
      <c r="AF227" s="459" t="str">
        <f t="shared" si="462"/>
        <v>0</v>
      </c>
      <c r="AG227" s="460"/>
    </row>
    <row r="228">
      <c r="A228" s="466"/>
      <c r="B228" s="443">
        <v>0.0</v>
      </c>
      <c r="C228" s="444" t="s">
        <v>636</v>
      </c>
      <c r="D228" s="445" t="s">
        <v>10</v>
      </c>
      <c r="E228" s="445" t="s">
        <v>10</v>
      </c>
      <c r="F228" s="445" t="s">
        <v>70</v>
      </c>
      <c r="G228" s="446" t="str">
        <f>COUNTIFS(Reference!F:F,C228,Reference!G:G,"&lt;="&amp;VLOOKUP($F228,Summary!$N$25:$O$33,2,0))</f>
        <v>2</v>
      </c>
      <c r="H228" s="447">
        <v>0.0</v>
      </c>
      <c r="I228" s="448">
        <v>1.0</v>
      </c>
      <c r="J228" s="448">
        <v>1.0</v>
      </c>
      <c r="K228" s="449" t="s">
        <v>162</v>
      </c>
      <c r="L228" s="449"/>
      <c r="M228" s="449"/>
      <c r="N228" s="449"/>
      <c r="O228" s="450" t="s">
        <v>637</v>
      </c>
      <c r="P228" s="14"/>
      <c r="Q228" s="452" t="str">
        <f>MATCH($D228,Reference!$J$5:$J$9,0)</f>
        <v>1</v>
      </c>
      <c r="R228" s="452" t="str">
        <f>MATCH($E228,Reference!$J$26:$J$32,0)</f>
        <v>1</v>
      </c>
      <c r="S228" s="452" t="str">
        <f>MATCH($F228,Reference!$J$45:$J$54,0)</f>
        <v>6</v>
      </c>
      <c r="T228" s="453" t="str">
        <f>MATCH($K228,Reference!$J$37:$J$39,0)</f>
        <v>2</v>
      </c>
      <c r="U228" s="454" t="str">
        <f t="shared" ref="U228:U269" si="467">MIN((G228+H228),2)</f>
        <v>2</v>
      </c>
      <c r="V228" s="454" t="str">
        <f t="shared" si="3"/>
        <v>1</v>
      </c>
      <c r="W228" s="455">
        <v>0.0</v>
      </c>
      <c r="X228" s="454" t="str">
        <f t="shared" ref="X228:X269" si="468">MIN((G228+H228),2)</f>
        <v>2</v>
      </c>
      <c r="Y228" s="456" t="str">
        <f t="shared" si="5"/>
        <v>FALSE</v>
      </c>
      <c r="Z228" s="456" t="str">
        <f t="shared" si="6"/>
        <v>FALSE</v>
      </c>
      <c r="AA228" s="457" t="str">
        <f t="shared" ref="AA228:AB228" si="466">1-I228</f>
        <v>0%</v>
      </c>
      <c r="AB228" s="457" t="str">
        <f t="shared" si="466"/>
        <v>0%</v>
      </c>
      <c r="AC228" s="456" t="str">
        <f t="shared" si="8"/>
        <v>2</v>
      </c>
      <c r="AD228" s="458" t="str">
        <f t="shared" ref="AD228:AD269" si="470">MIN((H228),2)</f>
        <v>0</v>
      </c>
      <c r="AE228" s="458" t="str">
        <f t="shared" si="10"/>
        <v>1</v>
      </c>
      <c r="AF228" s="459" t="str">
        <f t="shared" ref="AF228:AF237" si="471">(MIN(H228,2)+G228-U228)*0</f>
        <v>0</v>
      </c>
      <c r="AG228" s="460"/>
      <c r="AQ228" s="713"/>
      <c r="AR228" s="713"/>
      <c r="AS228" s="713"/>
      <c r="AT228" s="713"/>
      <c r="AU228" s="713"/>
      <c r="AV228" s="713"/>
    </row>
    <row r="229">
      <c r="A229" s="509"/>
      <c r="B229" s="443">
        <v>1.0</v>
      </c>
      <c r="C229" s="444" t="s">
        <v>638</v>
      </c>
      <c r="D229" s="445" t="s">
        <v>10</v>
      </c>
      <c r="E229" s="445" t="s">
        <v>10</v>
      </c>
      <c r="F229" s="445" t="s">
        <v>70</v>
      </c>
      <c r="G229" s="446" t="str">
        <f>COUNTIFS(Reference!F:F,C229,Reference!G:G,"&lt;="&amp;VLOOKUP($F229,Summary!$N$25:$O$33,2,0))</f>
        <v>2</v>
      </c>
      <c r="H229" s="447">
        <v>0.0</v>
      </c>
      <c r="I229" s="448">
        <v>1.0</v>
      </c>
      <c r="J229" s="448">
        <v>1.0</v>
      </c>
      <c r="K229" s="449" t="s">
        <v>162</v>
      </c>
      <c r="L229" s="449"/>
      <c r="M229" s="449"/>
      <c r="N229" s="449"/>
      <c r="O229" s="450" t="s">
        <v>639</v>
      </c>
      <c r="P229" s="14"/>
      <c r="Q229" s="452" t="str">
        <f>MATCH($D229,Reference!$J$5:$J$9,0)</f>
        <v>1</v>
      </c>
      <c r="R229" s="452" t="str">
        <f>MATCH($E229,Reference!$J$26:$J$32,0)</f>
        <v>1</v>
      </c>
      <c r="S229" s="452" t="str">
        <f>MATCH($F229,Reference!$J$45:$J$54,0)</f>
        <v>6</v>
      </c>
      <c r="T229" s="453" t="str">
        <f>MATCH($K229,Reference!$J$37:$J$39,0)</f>
        <v>2</v>
      </c>
      <c r="U229" s="454" t="str">
        <f t="shared" si="467"/>
        <v>2</v>
      </c>
      <c r="V229" s="454" t="str">
        <f t="shared" si="3"/>
        <v>1</v>
      </c>
      <c r="W229" s="455">
        <v>0.0</v>
      </c>
      <c r="X229" s="454" t="str">
        <f t="shared" si="468"/>
        <v>2</v>
      </c>
      <c r="Y229" s="456" t="str">
        <f t="shared" si="5"/>
        <v>FALSE</v>
      </c>
      <c r="Z229" s="456" t="str">
        <f t="shared" si="6"/>
        <v>FALSE</v>
      </c>
      <c r="AA229" s="457" t="str">
        <f t="shared" ref="AA229:AB229" si="469">1-I229</f>
        <v>0%</v>
      </c>
      <c r="AB229" s="457" t="str">
        <f t="shared" si="469"/>
        <v>0%</v>
      </c>
      <c r="AC229" s="456" t="str">
        <f t="shared" si="8"/>
        <v>2</v>
      </c>
      <c r="AD229" s="458" t="str">
        <f t="shared" si="470"/>
        <v>0</v>
      </c>
      <c r="AE229" s="458" t="str">
        <f t="shared" si="10"/>
        <v>1</v>
      </c>
      <c r="AF229" s="459" t="str">
        <f t="shared" si="471"/>
        <v>0</v>
      </c>
      <c r="AG229" s="460"/>
      <c r="AH229" s="521" t="s">
        <v>640</v>
      </c>
      <c r="AI229" s="106"/>
      <c r="AJ229" s="106"/>
      <c r="AK229" s="106"/>
      <c r="AL229" s="106"/>
      <c r="AM229" s="106"/>
      <c r="AN229" s="106"/>
      <c r="AO229" s="106"/>
      <c r="AP229" s="107"/>
      <c r="AQ229" s="714"/>
      <c r="AS229" s="465"/>
      <c r="AU229" s="465"/>
    </row>
    <row r="230">
      <c r="A230" s="463"/>
      <c r="B230" s="467">
        <v>1.0</v>
      </c>
      <c r="C230" s="468" t="s">
        <v>641</v>
      </c>
      <c r="D230" s="445" t="s">
        <v>10</v>
      </c>
      <c r="E230" s="445" t="s">
        <v>10</v>
      </c>
      <c r="F230" s="445" t="s">
        <v>70</v>
      </c>
      <c r="G230" s="446" t="str">
        <f>COUNTIFS(Reference!F:F,C230,Reference!G:G,"&lt;="&amp;VLOOKUP($F230,Summary!$N$25:$O$33,2,0))</f>
        <v>2</v>
      </c>
      <c r="H230" s="447">
        <v>2.0</v>
      </c>
      <c r="I230" s="448">
        <v>1.0</v>
      </c>
      <c r="J230" s="448">
        <v>1.0</v>
      </c>
      <c r="K230" s="449" t="s">
        <v>162</v>
      </c>
      <c r="L230" s="449"/>
      <c r="M230" s="449"/>
      <c r="N230" s="449"/>
      <c r="O230" s="450" t="s">
        <v>642</v>
      </c>
      <c r="P230" s="14"/>
      <c r="Q230" s="452" t="str">
        <f>MATCH($D230,Reference!$J$5:$J$9,0)</f>
        <v>1</v>
      </c>
      <c r="R230" s="452" t="str">
        <f>MATCH($E230,Reference!$J$26:$J$32,0)</f>
        <v>1</v>
      </c>
      <c r="S230" s="452" t="str">
        <f>MATCH($F230,Reference!$J$45:$J$54,0)</f>
        <v>6</v>
      </c>
      <c r="T230" s="453" t="str">
        <f>MATCH($K230,Reference!$J$37:$J$39,0)</f>
        <v>2</v>
      </c>
      <c r="U230" s="454" t="str">
        <f t="shared" si="467"/>
        <v>2</v>
      </c>
      <c r="V230" s="454" t="str">
        <f t="shared" si="3"/>
        <v>1</v>
      </c>
      <c r="W230" s="455">
        <v>0.0</v>
      </c>
      <c r="X230" s="454" t="str">
        <f t="shared" si="468"/>
        <v>2</v>
      </c>
      <c r="Y230" s="456" t="str">
        <f t="shared" si="5"/>
        <v>FALSE</v>
      </c>
      <c r="Z230" s="456" t="str">
        <f t="shared" si="6"/>
        <v>FALSE</v>
      </c>
      <c r="AA230" s="457" t="str">
        <f t="shared" ref="AA230:AB230" si="472">1-I230</f>
        <v>0%</v>
      </c>
      <c r="AB230" s="457" t="str">
        <f t="shared" si="472"/>
        <v>0%</v>
      </c>
      <c r="AC230" s="456" t="str">
        <f t="shared" si="8"/>
        <v>2</v>
      </c>
      <c r="AD230" s="458" t="str">
        <f t="shared" si="470"/>
        <v>2</v>
      </c>
      <c r="AE230" s="458" t="str">
        <f t="shared" si="10"/>
        <v>1</v>
      </c>
      <c r="AF230" s="459" t="str">
        <f t="shared" si="471"/>
        <v>0</v>
      </c>
      <c r="AG230" s="460"/>
      <c r="AH230" s="715" t="s">
        <v>643</v>
      </c>
      <c r="AI230" s="524" t="s">
        <v>24</v>
      </c>
      <c r="AJ230" s="106"/>
      <c r="AK230" s="716" t="s">
        <v>33</v>
      </c>
      <c r="AL230" s="106"/>
      <c r="AM230" s="716" t="s">
        <v>35</v>
      </c>
      <c r="AN230" s="106"/>
      <c r="AO230" s="716" t="s">
        <v>36</v>
      </c>
      <c r="AP230" s="107"/>
    </row>
    <row r="231">
      <c r="A231" s="469"/>
      <c r="B231" s="443">
        <v>2.0</v>
      </c>
      <c r="C231" s="444" t="s">
        <v>644</v>
      </c>
      <c r="D231" s="445" t="s">
        <v>10</v>
      </c>
      <c r="E231" s="445" t="s">
        <v>10</v>
      </c>
      <c r="F231" s="445" t="s">
        <v>70</v>
      </c>
      <c r="G231" s="446" t="str">
        <f>COUNTIFS(Reference!F:F,C231,Reference!G:G,"&lt;="&amp;VLOOKUP($F231,Summary!$N$25:$O$33,2,0))</f>
        <v>2</v>
      </c>
      <c r="H231" s="447">
        <v>0.0</v>
      </c>
      <c r="I231" s="448">
        <v>1.0</v>
      </c>
      <c r="J231" s="448">
        <v>1.0</v>
      </c>
      <c r="K231" s="449" t="s">
        <v>162</v>
      </c>
      <c r="L231" s="449"/>
      <c r="M231" s="449"/>
      <c r="N231" s="449"/>
      <c r="O231" s="450" t="s">
        <v>645</v>
      </c>
      <c r="P231" s="14"/>
      <c r="Q231" s="452" t="str">
        <f>MATCH($D231,Reference!$J$5:$J$9,0)</f>
        <v>1</v>
      </c>
      <c r="R231" s="452" t="str">
        <f>MATCH($E231,Reference!$J$26:$J$32,0)</f>
        <v>1</v>
      </c>
      <c r="S231" s="452" t="str">
        <f>MATCH($F231,Reference!$J$45:$J$54,0)</f>
        <v>6</v>
      </c>
      <c r="T231" s="453" t="str">
        <f>MATCH($K231,Reference!$J$37:$J$39,0)</f>
        <v>2</v>
      </c>
      <c r="U231" s="454" t="str">
        <f t="shared" si="467"/>
        <v>2</v>
      </c>
      <c r="V231" s="454" t="str">
        <f t="shared" si="3"/>
        <v>1</v>
      </c>
      <c r="W231" s="455">
        <v>0.0</v>
      </c>
      <c r="X231" s="454" t="str">
        <f t="shared" si="468"/>
        <v>2</v>
      </c>
      <c r="Y231" s="456" t="str">
        <f t="shared" si="5"/>
        <v>FALSE</v>
      </c>
      <c r="Z231" s="456" t="str">
        <f t="shared" si="6"/>
        <v>FALSE</v>
      </c>
      <c r="AA231" s="457" t="str">
        <f t="shared" ref="AA231:AB231" si="473">1-I231</f>
        <v>0%</v>
      </c>
      <c r="AB231" s="457" t="str">
        <f t="shared" si="473"/>
        <v>0%</v>
      </c>
      <c r="AC231" s="456" t="str">
        <f t="shared" si="8"/>
        <v>2</v>
      </c>
      <c r="AD231" s="458" t="str">
        <f t="shared" si="470"/>
        <v>0</v>
      </c>
      <c r="AE231" s="458" t="str">
        <f t="shared" si="10"/>
        <v>1</v>
      </c>
      <c r="AF231" s="459" t="str">
        <f t="shared" si="471"/>
        <v>0</v>
      </c>
      <c r="AG231" s="460"/>
      <c r="AH231" s="421" t="s">
        <v>15</v>
      </c>
      <c r="AI231" s="522" t="str">
        <f t="shared" ref="AI231:AI234" si="475">SUM(AI236+AI241+AI246+AI251+AI256+AI261+AI266+AI271+AI276+AI281)</f>
        <v>362</v>
      </c>
      <c r="AK231" s="522" t="str">
        <f t="shared" ref="AK231:AK234" si="476">SUM(AK236+AK241+AK246+AK251+AK256+AK261+AK266+AK271+AK276+AK281)</f>
        <v>185</v>
      </c>
      <c r="AM231" s="531" t="str">
        <f t="shared" ref="AM231:AM234" si="477">SUM(AM236+AM241+AM246+AM251+AM256+AM261+AM266+AM271+AM276+AM281)</f>
        <v>79</v>
      </c>
      <c r="AO231" s="531" t="str">
        <f t="shared" ref="AO231:AO234" si="478">SUM(AO236+AO241+AO246+AO251+AO256+AO261+AO266+AO271+AO276+AO281)</f>
        <v>98</v>
      </c>
      <c r="AP231" s="144"/>
      <c r="AQ231" s="499"/>
      <c r="AR231" s="499"/>
      <c r="AS231" s="499"/>
      <c r="AT231" s="499"/>
      <c r="AU231" s="499"/>
      <c r="AV231" s="499"/>
    </row>
    <row r="232">
      <c r="A232" s="442"/>
      <c r="B232" s="443">
        <v>2.0</v>
      </c>
      <c r="C232" s="444" t="s">
        <v>646</v>
      </c>
      <c r="D232" s="445" t="s">
        <v>10</v>
      </c>
      <c r="E232" s="445" t="s">
        <v>10</v>
      </c>
      <c r="F232" s="445" t="s">
        <v>70</v>
      </c>
      <c r="G232" s="446" t="str">
        <f>COUNTIFS(Reference!F:F,C232,Reference!G:G,"&lt;="&amp;VLOOKUP($F232,Summary!$N$25:$O$33,2,0))</f>
        <v>2</v>
      </c>
      <c r="H232" s="447">
        <v>0.0</v>
      </c>
      <c r="I232" s="448">
        <v>1.0</v>
      </c>
      <c r="J232" s="448">
        <v>1.0</v>
      </c>
      <c r="K232" s="449" t="s">
        <v>162</v>
      </c>
      <c r="L232" s="449"/>
      <c r="M232" s="449"/>
      <c r="N232" s="449"/>
      <c r="O232" s="450" t="s">
        <v>647</v>
      </c>
      <c r="P232" s="14"/>
      <c r="Q232" s="452" t="str">
        <f>MATCH($D232,Reference!$J$5:$J$9,0)</f>
        <v>1</v>
      </c>
      <c r="R232" s="452" t="str">
        <f>MATCH($E232,Reference!$J$26:$J$32,0)</f>
        <v>1</v>
      </c>
      <c r="S232" s="452" t="str">
        <f>MATCH($F232,Reference!$J$45:$J$54,0)</f>
        <v>6</v>
      </c>
      <c r="T232" s="453" t="str">
        <f>MATCH($K232,Reference!$J$37:$J$39,0)</f>
        <v>2</v>
      </c>
      <c r="U232" s="454" t="str">
        <f t="shared" si="467"/>
        <v>2</v>
      </c>
      <c r="V232" s="454" t="str">
        <f t="shared" si="3"/>
        <v>1</v>
      </c>
      <c r="W232" s="455">
        <v>0.0</v>
      </c>
      <c r="X232" s="454" t="str">
        <f t="shared" si="468"/>
        <v>2</v>
      </c>
      <c r="Y232" s="456" t="str">
        <f t="shared" si="5"/>
        <v>FALSE</v>
      </c>
      <c r="Z232" s="456" t="str">
        <f t="shared" si="6"/>
        <v>FALSE</v>
      </c>
      <c r="AA232" s="457" t="str">
        <f t="shared" ref="AA232:AB232" si="474">1-I232</f>
        <v>0%</v>
      </c>
      <c r="AB232" s="457" t="str">
        <f t="shared" si="474"/>
        <v>0%</v>
      </c>
      <c r="AC232" s="456" t="str">
        <f t="shared" si="8"/>
        <v>2</v>
      </c>
      <c r="AD232" s="458" t="str">
        <f t="shared" si="470"/>
        <v>0</v>
      </c>
      <c r="AE232" s="458" t="str">
        <f t="shared" si="10"/>
        <v>1</v>
      </c>
      <c r="AF232" s="459" t="str">
        <f t="shared" si="471"/>
        <v>0</v>
      </c>
      <c r="AG232" s="460"/>
      <c r="AH232" s="717" t="s">
        <v>21</v>
      </c>
      <c r="AI232" s="557" t="str">
        <f t="shared" si="475"/>
        <v>272</v>
      </c>
      <c r="AK232" s="557" t="str">
        <f t="shared" si="476"/>
        <v>142</v>
      </c>
      <c r="AM232" s="657" t="str">
        <f t="shared" si="477"/>
        <v>59</v>
      </c>
      <c r="AO232" s="657" t="str">
        <f t="shared" si="478"/>
        <v>71</v>
      </c>
      <c r="AP232" s="144"/>
      <c r="AQ232" s="499"/>
      <c r="AR232" s="499"/>
      <c r="AS232" s="499"/>
      <c r="AT232" s="499"/>
      <c r="AU232" s="499"/>
      <c r="AV232" s="499"/>
    </row>
    <row r="233">
      <c r="A233" s="442"/>
      <c r="B233" s="443">
        <v>3.0</v>
      </c>
      <c r="C233" s="444" t="s">
        <v>648</v>
      </c>
      <c r="D233" s="445" t="s">
        <v>10</v>
      </c>
      <c r="E233" s="445" t="s">
        <v>10</v>
      </c>
      <c r="F233" s="445" t="s">
        <v>70</v>
      </c>
      <c r="G233" s="446" t="str">
        <f>COUNTIFS(Reference!F:F,C233,Reference!G:G,"&lt;="&amp;VLOOKUP($F233,Summary!$N$25:$O$33,2,0))</f>
        <v>2</v>
      </c>
      <c r="H233" s="447">
        <v>0.0</v>
      </c>
      <c r="I233" s="448">
        <v>1.0</v>
      </c>
      <c r="J233" s="448">
        <v>1.0</v>
      </c>
      <c r="K233" s="449" t="s">
        <v>162</v>
      </c>
      <c r="L233" s="449"/>
      <c r="M233" s="449"/>
      <c r="N233" s="449"/>
      <c r="O233" s="450" t="s">
        <v>649</v>
      </c>
      <c r="P233" s="14"/>
      <c r="Q233" s="452" t="str">
        <f>MATCH($D233,Reference!$J$5:$J$9,0)</f>
        <v>1</v>
      </c>
      <c r="R233" s="452" t="str">
        <f>MATCH($E233,Reference!$J$26:$J$32,0)</f>
        <v>1</v>
      </c>
      <c r="S233" s="452" t="str">
        <f>MATCH($F233,Reference!$J$45:$J$54,0)</f>
        <v>6</v>
      </c>
      <c r="T233" s="453" t="str">
        <f>MATCH($K233,Reference!$J$37:$J$39,0)</f>
        <v>2</v>
      </c>
      <c r="U233" s="454" t="str">
        <f t="shared" si="467"/>
        <v>2</v>
      </c>
      <c r="V233" s="454" t="str">
        <f t="shared" si="3"/>
        <v>1</v>
      </c>
      <c r="W233" s="455">
        <v>0.0</v>
      </c>
      <c r="X233" s="454" t="str">
        <f t="shared" si="468"/>
        <v>2</v>
      </c>
      <c r="Y233" s="456" t="str">
        <f t="shared" si="5"/>
        <v>FALSE</v>
      </c>
      <c r="Z233" s="456" t="str">
        <f t="shared" si="6"/>
        <v>FALSE</v>
      </c>
      <c r="AA233" s="457" t="str">
        <f t="shared" ref="AA233:AB233" si="479">1-I233</f>
        <v>0%</v>
      </c>
      <c r="AB233" s="457" t="str">
        <f t="shared" si="479"/>
        <v>0%</v>
      </c>
      <c r="AC233" s="456" t="str">
        <f t="shared" si="8"/>
        <v>2</v>
      </c>
      <c r="AD233" s="458" t="str">
        <f t="shared" si="470"/>
        <v>0</v>
      </c>
      <c r="AE233" s="458" t="str">
        <f t="shared" si="10"/>
        <v>1</v>
      </c>
      <c r="AF233" s="459" t="str">
        <f t="shared" si="471"/>
        <v>0</v>
      </c>
      <c r="AG233" s="460"/>
      <c r="AH233" s="718" t="s">
        <v>22</v>
      </c>
      <c r="AI233" s="568" t="str">
        <f t="shared" si="475"/>
        <v>94</v>
      </c>
      <c r="AK233" s="568" t="str">
        <f t="shared" si="476"/>
        <v>44</v>
      </c>
      <c r="AM233" s="667" t="str">
        <f t="shared" si="477"/>
        <v>23</v>
      </c>
      <c r="AO233" s="667" t="str">
        <f t="shared" si="478"/>
        <v>27</v>
      </c>
      <c r="AP233" s="144"/>
      <c r="AQ233" s="499"/>
      <c r="AR233" s="499"/>
      <c r="AS233" s="499"/>
      <c r="AT233" s="499"/>
      <c r="AU233" s="499"/>
      <c r="AV233" s="499"/>
    </row>
    <row r="234">
      <c r="A234" s="442"/>
      <c r="B234" s="467">
        <v>5.0</v>
      </c>
      <c r="C234" s="468" t="s">
        <v>650</v>
      </c>
      <c r="D234" s="445" t="s">
        <v>10</v>
      </c>
      <c r="E234" s="445" t="s">
        <v>10</v>
      </c>
      <c r="F234" s="445" t="s">
        <v>70</v>
      </c>
      <c r="G234" s="446" t="str">
        <f>COUNTIFS(Reference!F:F,C234,Reference!G:G,"&lt;="&amp;VLOOKUP($F234,Summary!$N$25:$O$33,2,0))</f>
        <v>2</v>
      </c>
      <c r="H234" s="447">
        <v>0.0</v>
      </c>
      <c r="I234" s="448">
        <v>1.0</v>
      </c>
      <c r="J234" s="448">
        <v>1.0</v>
      </c>
      <c r="K234" s="449" t="s">
        <v>304</v>
      </c>
      <c r="L234" s="449"/>
      <c r="M234" s="449">
        <v>3.0</v>
      </c>
      <c r="N234" s="449">
        <v>4.0</v>
      </c>
      <c r="O234" s="450"/>
      <c r="P234" s="681"/>
      <c r="Q234" s="452" t="str">
        <f>MATCH($D234,Reference!$J$5:$J$9,0)</f>
        <v>1</v>
      </c>
      <c r="R234" s="452" t="str">
        <f>MATCH($E234,Reference!$J$26:$J$32,0)</f>
        <v>1</v>
      </c>
      <c r="S234" s="452" t="str">
        <f>MATCH($F234,Reference!$J$45:$J$54,0)</f>
        <v>6</v>
      </c>
      <c r="T234" s="453" t="str">
        <f>MATCH($K234,Reference!$J$37:$J$39,0)</f>
        <v>1</v>
      </c>
      <c r="U234" s="454" t="str">
        <f t="shared" si="467"/>
        <v>2</v>
      </c>
      <c r="V234" s="454" t="str">
        <f t="shared" si="3"/>
        <v>1</v>
      </c>
      <c r="W234" s="455">
        <v>0.0</v>
      </c>
      <c r="X234" s="454" t="str">
        <f t="shared" si="468"/>
        <v>2</v>
      </c>
      <c r="Y234" s="456" t="str">
        <f t="shared" si="5"/>
        <v>FALSE</v>
      </c>
      <c r="Z234" s="456" t="str">
        <f t="shared" si="6"/>
        <v>FALSE</v>
      </c>
      <c r="AA234" s="457" t="str">
        <f t="shared" ref="AA234:AB234" si="480">1-I234</f>
        <v>0%</v>
      </c>
      <c r="AB234" s="457" t="str">
        <f t="shared" si="480"/>
        <v>0%</v>
      </c>
      <c r="AC234" s="456" t="str">
        <f t="shared" si="8"/>
        <v>2</v>
      </c>
      <c r="AD234" s="458" t="str">
        <f t="shared" si="470"/>
        <v>0</v>
      </c>
      <c r="AE234" s="458" t="str">
        <f t="shared" si="10"/>
        <v>1</v>
      </c>
      <c r="AF234" s="459" t="str">
        <f t="shared" si="471"/>
        <v>0</v>
      </c>
      <c r="AG234" s="460"/>
      <c r="AH234" s="719" t="s">
        <v>23</v>
      </c>
      <c r="AI234" s="720" t="str">
        <f t="shared" si="475"/>
        <v>81.14</v>
      </c>
      <c r="AK234" s="720" t="str">
        <f t="shared" si="476"/>
        <v>48.14</v>
      </c>
      <c r="AM234" s="721" t="str">
        <f t="shared" si="477"/>
        <v>25</v>
      </c>
      <c r="AO234" s="721" t="str">
        <f t="shared" si="478"/>
        <v>8</v>
      </c>
      <c r="AP234" s="144"/>
      <c r="AQ234" s="499"/>
      <c r="AR234" s="499"/>
      <c r="AS234" s="499"/>
      <c r="AT234" s="499"/>
      <c r="AU234" s="499"/>
      <c r="AV234" s="499"/>
    </row>
    <row r="235">
      <c r="A235" s="466"/>
      <c r="B235" s="467">
        <v>5.0</v>
      </c>
      <c r="C235" s="468" t="s">
        <v>651</v>
      </c>
      <c r="D235" s="445" t="s">
        <v>10</v>
      </c>
      <c r="E235" s="445" t="s">
        <v>10</v>
      </c>
      <c r="F235" s="445" t="s">
        <v>70</v>
      </c>
      <c r="G235" s="446" t="str">
        <f>COUNTIFS(Reference!F:F,C235,Reference!G:G,"&lt;="&amp;VLOOKUP($F235,Summary!$N$25:$O$33,2,0))</f>
        <v>2</v>
      </c>
      <c r="H235" s="447">
        <v>0.0</v>
      </c>
      <c r="I235" s="448">
        <v>1.0</v>
      </c>
      <c r="J235" s="448">
        <v>1.0</v>
      </c>
      <c r="K235" s="449" t="s">
        <v>162</v>
      </c>
      <c r="L235" s="449"/>
      <c r="M235" s="449"/>
      <c r="N235" s="449"/>
      <c r="O235" s="450" t="s">
        <v>652</v>
      </c>
      <c r="P235" s="14"/>
      <c r="Q235" s="452" t="str">
        <f>MATCH($D235,Reference!$J$5:$J$9,0)</f>
        <v>1</v>
      </c>
      <c r="R235" s="452" t="str">
        <f>MATCH($E235,Reference!$J$26:$J$32,0)</f>
        <v>1</v>
      </c>
      <c r="S235" s="452" t="str">
        <f>MATCH($F235,Reference!$J$45:$J$54,0)</f>
        <v>6</v>
      </c>
      <c r="T235" s="453" t="str">
        <f>MATCH($K235,Reference!$J$37:$J$39,0)</f>
        <v>2</v>
      </c>
      <c r="U235" s="454" t="str">
        <f t="shared" si="467"/>
        <v>2</v>
      </c>
      <c r="V235" s="454" t="str">
        <f t="shared" si="3"/>
        <v>1</v>
      </c>
      <c r="W235" s="455">
        <v>0.0</v>
      </c>
      <c r="X235" s="454" t="str">
        <f t="shared" si="468"/>
        <v>2</v>
      </c>
      <c r="Y235" s="456" t="str">
        <f t="shared" si="5"/>
        <v>FALSE</v>
      </c>
      <c r="Z235" s="456" t="str">
        <f t="shared" si="6"/>
        <v>FALSE</v>
      </c>
      <c r="AA235" s="457" t="str">
        <f t="shared" ref="AA235:AB235" si="481">1-I235</f>
        <v>0%</v>
      </c>
      <c r="AB235" s="457" t="str">
        <f t="shared" si="481"/>
        <v>0%</v>
      </c>
      <c r="AC235" s="456" t="str">
        <f t="shared" si="8"/>
        <v>2</v>
      </c>
      <c r="AD235" s="458" t="str">
        <f t="shared" si="470"/>
        <v>0</v>
      </c>
      <c r="AE235" s="458" t="str">
        <f t="shared" si="10"/>
        <v>1</v>
      </c>
      <c r="AF235" s="459" t="str">
        <f t="shared" si="471"/>
        <v>0</v>
      </c>
      <c r="AG235" s="460"/>
      <c r="AH235" s="715" t="s">
        <v>60</v>
      </c>
      <c r="AI235" s="524" t="s">
        <v>24</v>
      </c>
      <c r="AJ235" s="106"/>
      <c r="AK235" s="716" t="s">
        <v>33</v>
      </c>
      <c r="AL235" s="106"/>
      <c r="AM235" s="716" t="s">
        <v>35</v>
      </c>
      <c r="AN235" s="106"/>
      <c r="AO235" s="716" t="s">
        <v>36</v>
      </c>
      <c r="AP235" s="107"/>
      <c r="AQ235" s="14"/>
      <c r="AR235" s="14"/>
      <c r="AS235" s="14"/>
      <c r="AT235" s="14"/>
    </row>
    <row r="236">
      <c r="A236" s="466"/>
      <c r="B236" s="467">
        <v>6.0</v>
      </c>
      <c r="C236" s="468" t="s">
        <v>653</v>
      </c>
      <c r="D236" s="445" t="s">
        <v>10</v>
      </c>
      <c r="E236" s="445" t="s">
        <v>10</v>
      </c>
      <c r="F236" s="445" t="s">
        <v>70</v>
      </c>
      <c r="G236" s="446" t="str">
        <f>COUNTIFS(Reference!F:F,C236,Reference!G:G,"&lt;="&amp;VLOOKUP($F236,Summary!$N$25:$O$33,2,0))</f>
        <v>2</v>
      </c>
      <c r="H236" s="447">
        <v>2.0</v>
      </c>
      <c r="I236" s="448">
        <v>1.0</v>
      </c>
      <c r="J236" s="448">
        <v>1.0</v>
      </c>
      <c r="K236" s="449" t="s">
        <v>162</v>
      </c>
      <c r="L236" s="449"/>
      <c r="M236" s="449"/>
      <c r="N236" s="449"/>
      <c r="O236" s="450" t="s">
        <v>654</v>
      </c>
      <c r="P236" s="14"/>
      <c r="Q236" s="452" t="str">
        <f>MATCH($D236,Reference!$J$5:$J$9,0)</f>
        <v>1</v>
      </c>
      <c r="R236" s="452" t="str">
        <f>MATCH($E236,Reference!$J$26:$J$32,0)</f>
        <v>1</v>
      </c>
      <c r="S236" s="452" t="str">
        <f>MATCH($F236,Reference!$J$45:$J$54,0)</f>
        <v>6</v>
      </c>
      <c r="T236" s="453" t="str">
        <f>MATCH($K236,Reference!$J$37:$J$39,0)</f>
        <v>2</v>
      </c>
      <c r="U236" s="454" t="str">
        <f t="shared" si="467"/>
        <v>2</v>
      </c>
      <c r="V236" s="454" t="str">
        <f t="shared" si="3"/>
        <v>1</v>
      </c>
      <c r="W236" s="455">
        <v>0.0</v>
      </c>
      <c r="X236" s="454" t="str">
        <f t="shared" si="468"/>
        <v>2</v>
      </c>
      <c r="Y236" s="456" t="str">
        <f t="shared" si="5"/>
        <v>FALSE</v>
      </c>
      <c r="Z236" s="456" t="str">
        <f t="shared" si="6"/>
        <v>FALSE</v>
      </c>
      <c r="AA236" s="457" t="str">
        <f t="shared" ref="AA236:AB236" si="482">1-I236</f>
        <v>0%</v>
      </c>
      <c r="AB236" s="457" t="str">
        <f t="shared" si="482"/>
        <v>0%</v>
      </c>
      <c r="AC236" s="456" t="str">
        <f t="shared" si="8"/>
        <v>2</v>
      </c>
      <c r="AD236" s="458" t="str">
        <f t="shared" si="470"/>
        <v>2</v>
      </c>
      <c r="AE236" s="458" t="str">
        <f t="shared" si="10"/>
        <v>1</v>
      </c>
      <c r="AF236" s="459" t="str">
        <f t="shared" si="471"/>
        <v>0</v>
      </c>
      <c r="AG236" s="460"/>
      <c r="AH236" s="421" t="s">
        <v>15</v>
      </c>
      <c r="AI236" s="522" t="str">
        <f>SUM(AM236+AK236+AO236)</f>
        <v>22</v>
      </c>
      <c r="AK236" s="522" t="str">
        <f>sumifs($AC$2:$AC700, $D$2:$D700, "Common", $E$2:$E700, "Classic", $F$2:F700, "Druid")</f>
        <v>12</v>
      </c>
      <c r="AM236" s="531" t="str">
        <f>sumifs($AC$2:$AC700, $D$2:$D700, "Common", $E$2:$E700, "GvG", $F$2:F700, "Druid")</f>
        <v>4</v>
      </c>
      <c r="AO236" s="722" t="str">
        <f>sumifs($AC$2:$AC700, $D$2:$D700, "Common", $E$2:$E700, "TGT", $F$2:F700, "Druid")</f>
        <v>6</v>
      </c>
      <c r="AP236" s="144"/>
      <c r="AQ236" s="499"/>
      <c r="AR236" s="499"/>
      <c r="AS236" s="499"/>
      <c r="AT236" s="499"/>
      <c r="AU236" s="499"/>
      <c r="AV236" s="499"/>
    </row>
    <row r="237">
      <c r="A237" s="509"/>
      <c r="B237" s="443">
        <v>7.0</v>
      </c>
      <c r="C237" s="444" t="s">
        <v>655</v>
      </c>
      <c r="D237" s="445" t="s">
        <v>10</v>
      </c>
      <c r="E237" s="445" t="s">
        <v>10</v>
      </c>
      <c r="F237" s="445" t="s">
        <v>70</v>
      </c>
      <c r="G237" s="446" t="str">
        <f>COUNTIFS(Reference!F:F,C237,Reference!G:G,"&lt;="&amp;VLOOKUP($F237,Summary!$N$25:$O$33,2,0))</f>
        <v>2</v>
      </c>
      <c r="H237" s="447">
        <v>0.0</v>
      </c>
      <c r="I237" s="448">
        <v>1.0</v>
      </c>
      <c r="J237" s="448">
        <v>1.0</v>
      </c>
      <c r="K237" s="449" t="s">
        <v>162</v>
      </c>
      <c r="L237" s="449"/>
      <c r="M237" s="449"/>
      <c r="N237" s="449"/>
      <c r="O237" s="450" t="s">
        <v>656</v>
      </c>
      <c r="P237" s="14"/>
      <c r="Q237" s="452" t="str">
        <f>MATCH($D237,Reference!$J$5:$J$9,0)</f>
        <v>1</v>
      </c>
      <c r="R237" s="452" t="str">
        <f>MATCH($E237,Reference!$J$26:$J$32,0)</f>
        <v>1</v>
      </c>
      <c r="S237" s="452" t="str">
        <f>MATCH($F237,Reference!$J$45:$J$54,0)</f>
        <v>6</v>
      </c>
      <c r="T237" s="453" t="str">
        <f>MATCH($K237,Reference!$J$37:$J$39,0)</f>
        <v>2</v>
      </c>
      <c r="U237" s="454" t="str">
        <f t="shared" si="467"/>
        <v>2</v>
      </c>
      <c r="V237" s="454" t="str">
        <f t="shared" si="3"/>
        <v>1</v>
      </c>
      <c r="W237" s="455">
        <v>0.0</v>
      </c>
      <c r="X237" s="454" t="str">
        <f t="shared" si="468"/>
        <v>2</v>
      </c>
      <c r="Y237" s="456" t="str">
        <f t="shared" si="5"/>
        <v>FALSE</v>
      </c>
      <c r="Z237" s="456" t="str">
        <f t="shared" si="6"/>
        <v>FALSE</v>
      </c>
      <c r="AA237" s="457" t="str">
        <f t="shared" ref="AA237:AB237" si="483">1-I237</f>
        <v>0%</v>
      </c>
      <c r="AB237" s="457" t="str">
        <f t="shared" si="483"/>
        <v>0%</v>
      </c>
      <c r="AC237" s="456" t="str">
        <f t="shared" si="8"/>
        <v>2</v>
      </c>
      <c r="AD237" s="458" t="str">
        <f t="shared" si="470"/>
        <v>0</v>
      </c>
      <c r="AE237" s="458" t="str">
        <f t="shared" si="10"/>
        <v>1</v>
      </c>
      <c r="AF237" s="459" t="str">
        <f t="shared" si="471"/>
        <v>0</v>
      </c>
      <c r="AG237" s="460"/>
      <c r="AH237" s="717" t="s">
        <v>21</v>
      </c>
      <c r="AI237" s="557" t="str">
        <f t="shared" ref="AI237:AI239" si="485">SUM(AM237+AK237+AO237+AQ232+AS232+AU232)</f>
        <v>21</v>
      </c>
      <c r="AK237" s="557" t="str">
        <f>sumifs($AC$2:$AC700, $D$2:$D700, "Rare", $E$2:$E700, "Classic", $F$2:F700, "Druid")</f>
        <v>10</v>
      </c>
      <c r="AM237" s="657" t="str">
        <f>sumifs($AC$2:$AC700, $D$2:$D700, "Rare", $E$2:$E700, "GvG", $F$2:F700, "Druid")</f>
        <v>5</v>
      </c>
      <c r="AO237" s="554" t="str">
        <f>sumifs($AC$2:$AC700, $D$2:$D700, "Rare", $E$2:$E700, "TGT", $F$2:F700, "Druid")</f>
        <v>6</v>
      </c>
      <c r="AP237" s="144"/>
      <c r="AQ237" s="499"/>
      <c r="AR237" s="499"/>
      <c r="AS237" s="499"/>
      <c r="AT237" s="499"/>
      <c r="AU237" s="499"/>
      <c r="AV237" s="499"/>
    </row>
    <row r="238">
      <c r="A238" s="469"/>
      <c r="B238" s="442">
        <v>0.0</v>
      </c>
      <c r="C238" s="482" t="s">
        <v>657</v>
      </c>
      <c r="D238" s="483" t="s">
        <v>15</v>
      </c>
      <c r="E238" s="483" t="s">
        <v>33</v>
      </c>
      <c r="F238" s="484" t="s">
        <v>70</v>
      </c>
      <c r="G238" s="471">
        <v>2.0</v>
      </c>
      <c r="H238" s="485">
        <v>0.0</v>
      </c>
      <c r="I238" s="486">
        <v>1.0</v>
      </c>
      <c r="J238" s="486">
        <v>1.0</v>
      </c>
      <c r="K238" s="499" t="s">
        <v>162</v>
      </c>
      <c r="L238" s="499"/>
      <c r="M238" s="499"/>
      <c r="N238" s="499"/>
      <c r="O238" s="223" t="s">
        <v>658</v>
      </c>
      <c r="P238" s="14"/>
      <c r="Q238" s="452" t="str">
        <f>MATCH($D238,Reference!$J$5:$J$9,0)</f>
        <v>2</v>
      </c>
      <c r="R238" s="452" t="str">
        <f>MATCH($E238,Reference!$J$26:$J$32,0)</f>
        <v>2</v>
      </c>
      <c r="S238" s="452" t="str">
        <f>MATCH($F238,Reference!$J$45:$J$54,0)</f>
        <v>6</v>
      </c>
      <c r="T238" s="453" t="str">
        <f>MATCH($K238,Reference!$J$37:$J$39,0)</f>
        <v>2</v>
      </c>
      <c r="U238" s="454" t="str">
        <f t="shared" si="467"/>
        <v>2</v>
      </c>
      <c r="V238" s="454" t="str">
        <f t="shared" si="3"/>
        <v>1</v>
      </c>
      <c r="W238" s="454" t="str">
        <f t="shared" ref="W238:W250" si="486">(MIN(G238,2)+H238-U238)*50</f>
        <v>0</v>
      </c>
      <c r="X238" s="454" t="str">
        <f t="shared" si="468"/>
        <v>2</v>
      </c>
      <c r="Y238" s="456" t="str">
        <f t="shared" si="5"/>
        <v>FALSE</v>
      </c>
      <c r="Z238" s="456" t="str">
        <f t="shared" si="6"/>
        <v>FALSE</v>
      </c>
      <c r="AA238" s="457" t="str">
        <f t="shared" ref="AA238:AB238" si="484">1-I238</f>
        <v>0%</v>
      </c>
      <c r="AB238" s="457" t="str">
        <f t="shared" si="484"/>
        <v>0%</v>
      </c>
      <c r="AC238" s="456" t="str">
        <f t="shared" si="8"/>
        <v>2</v>
      </c>
      <c r="AD238" s="458" t="str">
        <f t="shared" si="470"/>
        <v>0</v>
      </c>
      <c r="AE238" s="458" t="str">
        <f t="shared" si="10"/>
        <v>1</v>
      </c>
      <c r="AF238" s="459" t="str">
        <f t="shared" ref="AF238:AF250" si="488">(MIN(H238,2)+G238-U238)*5</f>
        <v>0</v>
      </c>
      <c r="AG238" s="460"/>
      <c r="AH238" s="718" t="s">
        <v>22</v>
      </c>
      <c r="AI238" s="568" t="str">
        <f t="shared" si="485"/>
        <v>10</v>
      </c>
      <c r="AK238" s="568" t="str">
        <f>sumifs($AC$2:$AC700, $D$2:$D700, "Epic", $E$2:$E700, "Classic", $F$2:F700, "Druid")</f>
        <v>6</v>
      </c>
      <c r="AM238" s="667" t="str">
        <f>sumifs($AC$2:$AC700, $D$2:$D700, "Epic", $E$2:$E700, "GvG", $F$2:F700, "Druid")</f>
        <v>2</v>
      </c>
      <c r="AO238" s="641" t="str">
        <f>sumifs($AC$2:$AC700, $D$2:$D700, "Epic", $E$2:$E700, "TGT", $F$2:F700, "Druid")</f>
        <v>2</v>
      </c>
      <c r="AP238" s="144"/>
      <c r="AQ238" s="499"/>
      <c r="AR238" s="499"/>
      <c r="AS238" s="499"/>
      <c r="AT238" s="499"/>
      <c r="AU238" s="499"/>
      <c r="AV238" s="499"/>
    </row>
    <row r="239">
      <c r="A239" s="442"/>
      <c r="B239" s="466">
        <v>1.0</v>
      </c>
      <c r="C239" s="475" t="s">
        <v>659</v>
      </c>
      <c r="D239" s="476" t="s">
        <v>15</v>
      </c>
      <c r="E239" s="477" t="s">
        <v>36</v>
      </c>
      <c r="F239" s="476" t="s">
        <v>70</v>
      </c>
      <c r="G239" s="478">
        <v>2.0</v>
      </c>
      <c r="H239" s="478">
        <v>0.0</v>
      </c>
      <c r="I239" s="479">
        <v>1.0</v>
      </c>
      <c r="J239" s="479">
        <v>1.0</v>
      </c>
      <c r="K239" s="477" t="s">
        <v>188</v>
      </c>
      <c r="L239" s="477" t="s">
        <v>660</v>
      </c>
      <c r="M239" s="477">
        <v>2.0</v>
      </c>
      <c r="N239" s="477">
        <v>1.0</v>
      </c>
      <c r="O239" s="480" t="s">
        <v>661</v>
      </c>
      <c r="P239" s="14"/>
      <c r="Q239" s="452" t="str">
        <f>MATCH($D239,Reference!$J$5:$J$9,0)</f>
        <v>2</v>
      </c>
      <c r="R239" s="452" t="str">
        <f>MATCH($E239,Reference!$J$26:$J$32,0)</f>
        <v>7</v>
      </c>
      <c r="S239" s="452" t="str">
        <f>MATCH($F239,Reference!$J$45:$J$54,0)</f>
        <v>6</v>
      </c>
      <c r="T239" s="453" t="str">
        <f>MATCH($K239,Reference!$J$37:$J$39,0)</f>
        <v>3</v>
      </c>
      <c r="U239" s="454" t="str">
        <f t="shared" si="467"/>
        <v>2</v>
      </c>
      <c r="V239" s="454" t="str">
        <f t="shared" si="3"/>
        <v>1</v>
      </c>
      <c r="W239" s="454" t="str">
        <f t="shared" si="486"/>
        <v>0</v>
      </c>
      <c r="X239" s="454" t="str">
        <f t="shared" si="468"/>
        <v>2</v>
      </c>
      <c r="Y239" s="456" t="str">
        <f t="shared" si="5"/>
        <v>FALSE</v>
      </c>
      <c r="Z239" s="456" t="str">
        <f t="shared" si="6"/>
        <v>FALSE</v>
      </c>
      <c r="AA239" s="457" t="str">
        <f t="shared" ref="AA239:AB239" si="487">1-I239</f>
        <v>0%</v>
      </c>
      <c r="AB239" s="457" t="str">
        <f t="shared" si="487"/>
        <v>0%</v>
      </c>
      <c r="AC239" s="456" t="str">
        <f t="shared" si="8"/>
        <v>2</v>
      </c>
      <c r="AD239" s="458" t="str">
        <f t="shared" si="470"/>
        <v>0</v>
      </c>
      <c r="AE239" s="458" t="str">
        <f t="shared" si="10"/>
        <v>1</v>
      </c>
      <c r="AF239" s="459" t="str">
        <f t="shared" si="488"/>
        <v>0</v>
      </c>
      <c r="AG239" s="460"/>
      <c r="AH239" s="719" t="s">
        <v>23</v>
      </c>
      <c r="AI239" s="720" t="str">
        <f t="shared" si="485"/>
        <v>3</v>
      </c>
      <c r="AK239" s="720" t="str">
        <f>sumifs($AC$2:$AC700, $D$2:$D700, "Legendary", $E$2:$E700, "Classic", $F$2:F700, "Druid")</f>
        <v>2</v>
      </c>
      <c r="AM239" s="721" t="str">
        <f>sumifs($AC$2:$AC700, $D$2:$D700, "Legendary", $E$2:$E700, "GvG", $F$2:F700, "Druid")</f>
        <v>1</v>
      </c>
      <c r="AO239" s="675" t="str">
        <f>sumifs($AC$2:$AC700, $D$2:$D700, "Legendary", $E$2:$E700, "TGT", $F$2:F700, "Druid")</f>
        <v>0</v>
      </c>
      <c r="AP239" s="144"/>
      <c r="AQ239" s="499"/>
      <c r="AR239" s="499"/>
      <c r="AS239" s="499"/>
      <c r="AT239" s="499"/>
      <c r="AU239" s="499"/>
      <c r="AV239" s="499"/>
    </row>
    <row r="240">
      <c r="A240" s="463"/>
      <c r="B240" s="509">
        <v>1.0</v>
      </c>
      <c r="C240" s="510" t="s">
        <v>662</v>
      </c>
      <c r="D240" s="511" t="s">
        <v>15</v>
      </c>
      <c r="E240" s="511" t="s">
        <v>33</v>
      </c>
      <c r="F240" s="512" t="s">
        <v>70</v>
      </c>
      <c r="G240" s="508">
        <v>2.0</v>
      </c>
      <c r="H240" s="485">
        <v>0.0</v>
      </c>
      <c r="I240" s="486">
        <v>1.0</v>
      </c>
      <c r="J240" s="486">
        <v>1.0</v>
      </c>
      <c r="K240" s="522" t="s">
        <v>162</v>
      </c>
      <c r="L240" s="522"/>
      <c r="M240" s="522"/>
      <c r="N240" s="522"/>
      <c r="O240" s="224" t="s">
        <v>663</v>
      </c>
      <c r="P240" s="14"/>
      <c r="Q240" s="452" t="str">
        <f>MATCH($D240,Reference!$J$5:$J$9,0)</f>
        <v>2</v>
      </c>
      <c r="R240" s="452" t="str">
        <f>MATCH($E240,Reference!$J$26:$J$32,0)</f>
        <v>2</v>
      </c>
      <c r="S240" s="452" t="str">
        <f>MATCH($F240,Reference!$J$45:$J$54,0)</f>
        <v>6</v>
      </c>
      <c r="T240" s="453" t="str">
        <f>MATCH($K240,Reference!$J$37:$J$39,0)</f>
        <v>2</v>
      </c>
      <c r="U240" s="454" t="str">
        <f t="shared" si="467"/>
        <v>2</v>
      </c>
      <c r="V240" s="454" t="str">
        <f t="shared" si="3"/>
        <v>1</v>
      </c>
      <c r="W240" s="454" t="str">
        <f t="shared" si="486"/>
        <v>0</v>
      </c>
      <c r="X240" s="454" t="str">
        <f t="shared" si="468"/>
        <v>2</v>
      </c>
      <c r="Y240" s="456" t="str">
        <f t="shared" si="5"/>
        <v>FALSE</v>
      </c>
      <c r="Z240" s="456" t="str">
        <f t="shared" si="6"/>
        <v>FALSE</v>
      </c>
      <c r="AA240" s="457" t="str">
        <f t="shared" ref="AA240:AB240" si="489">1-I240</f>
        <v>0%</v>
      </c>
      <c r="AB240" s="457" t="str">
        <f t="shared" si="489"/>
        <v>0%</v>
      </c>
      <c r="AC240" s="456" t="str">
        <f t="shared" si="8"/>
        <v>2</v>
      </c>
      <c r="AD240" s="458" t="str">
        <f t="shared" si="470"/>
        <v>0</v>
      </c>
      <c r="AE240" s="458" t="str">
        <f t="shared" si="10"/>
        <v>1</v>
      </c>
      <c r="AF240" s="459" t="str">
        <f t="shared" si="488"/>
        <v>0</v>
      </c>
      <c r="AG240" s="460"/>
      <c r="AH240" s="715" t="s">
        <v>63</v>
      </c>
      <c r="AI240" s="524" t="s">
        <v>24</v>
      </c>
      <c r="AJ240" s="106"/>
      <c r="AK240" s="716" t="s">
        <v>33</v>
      </c>
      <c r="AL240" s="106"/>
      <c r="AM240" s="716" t="s">
        <v>35</v>
      </c>
      <c r="AN240" s="106"/>
      <c r="AO240" s="716" t="s">
        <v>36</v>
      </c>
      <c r="AP240" s="107"/>
      <c r="AQ240" s="14"/>
      <c r="AR240" s="14"/>
      <c r="AS240" s="14"/>
      <c r="AT240" s="14"/>
    </row>
    <row r="241">
      <c r="A241" s="442"/>
      <c r="B241" s="509">
        <v>1.0</v>
      </c>
      <c r="C241" s="510" t="s">
        <v>664</v>
      </c>
      <c r="D241" s="511" t="s">
        <v>15</v>
      </c>
      <c r="E241" s="511" t="s">
        <v>33</v>
      </c>
      <c r="F241" s="512" t="s">
        <v>70</v>
      </c>
      <c r="G241" s="508">
        <v>2.0</v>
      </c>
      <c r="H241" s="508">
        <v>0.0</v>
      </c>
      <c r="I241" s="486">
        <v>1.0</v>
      </c>
      <c r="J241" s="486">
        <v>1.0</v>
      </c>
      <c r="K241" s="522" t="s">
        <v>162</v>
      </c>
      <c r="L241" s="522"/>
      <c r="M241" s="522"/>
      <c r="N241" s="522"/>
      <c r="O241" s="224" t="s">
        <v>665</v>
      </c>
      <c r="P241" s="14"/>
      <c r="Q241" s="452" t="str">
        <f>MATCH($D241,Reference!$J$5:$J$9,0)</f>
        <v>2</v>
      </c>
      <c r="R241" s="452" t="str">
        <f>MATCH($E241,Reference!$J$26:$J$32,0)</f>
        <v>2</v>
      </c>
      <c r="S241" s="452" t="str">
        <f>MATCH($F241,Reference!$J$45:$J$54,0)</f>
        <v>6</v>
      </c>
      <c r="T241" s="453" t="str">
        <f>MATCH($K241,Reference!$J$37:$J$39,0)</f>
        <v>2</v>
      </c>
      <c r="U241" s="454" t="str">
        <f t="shared" si="467"/>
        <v>2</v>
      </c>
      <c r="V241" s="454" t="str">
        <f t="shared" si="3"/>
        <v>1</v>
      </c>
      <c r="W241" s="454" t="str">
        <f t="shared" si="486"/>
        <v>0</v>
      </c>
      <c r="X241" s="454" t="str">
        <f t="shared" si="468"/>
        <v>2</v>
      </c>
      <c r="Y241" s="456" t="str">
        <f t="shared" si="5"/>
        <v>FALSE</v>
      </c>
      <c r="Z241" s="456" t="str">
        <f t="shared" si="6"/>
        <v>FALSE</v>
      </c>
      <c r="AA241" s="457" t="str">
        <f t="shared" ref="AA241:AB241" si="490">1-I241</f>
        <v>0%</v>
      </c>
      <c r="AB241" s="457" t="str">
        <f t="shared" si="490"/>
        <v>0%</v>
      </c>
      <c r="AC241" s="456" t="str">
        <f t="shared" si="8"/>
        <v>2</v>
      </c>
      <c r="AD241" s="458" t="str">
        <f t="shared" si="470"/>
        <v>0</v>
      </c>
      <c r="AE241" s="458" t="str">
        <f t="shared" si="10"/>
        <v>1</v>
      </c>
      <c r="AF241" s="459" t="str">
        <f t="shared" si="488"/>
        <v>0</v>
      </c>
      <c r="AG241" s="460"/>
      <c r="AH241" s="421" t="s">
        <v>15</v>
      </c>
      <c r="AI241" s="522" t="str">
        <f>SUM(AM241+AK241+AO241)</f>
        <v>22</v>
      </c>
      <c r="AK241" s="522" t="str">
        <f>sumifs($AC$2:$AC700, $D$2:$D700, "Common", $E$2:$E700, "Classic", $F$2:F700, "Hunter")</f>
        <v>12</v>
      </c>
      <c r="AM241" s="531" t="str">
        <f>sumifs($AC$2:$AC700, $D$2:$D700, "Common", $E$2:$E700, "GvG", $F$2:F700, "Hunter")</f>
        <v>4</v>
      </c>
      <c r="AO241" s="722" t="str">
        <f>sumifs($AC$2:$AC700, $D$2:$D700, "Common", $E$2:$E700, "TGT", $F$2:F700, "Hunter")</f>
        <v>6</v>
      </c>
      <c r="AP241" s="144"/>
      <c r="AQ241" s="499"/>
      <c r="AR241" s="499"/>
      <c r="AS241" s="499"/>
      <c r="AT241" s="499"/>
      <c r="AU241" s="499"/>
      <c r="AV241" s="499"/>
    </row>
    <row r="242">
      <c r="A242" s="442"/>
      <c r="B242" s="509">
        <v>2.0</v>
      </c>
      <c r="C242" s="510" t="s">
        <v>666</v>
      </c>
      <c r="D242" s="511" t="s">
        <v>15</v>
      </c>
      <c r="E242" s="511" t="s">
        <v>33</v>
      </c>
      <c r="F242" s="512" t="s">
        <v>70</v>
      </c>
      <c r="G242" s="508">
        <v>2.0</v>
      </c>
      <c r="H242" s="508">
        <v>0.0</v>
      </c>
      <c r="I242" s="486">
        <v>1.0</v>
      </c>
      <c r="J242" s="486">
        <v>1.0</v>
      </c>
      <c r="K242" s="522" t="s">
        <v>162</v>
      </c>
      <c r="L242" s="522"/>
      <c r="M242" s="522"/>
      <c r="N242" s="522"/>
      <c r="O242" s="224" t="s">
        <v>667</v>
      </c>
      <c r="P242" s="14"/>
      <c r="Q242" s="452" t="str">
        <f>MATCH($D242,Reference!$J$5:$J$9,0)</f>
        <v>2</v>
      </c>
      <c r="R242" s="452" t="str">
        <f>MATCH($E242,Reference!$J$26:$J$32,0)</f>
        <v>2</v>
      </c>
      <c r="S242" s="452" t="str">
        <f>MATCH($F242,Reference!$J$45:$J$54,0)</f>
        <v>6</v>
      </c>
      <c r="T242" s="453" t="str">
        <f>MATCH($K242,Reference!$J$37:$J$39,0)</f>
        <v>2</v>
      </c>
      <c r="U242" s="454" t="str">
        <f t="shared" si="467"/>
        <v>2</v>
      </c>
      <c r="V242" s="454" t="str">
        <f t="shared" si="3"/>
        <v>1</v>
      </c>
      <c r="W242" s="454" t="str">
        <f t="shared" si="486"/>
        <v>0</v>
      </c>
      <c r="X242" s="454" t="str">
        <f t="shared" si="468"/>
        <v>2</v>
      </c>
      <c r="Y242" s="456" t="str">
        <f t="shared" si="5"/>
        <v>FALSE</v>
      </c>
      <c r="Z242" s="456" t="str">
        <f t="shared" si="6"/>
        <v>FALSE</v>
      </c>
      <c r="AA242" s="457" t="str">
        <f t="shared" ref="AA242:AB242" si="491">1-I242</f>
        <v>0%</v>
      </c>
      <c r="AB242" s="457" t="str">
        <f t="shared" si="491"/>
        <v>0%</v>
      </c>
      <c r="AC242" s="456" t="str">
        <f t="shared" si="8"/>
        <v>2</v>
      </c>
      <c r="AD242" s="458" t="str">
        <f t="shared" si="470"/>
        <v>0</v>
      </c>
      <c r="AE242" s="458" t="str">
        <f t="shared" si="10"/>
        <v>1</v>
      </c>
      <c r="AF242" s="459" t="str">
        <f t="shared" si="488"/>
        <v>0</v>
      </c>
      <c r="AG242" s="460"/>
      <c r="AH242" s="717" t="s">
        <v>21</v>
      </c>
      <c r="AI242" s="557" t="str">
        <f t="shared" ref="AI242:AI244" si="493">SUM(AM242+AK242+AO242+AQ237+AS237+AU237)</f>
        <v>20</v>
      </c>
      <c r="AK242" s="557" t="str">
        <f>sumifs($AC$2:$AC700, $D$2:$D700, "Rare", $E$2:$E700, "Classic", $F$2:F700, "Hunter")</f>
        <v>9</v>
      </c>
      <c r="AM242" s="657" t="str">
        <f>sumifs($AC$2:$AC700, $D$2:$D700, "Rare", $E$2:$E700, "GvG", $F$2:F700, "Hunter")</f>
        <v>5</v>
      </c>
      <c r="AO242" s="554" t="str">
        <f>sumifs($AC$2:$AC700, $D$2:$D700, "Rare", $E$2:$E700, "TGT", $F$2:F700, "Hunter")</f>
        <v>6</v>
      </c>
      <c r="AP242" s="144"/>
      <c r="AQ242" s="499"/>
      <c r="AR242" s="499"/>
      <c r="AS242" s="499"/>
      <c r="AT242" s="499"/>
      <c r="AU242" s="499"/>
      <c r="AV242" s="499"/>
    </row>
    <row r="243">
      <c r="A243" s="466"/>
      <c r="B243" s="442">
        <v>2.0</v>
      </c>
      <c r="C243" s="482" t="s">
        <v>668</v>
      </c>
      <c r="D243" s="483" t="s">
        <v>15</v>
      </c>
      <c r="E243" s="483" t="s">
        <v>33</v>
      </c>
      <c r="F243" s="484" t="s">
        <v>70</v>
      </c>
      <c r="G243" s="471">
        <v>2.0</v>
      </c>
      <c r="H243" s="471">
        <v>0.0</v>
      </c>
      <c r="I243" s="486">
        <v>1.0</v>
      </c>
      <c r="J243" s="486">
        <v>1.0</v>
      </c>
      <c r="K243" s="499" t="s">
        <v>188</v>
      </c>
      <c r="L243" s="499"/>
      <c r="M243" s="499">
        <v>2.0</v>
      </c>
      <c r="N243" s="499">
        <v>2.0</v>
      </c>
      <c r="O243" s="223" t="s">
        <v>669</v>
      </c>
      <c r="P243" s="14"/>
      <c r="Q243" s="452" t="str">
        <f>MATCH($D243,Reference!$J$5:$J$9,0)</f>
        <v>2</v>
      </c>
      <c r="R243" s="452" t="str">
        <f>MATCH($E243,Reference!$J$26:$J$32,0)</f>
        <v>2</v>
      </c>
      <c r="S243" s="452" t="str">
        <f>MATCH($F243,Reference!$J$45:$J$54,0)</f>
        <v>6</v>
      </c>
      <c r="T243" s="453" t="str">
        <f>MATCH($K243,Reference!$J$37:$J$39,0)</f>
        <v>3</v>
      </c>
      <c r="U243" s="454" t="str">
        <f t="shared" si="467"/>
        <v>2</v>
      </c>
      <c r="V243" s="454" t="str">
        <f t="shared" si="3"/>
        <v>1</v>
      </c>
      <c r="W243" s="454" t="str">
        <f t="shared" si="486"/>
        <v>0</v>
      </c>
      <c r="X243" s="454" t="str">
        <f t="shared" si="468"/>
        <v>2</v>
      </c>
      <c r="Y243" s="456" t="str">
        <f t="shared" si="5"/>
        <v>FALSE</v>
      </c>
      <c r="Z243" s="456" t="str">
        <f t="shared" si="6"/>
        <v>FALSE</v>
      </c>
      <c r="AA243" s="457" t="str">
        <f t="shared" ref="AA243:AB243" si="492">1-I243</f>
        <v>0%</v>
      </c>
      <c r="AB243" s="457" t="str">
        <f t="shared" si="492"/>
        <v>0%</v>
      </c>
      <c r="AC243" s="456" t="str">
        <f t="shared" si="8"/>
        <v>2</v>
      </c>
      <c r="AD243" s="458" t="str">
        <f t="shared" si="470"/>
        <v>0</v>
      </c>
      <c r="AE243" s="458" t="str">
        <f t="shared" si="10"/>
        <v>1</v>
      </c>
      <c r="AF243" s="459" t="str">
        <f t="shared" si="488"/>
        <v>0</v>
      </c>
      <c r="AG243" s="460"/>
      <c r="AH243" s="718" t="s">
        <v>22</v>
      </c>
      <c r="AI243" s="568" t="str">
        <f t="shared" si="493"/>
        <v>8</v>
      </c>
      <c r="AK243" s="568" t="str">
        <f>sumifs($AC$2:$AC700, $D$2:$D700, "Epic", $E$2:$E700, "Classic", $F$2:F700, "Hunter")</f>
        <v>1</v>
      </c>
      <c r="AM243" s="667" t="str">
        <f>sumifs($AC$2:$AC700, $D$2:$D700, "Epic", $E$2:$E700, "GvG", $F$2:F700, "Hunter")</f>
        <v>3</v>
      </c>
      <c r="AO243" s="641" t="str">
        <f>sumifs($AC$2:$AC700, $D$2:$D700, "Epic", $E$2:$E700, "TGT", $F$2:F700, "Hunter")</f>
        <v>4</v>
      </c>
      <c r="AP243" s="144"/>
      <c r="AQ243" s="499"/>
      <c r="AR243" s="499"/>
      <c r="AS243" s="499"/>
      <c r="AT243" s="499"/>
      <c r="AU243" s="499"/>
      <c r="AV243" s="499"/>
    </row>
    <row r="244">
      <c r="A244" s="442"/>
      <c r="B244" s="509">
        <v>2.0</v>
      </c>
      <c r="C244" s="510" t="s">
        <v>670</v>
      </c>
      <c r="D244" s="511" t="s">
        <v>15</v>
      </c>
      <c r="E244" s="511" t="s">
        <v>33</v>
      </c>
      <c r="F244" s="512" t="s">
        <v>70</v>
      </c>
      <c r="G244" s="508">
        <v>2.0</v>
      </c>
      <c r="H244" s="485">
        <v>0.0</v>
      </c>
      <c r="I244" s="486">
        <v>1.0</v>
      </c>
      <c r="J244" s="486">
        <v>1.0</v>
      </c>
      <c r="K244" s="522" t="s">
        <v>162</v>
      </c>
      <c r="L244" s="522"/>
      <c r="M244" s="522"/>
      <c r="N244" s="522"/>
      <c r="O244" s="224" t="s">
        <v>671</v>
      </c>
      <c r="P244" s="14"/>
      <c r="Q244" s="452" t="str">
        <f>MATCH($D244,Reference!$J$5:$J$9,0)</f>
        <v>2</v>
      </c>
      <c r="R244" s="452" t="str">
        <f>MATCH($E244,Reference!$J$26:$J$32,0)</f>
        <v>2</v>
      </c>
      <c r="S244" s="452" t="str">
        <f>MATCH($F244,Reference!$J$45:$J$54,0)</f>
        <v>6</v>
      </c>
      <c r="T244" s="453" t="str">
        <f>MATCH($K244,Reference!$J$37:$J$39,0)</f>
        <v>2</v>
      </c>
      <c r="U244" s="454" t="str">
        <f t="shared" si="467"/>
        <v>2</v>
      </c>
      <c r="V244" s="454" t="str">
        <f t="shared" si="3"/>
        <v>1</v>
      </c>
      <c r="W244" s="454" t="str">
        <f t="shared" si="486"/>
        <v>0</v>
      </c>
      <c r="X244" s="454" t="str">
        <f t="shared" si="468"/>
        <v>2</v>
      </c>
      <c r="Y244" s="456" t="str">
        <f t="shared" si="5"/>
        <v>FALSE</v>
      </c>
      <c r="Z244" s="456" t="str">
        <f t="shared" si="6"/>
        <v>FALSE</v>
      </c>
      <c r="AA244" s="457" t="str">
        <f t="shared" ref="AA244:AB244" si="494">1-I244</f>
        <v>0%</v>
      </c>
      <c r="AB244" s="457" t="str">
        <f t="shared" si="494"/>
        <v>0%</v>
      </c>
      <c r="AC244" s="456" t="str">
        <f t="shared" si="8"/>
        <v>2</v>
      </c>
      <c r="AD244" s="458" t="str">
        <f t="shared" si="470"/>
        <v>0</v>
      </c>
      <c r="AE244" s="458" t="str">
        <f t="shared" si="10"/>
        <v>1</v>
      </c>
      <c r="AF244" s="459" t="str">
        <f t="shared" si="488"/>
        <v>0</v>
      </c>
      <c r="AG244" s="460"/>
      <c r="AH244" s="719" t="s">
        <v>23</v>
      </c>
      <c r="AI244" s="720" t="str">
        <f t="shared" si="493"/>
        <v>3</v>
      </c>
      <c r="AK244" s="720" t="str">
        <f>sumifs($AC$2:$AC700, $D$2:$D700, "Legendary", $E$2:$E700, "Classic", $F$2:F700, "Hunter")</f>
        <v>1</v>
      </c>
      <c r="AM244" s="721" t="str">
        <f>sumifs($AC$2:$AC700, $D$2:$D700, "Legendary", $E$2:$E700, "GvG", $F$2:F700, "Hunter")</f>
        <v>1</v>
      </c>
      <c r="AO244" s="675" t="str">
        <f>sumifs($AC$2:$AC700, $D$2:$D700, "Legendary", $E$2:$E700, "TGT", $F$2:F700, "Hunter")</f>
        <v>1</v>
      </c>
      <c r="AP244" s="144"/>
      <c r="AQ244" s="499"/>
      <c r="AR244" s="499"/>
      <c r="AS244" s="499"/>
      <c r="AT244" s="499"/>
      <c r="AU244" s="499"/>
      <c r="AV244" s="499"/>
    </row>
    <row r="245">
      <c r="A245" s="466"/>
      <c r="B245" s="469">
        <v>2.0</v>
      </c>
      <c r="C245" s="501" t="s">
        <v>672</v>
      </c>
      <c r="D245" s="502" t="s">
        <v>15</v>
      </c>
      <c r="E245" s="502" t="s">
        <v>47</v>
      </c>
      <c r="F245" s="503" t="s">
        <v>70</v>
      </c>
      <c r="G245" s="504" t="str">
        <f>IF(Summary!$Y$27&gt;=VLOOKUP(C245,Reference!$N$6:$O$36,2,0),2,0)</f>
        <v>2</v>
      </c>
      <c r="H245" s="504">
        <v>0.0</v>
      </c>
      <c r="I245" s="505">
        <v>1.0</v>
      </c>
      <c r="J245" s="505"/>
      <c r="K245" s="506" t="s">
        <v>162</v>
      </c>
      <c r="L245" s="506"/>
      <c r="M245" s="506"/>
      <c r="N245" s="506"/>
      <c r="O245" s="507" t="s">
        <v>673</v>
      </c>
      <c r="P245" s="14"/>
      <c r="Q245" s="452" t="str">
        <f>MATCH($D245,Reference!$J$5:$J$9,0)</f>
        <v>2</v>
      </c>
      <c r="R245" s="452" t="str">
        <f>MATCH($E245,Reference!$J$26:$J$32,0)</f>
        <v>6</v>
      </c>
      <c r="S245" s="452" t="str">
        <f>MATCH($F245,Reference!$J$45:$J$54,0)</f>
        <v>6</v>
      </c>
      <c r="T245" s="453" t="str">
        <f>MATCH($K245,Reference!$J$37:$J$39,0)</f>
        <v>2</v>
      </c>
      <c r="U245" s="454" t="str">
        <f t="shared" si="467"/>
        <v>2</v>
      </c>
      <c r="V245" s="454" t="str">
        <f t="shared" si="3"/>
        <v>1</v>
      </c>
      <c r="W245" s="454" t="str">
        <f t="shared" si="486"/>
        <v>0</v>
      </c>
      <c r="X245" s="454" t="str">
        <f t="shared" si="468"/>
        <v>2</v>
      </c>
      <c r="Y245" s="456" t="str">
        <f t="shared" si="5"/>
        <v>FALSE</v>
      </c>
      <c r="Z245" s="456" t="str">
        <f t="shared" si="6"/>
        <v>FALSE</v>
      </c>
      <c r="AA245" s="457" t="str">
        <f t="shared" ref="AA245:AB245" si="495">1-I245</f>
        <v>0%</v>
      </c>
      <c r="AB245" s="457" t="str">
        <f t="shared" si="495"/>
        <v>100%</v>
      </c>
      <c r="AC245" s="456" t="str">
        <f t="shared" si="8"/>
        <v>2</v>
      </c>
      <c r="AD245" s="458" t="str">
        <f t="shared" si="470"/>
        <v>0</v>
      </c>
      <c r="AE245" s="458" t="str">
        <f t="shared" si="10"/>
        <v>1</v>
      </c>
      <c r="AF245" s="459" t="str">
        <f t="shared" si="488"/>
        <v>0</v>
      </c>
      <c r="AG245" s="460"/>
      <c r="AH245" s="715" t="s">
        <v>65</v>
      </c>
      <c r="AI245" s="524" t="s">
        <v>24</v>
      </c>
      <c r="AJ245" s="106"/>
      <c r="AK245" s="716" t="s">
        <v>33</v>
      </c>
      <c r="AL245" s="106"/>
      <c r="AM245" s="716" t="s">
        <v>35</v>
      </c>
      <c r="AN245" s="106"/>
      <c r="AO245" s="716" t="s">
        <v>36</v>
      </c>
      <c r="AP245" s="107"/>
      <c r="AQ245" s="14"/>
      <c r="AR245" s="14"/>
      <c r="AS245" s="14"/>
      <c r="AT245" s="14"/>
    </row>
    <row r="246">
      <c r="A246" s="466"/>
      <c r="B246" s="472">
        <v>2.0</v>
      </c>
      <c r="C246" s="489" t="s">
        <v>674</v>
      </c>
      <c r="D246" s="490" t="s">
        <v>15</v>
      </c>
      <c r="E246" s="490" t="s">
        <v>35</v>
      </c>
      <c r="F246" s="491" t="s">
        <v>70</v>
      </c>
      <c r="G246" s="492">
        <v>2.0</v>
      </c>
      <c r="H246" s="493">
        <v>0.0</v>
      </c>
      <c r="I246" s="494">
        <v>1.0</v>
      </c>
      <c r="J246" s="494">
        <v>1.0</v>
      </c>
      <c r="K246" s="495" t="s">
        <v>188</v>
      </c>
      <c r="L246" s="495" t="s">
        <v>198</v>
      </c>
      <c r="M246" s="495">
        <v>3.0</v>
      </c>
      <c r="N246" s="495">
        <v>2.0</v>
      </c>
      <c r="O246" s="496" t="s">
        <v>675</v>
      </c>
      <c r="P246" s="5"/>
      <c r="Q246" s="452" t="str">
        <f>MATCH($D246,Reference!$J$5:$J$9,0)</f>
        <v>2</v>
      </c>
      <c r="R246" s="452" t="str">
        <f>MATCH($E246,Reference!$J$26:$J$32,0)</f>
        <v>5</v>
      </c>
      <c r="S246" s="452" t="str">
        <f>MATCH($F246,Reference!$J$45:$J$54,0)</f>
        <v>6</v>
      </c>
      <c r="T246" s="453" t="str">
        <f>MATCH($K246,Reference!$J$37:$J$39,0)</f>
        <v>3</v>
      </c>
      <c r="U246" s="454" t="str">
        <f t="shared" si="467"/>
        <v>2</v>
      </c>
      <c r="V246" s="454" t="str">
        <f t="shared" si="3"/>
        <v>1</v>
      </c>
      <c r="W246" s="454" t="str">
        <f t="shared" si="486"/>
        <v>0</v>
      </c>
      <c r="X246" s="454" t="str">
        <f t="shared" si="468"/>
        <v>2</v>
      </c>
      <c r="Y246" s="456" t="str">
        <f t="shared" si="5"/>
        <v>FALSE</v>
      </c>
      <c r="Z246" s="456" t="str">
        <f t="shared" si="6"/>
        <v>FALSE</v>
      </c>
      <c r="AA246" s="457" t="str">
        <f t="shared" ref="AA246:AB246" si="496">1-I246</f>
        <v>0%</v>
      </c>
      <c r="AB246" s="457" t="str">
        <f t="shared" si="496"/>
        <v>0%</v>
      </c>
      <c r="AC246" s="456" t="str">
        <f t="shared" si="8"/>
        <v>2</v>
      </c>
      <c r="AD246" s="458" t="str">
        <f t="shared" si="470"/>
        <v>0</v>
      </c>
      <c r="AE246" s="458" t="str">
        <f t="shared" si="10"/>
        <v>1</v>
      </c>
      <c r="AF246" s="459" t="str">
        <f t="shared" si="488"/>
        <v>0</v>
      </c>
      <c r="AG246" s="460"/>
      <c r="AH246" s="421" t="s">
        <v>15</v>
      </c>
      <c r="AI246" s="522" t="str">
        <f>SUM(AM246+AK246+AO246)</f>
        <v>22</v>
      </c>
      <c r="AK246" s="522" t="str">
        <f>sumifs($AC$2:$AC700, $D$2:$D700, "Common", $E$2:$E700, "Classic", $F$2:F700, "Mage")</f>
        <v>12</v>
      </c>
      <c r="AM246" s="531" t="str">
        <f>sumifs($AC$2:$AC700, $D$2:$D700, "Common", $E$2:$E700, "GvG", $F$2:F700, "Mage")</f>
        <v>4</v>
      </c>
      <c r="AO246" s="722" t="str">
        <f>sumifs($AC$2:$AC700, $D$2:$D700, "Common", $E$2:$E700, "TGT", $F$2:F700, "Mage")</f>
        <v>6</v>
      </c>
      <c r="AP246" s="144"/>
      <c r="AQ246" s="499"/>
      <c r="AR246" s="499"/>
      <c r="AS246" s="499"/>
      <c r="AT246" s="499"/>
      <c r="AU246" s="499"/>
      <c r="AV246" s="499"/>
    </row>
    <row r="247">
      <c r="A247" s="442"/>
      <c r="B247" s="466">
        <v>2.0</v>
      </c>
      <c r="C247" s="475" t="s">
        <v>676</v>
      </c>
      <c r="D247" s="476" t="s">
        <v>15</v>
      </c>
      <c r="E247" s="477" t="s">
        <v>36</v>
      </c>
      <c r="F247" s="476" t="s">
        <v>70</v>
      </c>
      <c r="G247" s="478">
        <v>2.0</v>
      </c>
      <c r="H247" s="478">
        <v>0.0</v>
      </c>
      <c r="I247" s="479">
        <v>1.0</v>
      </c>
      <c r="J247" s="479">
        <v>1.0</v>
      </c>
      <c r="K247" s="477" t="s">
        <v>188</v>
      </c>
      <c r="L247" s="477"/>
      <c r="M247" s="477">
        <v>3.0</v>
      </c>
      <c r="N247" s="477">
        <v>2.0</v>
      </c>
      <c r="O247" s="480" t="s">
        <v>677</v>
      </c>
      <c r="P247" s="14"/>
      <c r="Q247" s="452" t="str">
        <f>MATCH($D247,Reference!$J$5:$J$9,0)</f>
        <v>2</v>
      </c>
      <c r="R247" s="452" t="str">
        <f>MATCH($E247,Reference!$J$26:$J$32,0)</f>
        <v>7</v>
      </c>
      <c r="S247" s="452" t="str">
        <f>MATCH($F247,Reference!$J$45:$J$54,0)</f>
        <v>6</v>
      </c>
      <c r="T247" s="453" t="str">
        <f>MATCH($K247,Reference!$J$37:$J$39,0)</f>
        <v>3</v>
      </c>
      <c r="U247" s="454" t="str">
        <f t="shared" si="467"/>
        <v>2</v>
      </c>
      <c r="V247" s="454" t="str">
        <f t="shared" si="3"/>
        <v>1</v>
      </c>
      <c r="W247" s="454" t="str">
        <f t="shared" si="486"/>
        <v>0</v>
      </c>
      <c r="X247" s="454" t="str">
        <f t="shared" si="468"/>
        <v>2</v>
      </c>
      <c r="Y247" s="456" t="str">
        <f t="shared" si="5"/>
        <v>FALSE</v>
      </c>
      <c r="Z247" s="456" t="str">
        <f t="shared" si="6"/>
        <v>FALSE</v>
      </c>
      <c r="AA247" s="457" t="str">
        <f t="shared" ref="AA247:AB247" si="497">1-I247</f>
        <v>0%</v>
      </c>
      <c r="AB247" s="457" t="str">
        <f t="shared" si="497"/>
        <v>0%</v>
      </c>
      <c r="AC247" s="456" t="str">
        <f t="shared" si="8"/>
        <v>2</v>
      </c>
      <c r="AD247" s="458" t="str">
        <f t="shared" si="470"/>
        <v>0</v>
      </c>
      <c r="AE247" s="458" t="str">
        <f t="shared" si="10"/>
        <v>1</v>
      </c>
      <c r="AF247" s="459" t="str">
        <f t="shared" si="488"/>
        <v>0</v>
      </c>
      <c r="AG247" s="460"/>
      <c r="AH247" s="717" t="s">
        <v>21</v>
      </c>
      <c r="AI247" s="557" t="str">
        <f t="shared" ref="AI247:AI249" si="499">SUM(AM247+AK247+AO247+AQ242+AS242+AU242)</f>
        <v>21</v>
      </c>
      <c r="AK247" s="557" t="str">
        <f>sumifs($AC$2:$AC700, $D$2:$D700, "Rare", $E$2:$E700, "Classic", $F$2:F700, "Mage")</f>
        <v>10</v>
      </c>
      <c r="AM247" s="657" t="str">
        <f>sumifs($AC$2:$AC700, $D$2:$D700, "Rare", $E$2:$E700, "GvG", $F$2:F700, "Mage")</f>
        <v>5</v>
      </c>
      <c r="AO247" s="554" t="str">
        <f>sumifs($AC$2:$AC700, $D$2:$D700, "Rare", $E$2:$E700, "TGT", $F$2:F700, "Mage")</f>
        <v>6</v>
      </c>
      <c r="AP247" s="144"/>
      <c r="AQ247" s="499"/>
      <c r="AR247" s="499"/>
      <c r="AS247" s="499"/>
      <c r="AT247" s="499"/>
      <c r="AU247" s="499"/>
      <c r="AV247" s="499"/>
    </row>
    <row r="248">
      <c r="A248" s="442"/>
      <c r="B248" s="682">
        <v>4.0</v>
      </c>
      <c r="C248" s="683" t="s">
        <v>678</v>
      </c>
      <c r="D248" s="684" t="s">
        <v>15</v>
      </c>
      <c r="E248" s="684" t="s">
        <v>41</v>
      </c>
      <c r="F248" s="685" t="s">
        <v>70</v>
      </c>
      <c r="G248" s="686" t="str">
        <f>IF(Summary!$Y$25&gt;=VLOOKUP(C248,Reference!$N$41:$O$70,2,0),2,0)</f>
        <v>2</v>
      </c>
      <c r="H248" s="686">
        <v>0.0</v>
      </c>
      <c r="I248" s="518">
        <v>1.0</v>
      </c>
      <c r="J248" s="518"/>
      <c r="K248" s="687" t="s">
        <v>188</v>
      </c>
      <c r="L248" s="687"/>
      <c r="M248" s="687">
        <v>5.0</v>
      </c>
      <c r="N248" s="687">
        <v>5.0</v>
      </c>
      <c r="O248" s="688" t="s">
        <v>679</v>
      </c>
      <c r="P248" s="14"/>
      <c r="Q248" s="452" t="str">
        <f>MATCH($D248,Reference!$J$5:$J$9,0)</f>
        <v>2</v>
      </c>
      <c r="R248" s="452" t="str">
        <f>MATCH($E248,Reference!$J$26:$J$32,0)</f>
        <v>4</v>
      </c>
      <c r="S248" s="452" t="str">
        <f>MATCH($F248,Reference!$J$45:$J$54,0)</f>
        <v>6</v>
      </c>
      <c r="T248" s="453" t="str">
        <f>MATCH($K248,Reference!$J$37:$J$39,0)</f>
        <v>3</v>
      </c>
      <c r="U248" s="454" t="str">
        <f t="shared" si="467"/>
        <v>2</v>
      </c>
      <c r="V248" s="454" t="str">
        <f t="shared" si="3"/>
        <v>1</v>
      </c>
      <c r="W248" s="454" t="str">
        <f t="shared" si="486"/>
        <v>0</v>
      </c>
      <c r="X248" s="454" t="str">
        <f t="shared" si="468"/>
        <v>2</v>
      </c>
      <c r="Y248" s="456" t="str">
        <f t="shared" si="5"/>
        <v>FALSE</v>
      </c>
      <c r="Z248" s="456" t="str">
        <f t="shared" si="6"/>
        <v>FALSE</v>
      </c>
      <c r="AA248" s="457" t="str">
        <f t="shared" ref="AA248:AB248" si="498">1-I248</f>
        <v>0%</v>
      </c>
      <c r="AB248" s="457" t="str">
        <f t="shared" si="498"/>
        <v>100%</v>
      </c>
      <c r="AC248" s="456" t="str">
        <f t="shared" si="8"/>
        <v>2</v>
      </c>
      <c r="AD248" s="458" t="str">
        <f t="shared" si="470"/>
        <v>0</v>
      </c>
      <c r="AE248" s="458" t="str">
        <f t="shared" si="10"/>
        <v>1</v>
      </c>
      <c r="AF248" s="459" t="str">
        <f t="shared" si="488"/>
        <v>0</v>
      </c>
      <c r="AG248" s="460"/>
      <c r="AH248" s="718" t="s">
        <v>22</v>
      </c>
      <c r="AI248" s="568" t="str">
        <f t="shared" si="499"/>
        <v>9</v>
      </c>
      <c r="AK248" s="568" t="str">
        <f>sumifs($AC$2:$AC700, $D$2:$D700, "Epic", $E$2:$E700, "Classic", $F$2:F700, "Mage")</f>
        <v>6</v>
      </c>
      <c r="AM248" s="667" t="str">
        <f>sumifs($AC$2:$AC700, $D$2:$D700, "Epic", $E$2:$E700, "GvG", $F$2:F700, "Mage")</f>
        <v>1</v>
      </c>
      <c r="AO248" s="641" t="str">
        <f>sumifs($AC$2:$AC700, $D$2:$D700, "Epic", $E$2:$E700, "TGT", $F$2:F700, "Mage")</f>
        <v>2</v>
      </c>
      <c r="AP248" s="144"/>
      <c r="AQ248" s="499"/>
      <c r="AR248" s="499"/>
      <c r="AS248" s="499"/>
      <c r="AT248" s="499"/>
      <c r="AU248" s="499"/>
      <c r="AV248" s="499"/>
    </row>
    <row r="249">
      <c r="A249" s="509"/>
      <c r="B249" s="472">
        <v>4.0</v>
      </c>
      <c r="C249" s="489" t="s">
        <v>680</v>
      </c>
      <c r="D249" s="490" t="s">
        <v>15</v>
      </c>
      <c r="E249" s="490" t="s">
        <v>35</v>
      </c>
      <c r="F249" s="491" t="s">
        <v>70</v>
      </c>
      <c r="G249" s="492">
        <v>2.0</v>
      </c>
      <c r="H249" s="493">
        <v>0.0</v>
      </c>
      <c r="I249" s="494">
        <v>1.0</v>
      </c>
      <c r="J249" s="494">
        <v>1.0</v>
      </c>
      <c r="K249" s="495" t="s">
        <v>162</v>
      </c>
      <c r="L249" s="495"/>
      <c r="M249" s="495"/>
      <c r="N249" s="495"/>
      <c r="O249" s="496" t="s">
        <v>681</v>
      </c>
      <c r="P249" s="14"/>
      <c r="Q249" s="452" t="str">
        <f>MATCH($D249,Reference!$J$5:$J$9,0)</f>
        <v>2</v>
      </c>
      <c r="R249" s="452" t="str">
        <f>MATCH($E249,Reference!$J$26:$J$32,0)</f>
        <v>5</v>
      </c>
      <c r="S249" s="452" t="str">
        <f>MATCH($F249,Reference!$J$45:$J$54,0)</f>
        <v>6</v>
      </c>
      <c r="T249" s="453" t="str">
        <f>MATCH($K249,Reference!$J$37:$J$39,0)</f>
        <v>2</v>
      </c>
      <c r="U249" s="454" t="str">
        <f t="shared" si="467"/>
        <v>2</v>
      </c>
      <c r="V249" s="454" t="str">
        <f t="shared" si="3"/>
        <v>1</v>
      </c>
      <c r="W249" s="454" t="str">
        <f t="shared" si="486"/>
        <v>0</v>
      </c>
      <c r="X249" s="454" t="str">
        <f t="shared" si="468"/>
        <v>2</v>
      </c>
      <c r="Y249" s="456" t="str">
        <f t="shared" si="5"/>
        <v>FALSE</v>
      </c>
      <c r="Z249" s="456" t="str">
        <f t="shared" si="6"/>
        <v>FALSE</v>
      </c>
      <c r="AA249" s="457" t="str">
        <f t="shared" ref="AA249:AB249" si="500">1-I249</f>
        <v>0%</v>
      </c>
      <c r="AB249" s="457" t="str">
        <f t="shared" si="500"/>
        <v>0%</v>
      </c>
      <c r="AC249" s="456" t="str">
        <f t="shared" si="8"/>
        <v>2</v>
      </c>
      <c r="AD249" s="458" t="str">
        <f t="shared" si="470"/>
        <v>0</v>
      </c>
      <c r="AE249" s="458" t="str">
        <f t="shared" si="10"/>
        <v>1</v>
      </c>
      <c r="AF249" s="459" t="str">
        <f t="shared" si="488"/>
        <v>0</v>
      </c>
      <c r="AG249" s="460"/>
      <c r="AH249" s="719" t="s">
        <v>23</v>
      </c>
      <c r="AI249" s="720" t="str">
        <f t="shared" si="499"/>
        <v>4</v>
      </c>
      <c r="AK249" s="720" t="str">
        <f>sumifs($AC$2:$AC700, $D$2:$D700, "Legendary", $E$2:$E700, "Classic", $F$2:F700, "Mage")</f>
        <v>2</v>
      </c>
      <c r="AM249" s="721" t="str">
        <f>sumifs($AC$2:$AC700, $D$2:$D700, "Legendary", $E$2:$E700, "GvG", $F$2:F700, "Mage")</f>
        <v>1</v>
      </c>
      <c r="AO249" s="675" t="str">
        <f>sumifs($AC$2:$AC700, $D$2:$D700, "Legendary", $E$2:$E700, "TGT", $F$2:F700, "Mage")</f>
        <v>1</v>
      </c>
      <c r="AP249" s="144"/>
      <c r="AQ249" s="499"/>
      <c r="AR249" s="499"/>
      <c r="AS249" s="499"/>
      <c r="AT249" s="499"/>
      <c r="AU249" s="499"/>
      <c r="AV249" s="499"/>
    </row>
    <row r="250">
      <c r="A250" s="509"/>
      <c r="B250" s="466">
        <v>5.0</v>
      </c>
      <c r="C250" s="480" t="s">
        <v>682</v>
      </c>
      <c r="D250" s="476" t="s">
        <v>15</v>
      </c>
      <c r="E250" s="477" t="s">
        <v>36</v>
      </c>
      <c r="F250" s="476" t="s">
        <v>70</v>
      </c>
      <c r="G250" s="478">
        <v>2.0</v>
      </c>
      <c r="H250" s="478">
        <v>0.0</v>
      </c>
      <c r="I250" s="479">
        <v>1.0</v>
      </c>
      <c r="J250" s="479">
        <v>1.0</v>
      </c>
      <c r="K250" s="477" t="s">
        <v>188</v>
      </c>
      <c r="L250" s="477"/>
      <c r="M250" s="477">
        <v>3.0</v>
      </c>
      <c r="N250" s="477">
        <v>7.0</v>
      </c>
      <c r="O250" s="480" t="s">
        <v>683</v>
      </c>
      <c r="P250" s="14"/>
      <c r="Q250" s="452" t="str">
        <f>MATCH($D250,Reference!$J$5:$J$9,0)</f>
        <v>2</v>
      </c>
      <c r="R250" s="452" t="str">
        <f>MATCH($E250,Reference!$J$26:$J$32,0)</f>
        <v>7</v>
      </c>
      <c r="S250" s="452" t="str">
        <f>MATCH($F250,Reference!$J$45:$J$54,0)</f>
        <v>6</v>
      </c>
      <c r="T250" s="453" t="str">
        <f>MATCH($K250,Reference!$J$37:$J$39,0)</f>
        <v>3</v>
      </c>
      <c r="U250" s="454" t="str">
        <f t="shared" si="467"/>
        <v>2</v>
      </c>
      <c r="V250" s="454" t="str">
        <f t="shared" si="3"/>
        <v>1</v>
      </c>
      <c r="W250" s="454" t="str">
        <f t="shared" si="486"/>
        <v>0</v>
      </c>
      <c r="X250" s="454" t="str">
        <f t="shared" si="468"/>
        <v>2</v>
      </c>
      <c r="Y250" s="456" t="str">
        <f t="shared" si="5"/>
        <v>FALSE</v>
      </c>
      <c r="Z250" s="456" t="str">
        <f t="shared" si="6"/>
        <v>FALSE</v>
      </c>
      <c r="AA250" s="457" t="str">
        <f t="shared" ref="AA250:AB250" si="501">1-I250</f>
        <v>0%</v>
      </c>
      <c r="AB250" s="457" t="str">
        <f t="shared" si="501"/>
        <v>0%</v>
      </c>
      <c r="AC250" s="456" t="str">
        <f t="shared" si="8"/>
        <v>2</v>
      </c>
      <c r="AD250" s="458" t="str">
        <f t="shared" si="470"/>
        <v>0</v>
      </c>
      <c r="AE250" s="458" t="str">
        <f t="shared" si="10"/>
        <v>1</v>
      </c>
      <c r="AF250" s="459" t="str">
        <f t="shared" si="488"/>
        <v>0</v>
      </c>
      <c r="AG250" s="460"/>
      <c r="AH250" s="715" t="s">
        <v>68</v>
      </c>
      <c r="AI250" s="524" t="s">
        <v>24</v>
      </c>
      <c r="AJ250" s="106"/>
      <c r="AK250" s="716" t="s">
        <v>33</v>
      </c>
      <c r="AL250" s="106"/>
      <c r="AM250" s="716" t="s">
        <v>35</v>
      </c>
      <c r="AN250" s="106"/>
      <c r="AO250" s="716" t="s">
        <v>36</v>
      </c>
      <c r="AP250" s="107"/>
      <c r="AQ250" s="14"/>
      <c r="AR250" s="14"/>
      <c r="AS250" s="14"/>
      <c r="AT250" s="14"/>
    </row>
    <row r="251">
      <c r="A251" s="442"/>
      <c r="B251" s="547">
        <v>2.0</v>
      </c>
      <c r="C251" s="548" t="s">
        <v>684</v>
      </c>
      <c r="D251" s="549" t="s">
        <v>21</v>
      </c>
      <c r="E251" s="549" t="s">
        <v>33</v>
      </c>
      <c r="F251" s="550" t="s">
        <v>70</v>
      </c>
      <c r="G251" s="551">
        <v>2.0</v>
      </c>
      <c r="H251" s="551">
        <v>0.0</v>
      </c>
      <c r="I251" s="553">
        <v>1.0</v>
      </c>
      <c r="J251" s="553">
        <v>1.0</v>
      </c>
      <c r="K251" s="554" t="s">
        <v>162</v>
      </c>
      <c r="L251" s="554"/>
      <c r="M251" s="554"/>
      <c r="N251" s="554"/>
      <c r="O251" s="555" t="s">
        <v>685</v>
      </c>
      <c r="P251" s="14"/>
      <c r="Q251" s="452" t="str">
        <f>MATCH($D251,Reference!$J$5:$J$9,0)</f>
        <v>3</v>
      </c>
      <c r="R251" s="452" t="str">
        <f>MATCH($E251,Reference!$J$26:$J$32,0)</f>
        <v>2</v>
      </c>
      <c r="S251" s="452" t="str">
        <f>MATCH($F251,Reference!$J$45:$J$54,0)</f>
        <v>6</v>
      </c>
      <c r="T251" s="453" t="str">
        <f>MATCH($K251,Reference!$J$37:$J$39,0)</f>
        <v>2</v>
      </c>
      <c r="U251" s="454" t="str">
        <f t="shared" si="467"/>
        <v>2</v>
      </c>
      <c r="V251" s="454" t="str">
        <f t="shared" si="3"/>
        <v>1</v>
      </c>
      <c r="W251" s="454" t="str">
        <f t="shared" ref="W251:W260" si="503">(MIN(G251,2)+H251-U251)*100</f>
        <v>0</v>
      </c>
      <c r="X251" s="454" t="str">
        <f t="shared" si="468"/>
        <v>2</v>
      </c>
      <c r="Y251" s="456" t="str">
        <f t="shared" si="5"/>
        <v>FALSE</v>
      </c>
      <c r="Z251" s="456" t="str">
        <f t="shared" si="6"/>
        <v>FALSE</v>
      </c>
      <c r="AA251" s="457" t="str">
        <f t="shared" ref="AA251:AB251" si="502">1-I251</f>
        <v>0%</v>
      </c>
      <c r="AB251" s="457" t="str">
        <f t="shared" si="502"/>
        <v>0%</v>
      </c>
      <c r="AC251" s="456" t="str">
        <f t="shared" si="8"/>
        <v>2</v>
      </c>
      <c r="AD251" s="458" t="str">
        <f t="shared" si="470"/>
        <v>0</v>
      </c>
      <c r="AE251" s="458" t="str">
        <f t="shared" si="10"/>
        <v>1</v>
      </c>
      <c r="AF251" s="459" t="str">
        <f t="shared" ref="AF251:AF262" si="505">(MIN(H251,2)+G251-U251)*20</f>
        <v>0</v>
      </c>
      <c r="AG251" s="460"/>
      <c r="AH251" s="421" t="s">
        <v>15</v>
      </c>
      <c r="AI251" s="522" t="str">
        <f>SUM(AM251+AK251+AO251)</f>
        <v>22</v>
      </c>
      <c r="AK251" s="522" t="str">
        <f>sumifs($AC$2:$AC700, $D$2:$D700, "Common", $E$2:$E700, "Classic", $F$2:F700, "Druid")</f>
        <v>12</v>
      </c>
      <c r="AM251" s="531" t="str">
        <f>sumifs($AC$2:$AC700, $D$2:$D700, "Common", $E$2:$E700, "GvG", $F$2:F700, "Paladin")</f>
        <v>4</v>
      </c>
      <c r="AO251" s="722" t="str">
        <f>sumifs($AC$2:$AC700, $D$2:$D700, "Common", $E$2:$E700, "TGT", $F$2:F700, "Paladin")</f>
        <v>6</v>
      </c>
      <c r="AP251" s="144"/>
      <c r="AQ251" s="499"/>
      <c r="AR251" s="499"/>
      <c r="AS251" s="499"/>
      <c r="AT251" s="499"/>
      <c r="AU251" s="499"/>
      <c r="AV251" s="499"/>
    </row>
    <row r="252">
      <c r="A252" s="463"/>
      <c r="B252" s="560">
        <v>2.0</v>
      </c>
      <c r="C252" s="561" t="s">
        <v>686</v>
      </c>
      <c r="D252" s="562" t="s">
        <v>21</v>
      </c>
      <c r="E252" s="563" t="s">
        <v>36</v>
      </c>
      <c r="F252" s="562" t="s">
        <v>70</v>
      </c>
      <c r="G252" s="564">
        <v>2.0</v>
      </c>
      <c r="H252" s="564">
        <v>0.0</v>
      </c>
      <c r="I252" s="565">
        <v>1.0</v>
      </c>
      <c r="J252" s="565">
        <v>1.0</v>
      </c>
      <c r="K252" s="563" t="s">
        <v>188</v>
      </c>
      <c r="L252" s="563"/>
      <c r="M252" s="563">
        <v>2.0</v>
      </c>
      <c r="N252" s="563">
        <v>2.0</v>
      </c>
      <c r="O252" s="566" t="s">
        <v>687</v>
      </c>
      <c r="P252" s="14"/>
      <c r="Q252" s="452" t="str">
        <f>MATCH($D252,Reference!$J$5:$J$9,0)</f>
        <v>3</v>
      </c>
      <c r="R252" s="452" t="str">
        <f>MATCH($E252,Reference!$J$26:$J$32,0)</f>
        <v>7</v>
      </c>
      <c r="S252" s="452" t="str">
        <f>MATCH($F252,Reference!$J$45:$J$54,0)</f>
        <v>6</v>
      </c>
      <c r="T252" s="453" t="str">
        <f>MATCH($K252,Reference!$J$37:$J$39,0)</f>
        <v>3</v>
      </c>
      <c r="U252" s="454" t="str">
        <f t="shared" si="467"/>
        <v>2</v>
      </c>
      <c r="V252" s="454" t="str">
        <f t="shared" si="3"/>
        <v>1</v>
      </c>
      <c r="W252" s="454" t="str">
        <f t="shared" si="503"/>
        <v>0</v>
      </c>
      <c r="X252" s="454" t="str">
        <f t="shared" si="468"/>
        <v>2</v>
      </c>
      <c r="Y252" s="456" t="str">
        <f t="shared" si="5"/>
        <v>FALSE</v>
      </c>
      <c r="Z252" s="456" t="str">
        <f t="shared" si="6"/>
        <v>FALSE</v>
      </c>
      <c r="AA252" s="457" t="str">
        <f t="shared" ref="AA252:AB252" si="504">1-I252</f>
        <v>0%</v>
      </c>
      <c r="AB252" s="457" t="str">
        <f t="shared" si="504"/>
        <v>0%</v>
      </c>
      <c r="AC252" s="456" t="str">
        <f t="shared" si="8"/>
        <v>2</v>
      </c>
      <c r="AD252" s="458" t="str">
        <f t="shared" si="470"/>
        <v>0</v>
      </c>
      <c r="AE252" s="458" t="str">
        <f t="shared" si="10"/>
        <v>1</v>
      </c>
      <c r="AF252" s="459" t="str">
        <f t="shared" si="505"/>
        <v>0</v>
      </c>
      <c r="AG252" s="460"/>
      <c r="AH252" s="717" t="s">
        <v>21</v>
      </c>
      <c r="AI252" s="557" t="str">
        <f t="shared" ref="AI252:AI254" si="507">SUM(AM252+AK252+AO252+AQ247+AS247+AU247)</f>
        <v>21</v>
      </c>
      <c r="AK252" s="557" t="str">
        <f>sumifs($AC$2:$AC700, $D$2:$D700, "Rare", $E$2:$E700, "Classic", $F$2:F700, "Druid")</f>
        <v>10</v>
      </c>
      <c r="AM252" s="657" t="str">
        <f>sumifs($AC$2:$AC700, $D$2:$D700, "Rare", $E$2:$E700, "GvG", $F$2:F700, "Paladin")</f>
        <v>5</v>
      </c>
      <c r="AO252" s="554" t="str">
        <f>sumifs($AC$2:$AC700, $D$2:$D700, "Rare", $E$2:$E700, "TGT", $F$2:F700, "Paladin")</f>
        <v>6</v>
      </c>
      <c r="AP252" s="144"/>
      <c r="AQ252" s="499"/>
      <c r="AR252" s="499"/>
      <c r="AS252" s="499"/>
      <c r="AT252" s="499"/>
      <c r="AU252" s="499"/>
      <c r="AV252" s="499"/>
    </row>
    <row r="253">
      <c r="A253" s="463"/>
      <c r="B253" s="594">
        <v>2.0</v>
      </c>
      <c r="C253" s="595" t="s">
        <v>688</v>
      </c>
      <c r="D253" s="575" t="s">
        <v>21</v>
      </c>
      <c r="E253" s="575" t="s">
        <v>35</v>
      </c>
      <c r="F253" s="576" t="s">
        <v>70</v>
      </c>
      <c r="G253" s="597">
        <v>2.0</v>
      </c>
      <c r="H253" s="597">
        <v>0.0</v>
      </c>
      <c r="I253" s="598">
        <v>1.0</v>
      </c>
      <c r="J253" s="598">
        <v>1.0</v>
      </c>
      <c r="K253" s="600" t="s">
        <v>188</v>
      </c>
      <c r="L253" s="600" t="s">
        <v>660</v>
      </c>
      <c r="M253" s="600">
        <v>4.0</v>
      </c>
      <c r="N253" s="600">
        <v>1.0</v>
      </c>
      <c r="O253" s="599" t="s">
        <v>689</v>
      </c>
      <c r="P253" s="14"/>
      <c r="Q253" s="452" t="str">
        <f>MATCH($D253,Reference!$J$5:$J$9,0)</f>
        <v>3</v>
      </c>
      <c r="R253" s="452" t="str">
        <f>MATCH($E253,Reference!$J$26:$J$32,0)</f>
        <v>5</v>
      </c>
      <c r="S253" s="452" t="str">
        <f>MATCH($F253,Reference!$J$45:$J$54,0)</f>
        <v>6</v>
      </c>
      <c r="T253" s="453" t="str">
        <f>MATCH($K253,Reference!$J$37:$J$39,0)</f>
        <v>3</v>
      </c>
      <c r="U253" s="454" t="str">
        <f t="shared" si="467"/>
        <v>2</v>
      </c>
      <c r="V253" s="454" t="str">
        <f t="shared" si="3"/>
        <v>1</v>
      </c>
      <c r="W253" s="454" t="str">
        <f t="shared" si="503"/>
        <v>0</v>
      </c>
      <c r="X253" s="454" t="str">
        <f t="shared" si="468"/>
        <v>2</v>
      </c>
      <c r="Y253" s="456" t="str">
        <f t="shared" si="5"/>
        <v>FALSE</v>
      </c>
      <c r="Z253" s="456" t="str">
        <f t="shared" si="6"/>
        <v>FALSE</v>
      </c>
      <c r="AA253" s="457" t="str">
        <f t="shared" ref="AA253:AB253" si="506">1-I253</f>
        <v>0%</v>
      </c>
      <c r="AB253" s="457" t="str">
        <f t="shared" si="506"/>
        <v>0%</v>
      </c>
      <c r="AC253" s="456" t="str">
        <f t="shared" si="8"/>
        <v>2</v>
      </c>
      <c r="AD253" s="458" t="str">
        <f t="shared" si="470"/>
        <v>0</v>
      </c>
      <c r="AE253" s="458" t="str">
        <f t="shared" si="10"/>
        <v>1</v>
      </c>
      <c r="AF253" s="459" t="str">
        <f t="shared" si="505"/>
        <v>0</v>
      </c>
      <c r="AG253" s="460"/>
      <c r="AH253" s="718" t="s">
        <v>22</v>
      </c>
      <c r="AI253" s="568" t="str">
        <f t="shared" si="507"/>
        <v>14</v>
      </c>
      <c r="AK253" s="568" t="str">
        <f>sumifs($AC$2:$AC700, $D$2:$D700, "Epic", $E$2:$E700, "Classic", $F$2:F700, "Druid")</f>
        <v>6</v>
      </c>
      <c r="AM253" s="667" t="str">
        <f>sumifs($AC$2:$AC700, $D$2:$D700, "Epic", $E$2:$E700, "GvG", $F$2:F700, "Paladin")</f>
        <v>4</v>
      </c>
      <c r="AO253" s="641" t="str">
        <f>sumifs($AC$2:$AC700, $D$2:$D700, "Epic", $E$2:$E700, "TGT", $F$2:F700, "Paladin")</f>
        <v>4</v>
      </c>
      <c r="AP253" s="144"/>
      <c r="AQ253" s="499"/>
      <c r="AR253" s="499"/>
      <c r="AS253" s="499"/>
      <c r="AT253" s="499"/>
      <c r="AU253" s="499"/>
      <c r="AV253" s="499"/>
    </row>
    <row r="254">
      <c r="A254" s="442"/>
      <c r="B254" s="560">
        <v>3.0</v>
      </c>
      <c r="C254" s="561" t="s">
        <v>690</v>
      </c>
      <c r="D254" s="562" t="s">
        <v>21</v>
      </c>
      <c r="E254" s="563" t="s">
        <v>36</v>
      </c>
      <c r="F254" s="562" t="s">
        <v>70</v>
      </c>
      <c r="G254" s="564">
        <v>2.0</v>
      </c>
      <c r="H254" s="564">
        <v>0.0</v>
      </c>
      <c r="I254" s="565">
        <v>1.0</v>
      </c>
      <c r="J254" s="565">
        <v>1.0</v>
      </c>
      <c r="K254" s="563" t="s">
        <v>162</v>
      </c>
      <c r="L254" s="563"/>
      <c r="M254" s="563"/>
      <c r="N254" s="563"/>
      <c r="O254" s="566" t="s">
        <v>691</v>
      </c>
      <c r="P254" s="14"/>
      <c r="Q254" s="452" t="str">
        <f>MATCH($D254,Reference!$J$5:$J$9,0)</f>
        <v>3</v>
      </c>
      <c r="R254" s="452" t="str">
        <f>MATCH($E254,Reference!$J$26:$J$32,0)</f>
        <v>7</v>
      </c>
      <c r="S254" s="452" t="str">
        <f>MATCH($F254,Reference!$J$45:$J$54,0)</f>
        <v>6</v>
      </c>
      <c r="T254" s="453" t="str">
        <f>MATCH($K254,Reference!$J$37:$J$39,0)</f>
        <v>2</v>
      </c>
      <c r="U254" s="454" t="str">
        <f t="shared" si="467"/>
        <v>2</v>
      </c>
      <c r="V254" s="454" t="str">
        <f t="shared" si="3"/>
        <v>1</v>
      </c>
      <c r="W254" s="454" t="str">
        <f t="shared" si="503"/>
        <v>0</v>
      </c>
      <c r="X254" s="454" t="str">
        <f t="shared" si="468"/>
        <v>2</v>
      </c>
      <c r="Y254" s="456" t="str">
        <f t="shared" si="5"/>
        <v>FALSE</v>
      </c>
      <c r="Z254" s="456" t="str">
        <f t="shared" si="6"/>
        <v>FALSE</v>
      </c>
      <c r="AA254" s="457" t="str">
        <f t="shared" ref="AA254:AB254" si="508">1-I254</f>
        <v>0%</v>
      </c>
      <c r="AB254" s="457" t="str">
        <f t="shared" si="508"/>
        <v>0%</v>
      </c>
      <c r="AC254" s="456" t="str">
        <f t="shared" si="8"/>
        <v>2</v>
      </c>
      <c r="AD254" s="458" t="str">
        <f t="shared" si="470"/>
        <v>0</v>
      </c>
      <c r="AE254" s="458" t="str">
        <f t="shared" si="10"/>
        <v>1</v>
      </c>
      <c r="AF254" s="459" t="str">
        <f t="shared" si="505"/>
        <v>0</v>
      </c>
      <c r="AG254" s="460"/>
      <c r="AH254" s="719" t="s">
        <v>23</v>
      </c>
      <c r="AI254" s="720" t="str">
        <f t="shared" si="507"/>
        <v>4</v>
      </c>
      <c r="AK254" s="720" t="str">
        <f>sumifs($AC$2:$AC700, $D$2:$D700, "Legendary", $E$2:$E700, "Classic", $F$2:F700, "Druid")</f>
        <v>2</v>
      </c>
      <c r="AM254" s="721" t="str">
        <f>sumifs($AC$2:$AC700, $D$2:$D700, "Legendary", $E$2:$E700, "GvG", $F$2:F700, "Paladin")</f>
        <v>1</v>
      </c>
      <c r="AO254" s="675" t="str">
        <f>sumifs($AC$2:$AC700, $D$2:$D700, "Legendary", $E$2:$E700, "TGT", $F$2:F700, "Paladin")</f>
        <v>1</v>
      </c>
      <c r="AP254" s="144"/>
      <c r="AQ254" s="499"/>
      <c r="AR254" s="499"/>
      <c r="AS254" s="499"/>
      <c r="AT254" s="499"/>
      <c r="AU254" s="499"/>
      <c r="AV254" s="499"/>
    </row>
    <row r="255">
      <c r="A255" s="442"/>
      <c r="B255" s="547">
        <v>3.0</v>
      </c>
      <c r="C255" s="548" t="s">
        <v>692</v>
      </c>
      <c r="D255" s="549" t="s">
        <v>21</v>
      </c>
      <c r="E255" s="549" t="s">
        <v>33</v>
      </c>
      <c r="F255" s="550" t="s">
        <v>70</v>
      </c>
      <c r="G255" s="551">
        <v>2.0</v>
      </c>
      <c r="H255" s="552">
        <v>0.0</v>
      </c>
      <c r="I255" s="553">
        <v>1.0</v>
      </c>
      <c r="J255" s="553">
        <v>1.0</v>
      </c>
      <c r="K255" s="554" t="s">
        <v>162</v>
      </c>
      <c r="L255" s="554"/>
      <c r="M255" s="554"/>
      <c r="N255" s="554"/>
      <c r="O255" s="555" t="s">
        <v>693</v>
      </c>
      <c r="P255" s="14"/>
      <c r="Q255" s="452" t="str">
        <f>MATCH($D255,Reference!$J$5:$J$9,0)</f>
        <v>3</v>
      </c>
      <c r="R255" s="452" t="str">
        <f>MATCH($E255,Reference!$J$26:$J$32,0)</f>
        <v>2</v>
      </c>
      <c r="S255" s="452" t="str">
        <f>MATCH($F255,Reference!$J$45:$J$54,0)</f>
        <v>6</v>
      </c>
      <c r="T255" s="453" t="str">
        <f>MATCH($K255,Reference!$J$37:$J$39,0)</f>
        <v>2</v>
      </c>
      <c r="U255" s="454" t="str">
        <f t="shared" si="467"/>
        <v>2</v>
      </c>
      <c r="V255" s="454" t="str">
        <f t="shared" si="3"/>
        <v>1</v>
      </c>
      <c r="W255" s="454" t="str">
        <f t="shared" si="503"/>
        <v>0</v>
      </c>
      <c r="X255" s="454" t="str">
        <f t="shared" si="468"/>
        <v>2</v>
      </c>
      <c r="Y255" s="456" t="str">
        <f t="shared" si="5"/>
        <v>FALSE</v>
      </c>
      <c r="Z255" s="456" t="str">
        <f t="shared" si="6"/>
        <v>FALSE</v>
      </c>
      <c r="AA255" s="457" t="str">
        <f t="shared" ref="AA255:AB255" si="509">1-I255</f>
        <v>0%</v>
      </c>
      <c r="AB255" s="457" t="str">
        <f t="shared" si="509"/>
        <v>0%</v>
      </c>
      <c r="AC255" s="456" t="str">
        <f t="shared" si="8"/>
        <v>2</v>
      </c>
      <c r="AD255" s="458" t="str">
        <f t="shared" si="470"/>
        <v>0</v>
      </c>
      <c r="AE255" s="458" t="str">
        <f t="shared" si="10"/>
        <v>1</v>
      </c>
      <c r="AF255" s="459" t="str">
        <f t="shared" si="505"/>
        <v>0</v>
      </c>
      <c r="AG255" s="460"/>
      <c r="AH255" s="715" t="s">
        <v>69</v>
      </c>
      <c r="AI255" s="524" t="s">
        <v>24</v>
      </c>
      <c r="AJ255" s="106"/>
      <c r="AK255" s="716" t="s">
        <v>33</v>
      </c>
      <c r="AL255" s="106"/>
      <c r="AM255" s="716" t="s">
        <v>35</v>
      </c>
      <c r="AN255" s="106"/>
      <c r="AO255" s="716" t="s">
        <v>36</v>
      </c>
      <c r="AP255" s="107"/>
      <c r="AQ255" s="14"/>
      <c r="AR255" s="14"/>
      <c r="AS255" s="14"/>
      <c r="AT255" s="14"/>
    </row>
    <row r="256">
      <c r="A256" s="466"/>
      <c r="B256" s="594">
        <v>3.0</v>
      </c>
      <c r="C256" s="595" t="s">
        <v>694</v>
      </c>
      <c r="D256" s="575" t="s">
        <v>21</v>
      </c>
      <c r="E256" s="575" t="s">
        <v>35</v>
      </c>
      <c r="F256" s="576" t="s">
        <v>70</v>
      </c>
      <c r="G256" s="596">
        <v>1.0</v>
      </c>
      <c r="H256" s="596">
        <v>0.0</v>
      </c>
      <c r="I256" s="598">
        <v>1.0</v>
      </c>
      <c r="J256" s="598">
        <v>1.0</v>
      </c>
      <c r="K256" s="600" t="s">
        <v>188</v>
      </c>
      <c r="L256" s="600" t="s">
        <v>198</v>
      </c>
      <c r="M256" s="600">
        <v>2.0</v>
      </c>
      <c r="N256" s="600">
        <v>2.0</v>
      </c>
      <c r="O256" s="599" t="s">
        <v>695</v>
      </c>
      <c r="P256" s="14"/>
      <c r="Q256" s="452" t="str">
        <f>MATCH($D256,Reference!$J$5:$J$9,0)</f>
        <v>3</v>
      </c>
      <c r="R256" s="452" t="str">
        <f>MATCH($E256,Reference!$J$26:$J$32,0)</f>
        <v>5</v>
      </c>
      <c r="S256" s="452" t="str">
        <f>MATCH($F256,Reference!$J$45:$J$54,0)</f>
        <v>6</v>
      </c>
      <c r="T256" s="453" t="str">
        <f>MATCH($K256,Reference!$J$37:$J$39,0)</f>
        <v>3</v>
      </c>
      <c r="U256" s="454" t="str">
        <f t="shared" si="467"/>
        <v>1</v>
      </c>
      <c r="V256" s="454" t="str">
        <f t="shared" si="3"/>
        <v>1</v>
      </c>
      <c r="W256" s="454" t="str">
        <f t="shared" si="503"/>
        <v>0</v>
      </c>
      <c r="X256" s="454" t="str">
        <f t="shared" si="468"/>
        <v>1</v>
      </c>
      <c r="Y256" s="456" t="str">
        <f t="shared" si="5"/>
        <v>FALSE</v>
      </c>
      <c r="Z256" s="456" t="str">
        <f t="shared" si="6"/>
        <v>TRUE</v>
      </c>
      <c r="AA256" s="457" t="str">
        <f t="shared" ref="AA256:AB256" si="510">1-I256</f>
        <v>0%</v>
      </c>
      <c r="AB256" s="457" t="str">
        <f t="shared" si="510"/>
        <v>0%</v>
      </c>
      <c r="AC256" s="456" t="str">
        <f t="shared" si="8"/>
        <v>1</v>
      </c>
      <c r="AD256" s="458" t="str">
        <f t="shared" si="470"/>
        <v>0</v>
      </c>
      <c r="AE256" s="458" t="str">
        <f t="shared" si="10"/>
        <v>1</v>
      </c>
      <c r="AF256" s="459" t="str">
        <f t="shared" si="505"/>
        <v>0</v>
      </c>
      <c r="AG256" s="460"/>
      <c r="AH256" s="421" t="s">
        <v>15</v>
      </c>
      <c r="AI256" s="522" t="str">
        <f>SUM(AM256+AK256+AO256)</f>
        <v>22</v>
      </c>
      <c r="AK256" s="522" t="str">
        <f>sumifs($AC$2:$AC700, $D$2:$D700, "Common", $E$2:$E700, "Classic", $F$2:F700, "Priest")</f>
        <v>12</v>
      </c>
      <c r="AM256" s="531" t="str">
        <f>sumifs($AC$2:$AC700, $D$2:$D700, "Common", $E$2:$E700, "GvG", $F$2:F700, "Priest")</f>
        <v>4</v>
      </c>
      <c r="AO256" s="722" t="str">
        <f>sumifs($AC$2:$AC700, $D$2:$D700, "Common", $E$2:$E700, "TGT", $F$2:F700, "Priest")</f>
        <v>6</v>
      </c>
      <c r="AP256" s="144"/>
      <c r="AQ256" s="499"/>
      <c r="AR256" s="499"/>
      <c r="AS256" s="499"/>
      <c r="AT256" s="499"/>
      <c r="AU256" s="499"/>
      <c r="AV256" s="499"/>
    </row>
    <row r="257">
      <c r="A257" s="442"/>
      <c r="B257" s="547">
        <v>3.0</v>
      </c>
      <c r="C257" s="548" t="s">
        <v>696</v>
      </c>
      <c r="D257" s="549" t="s">
        <v>21</v>
      </c>
      <c r="E257" s="549" t="s">
        <v>33</v>
      </c>
      <c r="F257" s="550" t="s">
        <v>70</v>
      </c>
      <c r="G257" s="551">
        <v>2.0</v>
      </c>
      <c r="H257" s="551">
        <v>0.0</v>
      </c>
      <c r="I257" s="553">
        <v>1.0</v>
      </c>
      <c r="J257" s="553">
        <v>1.0</v>
      </c>
      <c r="K257" s="554" t="s">
        <v>304</v>
      </c>
      <c r="L257" s="554"/>
      <c r="M257" s="554">
        <v>2.0</v>
      </c>
      <c r="N257" s="554">
        <v>2.0</v>
      </c>
      <c r="O257" s="555" t="s">
        <v>697</v>
      </c>
      <c r="P257" s="14"/>
      <c r="Q257" s="452" t="str">
        <f>MATCH($D257,Reference!$J$5:$J$9,0)</f>
        <v>3</v>
      </c>
      <c r="R257" s="452" t="str">
        <f>MATCH($E257,Reference!$J$26:$J$32,0)</f>
        <v>2</v>
      </c>
      <c r="S257" s="452" t="str">
        <f>MATCH($F257,Reference!$J$45:$J$54,0)</f>
        <v>6</v>
      </c>
      <c r="T257" s="453" t="str">
        <f>MATCH($K257,Reference!$J$37:$J$39,0)</f>
        <v>1</v>
      </c>
      <c r="U257" s="454" t="str">
        <f t="shared" si="467"/>
        <v>2</v>
      </c>
      <c r="V257" s="454" t="str">
        <f t="shared" si="3"/>
        <v>1</v>
      </c>
      <c r="W257" s="454" t="str">
        <f t="shared" si="503"/>
        <v>0</v>
      </c>
      <c r="X257" s="454" t="str">
        <f t="shared" si="468"/>
        <v>2</v>
      </c>
      <c r="Y257" s="456" t="str">
        <f t="shared" si="5"/>
        <v>FALSE</v>
      </c>
      <c r="Z257" s="456" t="str">
        <f t="shared" si="6"/>
        <v>FALSE</v>
      </c>
      <c r="AA257" s="457" t="str">
        <f t="shared" ref="AA257:AB257" si="511">1-I257</f>
        <v>0%</v>
      </c>
      <c r="AB257" s="457" t="str">
        <f t="shared" si="511"/>
        <v>0%</v>
      </c>
      <c r="AC257" s="456" t="str">
        <f t="shared" si="8"/>
        <v>2</v>
      </c>
      <c r="AD257" s="458" t="str">
        <f t="shared" si="470"/>
        <v>0</v>
      </c>
      <c r="AE257" s="458" t="str">
        <f t="shared" si="10"/>
        <v>1</v>
      </c>
      <c r="AF257" s="459" t="str">
        <f t="shared" si="505"/>
        <v>0</v>
      </c>
      <c r="AG257" s="460"/>
      <c r="AH257" s="717" t="s">
        <v>21</v>
      </c>
      <c r="AI257" s="557" t="str">
        <f t="shared" ref="AI257:AI259" si="513">SUM(AM257+AK257+AO257+AQ252+AS252+AU252)</f>
        <v>22</v>
      </c>
      <c r="AK257" s="557" t="str">
        <f>sumifs($AC$2:$AC700, $D$2:$D700, "Rare", $E$2:$E700, "Classic", $F$2:F700, "Priest")</f>
        <v>10</v>
      </c>
      <c r="AM257" s="657" t="str">
        <f>sumifs($AC$2:$AC700, $D$2:$D700, "Rare", $E$2:$E700, "GvG", $F$2:F700, "Priest")</f>
        <v>6</v>
      </c>
      <c r="AO257" s="554" t="str">
        <f>sumifs($AC$2:$AC700, $D$2:$D700, "Rare", $E$2:$E700, "TGT", $F$2:F700, "Priest")</f>
        <v>6</v>
      </c>
      <c r="AP257" s="144"/>
      <c r="AQ257" s="499"/>
      <c r="AR257" s="499"/>
      <c r="AS257" s="499"/>
      <c r="AT257" s="499"/>
      <c r="AU257" s="499"/>
      <c r="AV257" s="499"/>
    </row>
    <row r="258">
      <c r="A258" s="442"/>
      <c r="B258" s="560">
        <v>3.0</v>
      </c>
      <c r="C258" s="561" t="s">
        <v>698</v>
      </c>
      <c r="D258" s="562" t="s">
        <v>21</v>
      </c>
      <c r="E258" s="563" t="s">
        <v>36</v>
      </c>
      <c r="F258" s="562" t="s">
        <v>70</v>
      </c>
      <c r="G258" s="564">
        <v>2.0</v>
      </c>
      <c r="H258" s="564">
        <v>0.0</v>
      </c>
      <c r="I258" s="565">
        <v>1.0</v>
      </c>
      <c r="J258" s="565">
        <v>1.0</v>
      </c>
      <c r="K258" s="563" t="s">
        <v>188</v>
      </c>
      <c r="L258" s="563"/>
      <c r="M258" s="563">
        <v>4.0</v>
      </c>
      <c r="N258" s="563">
        <v>3.0</v>
      </c>
      <c r="O258" s="566" t="s">
        <v>699</v>
      </c>
      <c r="P258" s="14"/>
      <c r="Q258" s="452" t="str">
        <f>MATCH($D258,Reference!$J$5:$J$9,0)</f>
        <v>3</v>
      </c>
      <c r="R258" s="452" t="str">
        <f>MATCH($E258,Reference!$J$26:$J$32,0)</f>
        <v>7</v>
      </c>
      <c r="S258" s="452" t="str">
        <f>MATCH($F258,Reference!$J$45:$J$54,0)</f>
        <v>6</v>
      </c>
      <c r="T258" s="453" t="str">
        <f>MATCH($K258,Reference!$J$37:$J$39,0)</f>
        <v>3</v>
      </c>
      <c r="U258" s="454" t="str">
        <f t="shared" si="467"/>
        <v>2</v>
      </c>
      <c r="V258" s="454" t="str">
        <f t="shared" si="3"/>
        <v>1</v>
      </c>
      <c r="W258" s="454" t="str">
        <f t="shared" si="503"/>
        <v>0</v>
      </c>
      <c r="X258" s="454" t="str">
        <f t="shared" si="468"/>
        <v>2</v>
      </c>
      <c r="Y258" s="456" t="str">
        <f t="shared" si="5"/>
        <v>FALSE</v>
      </c>
      <c r="Z258" s="456" t="str">
        <f t="shared" si="6"/>
        <v>FALSE</v>
      </c>
      <c r="AA258" s="457" t="str">
        <f t="shared" ref="AA258:AB258" si="512">1-I258</f>
        <v>0%</v>
      </c>
      <c r="AB258" s="457" t="str">
        <f t="shared" si="512"/>
        <v>0%</v>
      </c>
      <c r="AC258" s="456" t="str">
        <f t="shared" si="8"/>
        <v>2</v>
      </c>
      <c r="AD258" s="458" t="str">
        <f t="shared" si="470"/>
        <v>0</v>
      </c>
      <c r="AE258" s="458" t="str">
        <f t="shared" si="10"/>
        <v>1</v>
      </c>
      <c r="AF258" s="459" t="str">
        <f t="shared" si="505"/>
        <v>0</v>
      </c>
      <c r="AG258" s="460"/>
      <c r="AH258" s="718" t="s">
        <v>22</v>
      </c>
      <c r="AI258" s="568" t="str">
        <f t="shared" si="513"/>
        <v>8</v>
      </c>
      <c r="AK258" s="568" t="str">
        <f>sumifs($AC$2:$AC700, $D$2:$D700, "Epic", $E$2:$E700, "Classic", $F$2:F700, "Priest")</f>
        <v>5</v>
      </c>
      <c r="AM258" s="667" t="str">
        <f>sumifs($AC$2:$AC700, $D$2:$D700, "Epic", $E$2:$E700, "GvG", $F$2:F700, "Priest")</f>
        <v>1</v>
      </c>
      <c r="AO258" s="641" t="str">
        <f>sumifs($AC$2:$AC700, $D$2:$D700, "Epic", $E$2:$E700, "TGT", $F$2:F700, "Priest")</f>
        <v>2</v>
      </c>
      <c r="AP258" s="144"/>
      <c r="AQ258" s="499"/>
      <c r="AR258" s="499"/>
      <c r="AS258" s="499"/>
      <c r="AT258" s="499"/>
      <c r="AU258" s="499"/>
      <c r="AV258" s="499"/>
    </row>
    <row r="259">
      <c r="A259" s="442"/>
      <c r="B259" s="547">
        <v>3.0</v>
      </c>
      <c r="C259" s="548" t="s">
        <v>700</v>
      </c>
      <c r="D259" s="549" t="s">
        <v>21</v>
      </c>
      <c r="E259" s="549" t="s">
        <v>33</v>
      </c>
      <c r="F259" s="550" t="s">
        <v>70</v>
      </c>
      <c r="G259" s="551">
        <v>2.0</v>
      </c>
      <c r="H259" s="552">
        <v>0.0</v>
      </c>
      <c r="I259" s="553">
        <v>1.0</v>
      </c>
      <c r="J259" s="553">
        <v>1.0</v>
      </c>
      <c r="K259" s="554" t="s">
        <v>188</v>
      </c>
      <c r="L259" s="554"/>
      <c r="M259" s="554">
        <v>3.0</v>
      </c>
      <c r="N259" s="554">
        <v>3.0</v>
      </c>
      <c r="O259" s="555" t="s">
        <v>701</v>
      </c>
      <c r="P259" s="14"/>
      <c r="Q259" s="452" t="str">
        <f>MATCH($D259,Reference!$J$5:$J$9,0)</f>
        <v>3</v>
      </c>
      <c r="R259" s="452" t="str">
        <f>MATCH($E259,Reference!$J$26:$J$32,0)</f>
        <v>2</v>
      </c>
      <c r="S259" s="452" t="str">
        <f>MATCH($F259,Reference!$J$45:$J$54,0)</f>
        <v>6</v>
      </c>
      <c r="T259" s="453" t="str">
        <f>MATCH($K259,Reference!$J$37:$J$39,0)</f>
        <v>3</v>
      </c>
      <c r="U259" s="454" t="str">
        <f t="shared" si="467"/>
        <v>2</v>
      </c>
      <c r="V259" s="454" t="str">
        <f t="shared" si="3"/>
        <v>1</v>
      </c>
      <c r="W259" s="454" t="str">
        <f t="shared" si="503"/>
        <v>0</v>
      </c>
      <c r="X259" s="454" t="str">
        <f t="shared" si="468"/>
        <v>2</v>
      </c>
      <c r="Y259" s="456" t="str">
        <f t="shared" si="5"/>
        <v>FALSE</v>
      </c>
      <c r="Z259" s="456" t="str">
        <f t="shared" si="6"/>
        <v>FALSE</v>
      </c>
      <c r="AA259" s="457" t="str">
        <f t="shared" ref="AA259:AB259" si="514">1-I259</f>
        <v>0%</v>
      </c>
      <c r="AB259" s="457" t="str">
        <f t="shared" si="514"/>
        <v>0%</v>
      </c>
      <c r="AC259" s="456" t="str">
        <f t="shared" si="8"/>
        <v>2</v>
      </c>
      <c r="AD259" s="458" t="str">
        <f t="shared" si="470"/>
        <v>0</v>
      </c>
      <c r="AE259" s="458" t="str">
        <f t="shared" si="10"/>
        <v>1</v>
      </c>
      <c r="AF259" s="459" t="str">
        <f t="shared" si="505"/>
        <v>0</v>
      </c>
      <c r="AG259" s="460"/>
      <c r="AH259" s="719" t="s">
        <v>23</v>
      </c>
      <c r="AI259" s="720" t="str">
        <f t="shared" si="513"/>
        <v>4</v>
      </c>
      <c r="AK259" s="720" t="str">
        <f>sumifs($AC$2:$AC700, $D$2:$D700, "Legendary", $E$2:$E700, "Classic", $F$2:F700, "Priest")</f>
        <v>1</v>
      </c>
      <c r="AM259" s="721" t="str">
        <f>sumifs($AC$2:$AC700, $D$2:$D700, "Legendary", $E$2:$E700, "GvG", $F$2:F700, "Priest")</f>
        <v>2</v>
      </c>
      <c r="AO259" s="675" t="str">
        <f>sumifs($AC$2:$AC700, $D$2:$D700, "Legendary", $E$2:$E700, "TGT", $F$2:F700, "Priest")</f>
        <v>1</v>
      </c>
      <c r="AP259" s="144"/>
      <c r="AQ259" s="499"/>
      <c r="AR259" s="499"/>
      <c r="AS259" s="499"/>
      <c r="AT259" s="499"/>
      <c r="AU259" s="499"/>
      <c r="AV259" s="499"/>
    </row>
    <row r="260">
      <c r="A260" s="466"/>
      <c r="B260" s="547">
        <v>4.0</v>
      </c>
      <c r="C260" s="548" t="s">
        <v>702</v>
      </c>
      <c r="D260" s="549" t="s">
        <v>21</v>
      </c>
      <c r="E260" s="549" t="s">
        <v>33</v>
      </c>
      <c r="F260" s="550" t="s">
        <v>70</v>
      </c>
      <c r="G260" s="551">
        <v>2.0</v>
      </c>
      <c r="H260" s="551">
        <v>0.0</v>
      </c>
      <c r="I260" s="553">
        <v>1.0</v>
      </c>
      <c r="J260" s="553">
        <v>1.0</v>
      </c>
      <c r="K260" s="549" t="s">
        <v>188</v>
      </c>
      <c r="L260" s="549"/>
      <c r="M260" s="550">
        <v>4.0</v>
      </c>
      <c r="N260" s="551">
        <v>4.0</v>
      </c>
      <c r="O260" s="555" t="s">
        <v>703</v>
      </c>
      <c r="P260" s="14"/>
      <c r="Q260" s="452" t="str">
        <f>MATCH($D260,Reference!$J$5:$J$9,0)</f>
        <v>3</v>
      </c>
      <c r="R260" s="452" t="str">
        <f>MATCH($E260,Reference!$J$26:$J$32,0)</f>
        <v>2</v>
      </c>
      <c r="S260" s="452" t="str">
        <f>MATCH($F260,Reference!$J$45:$J$54,0)</f>
        <v>6</v>
      </c>
      <c r="T260" s="453" t="str">
        <f>MATCH($K260,Reference!$J$37:$J$39,0)</f>
        <v>3</v>
      </c>
      <c r="U260" s="454" t="str">
        <f t="shared" si="467"/>
        <v>2</v>
      </c>
      <c r="V260" s="454" t="str">
        <f t="shared" si="3"/>
        <v>1</v>
      </c>
      <c r="W260" s="454" t="str">
        <f t="shared" si="503"/>
        <v>0</v>
      </c>
      <c r="X260" s="454" t="str">
        <f t="shared" si="468"/>
        <v>2</v>
      </c>
      <c r="Y260" s="456" t="str">
        <f t="shared" si="5"/>
        <v>FALSE</v>
      </c>
      <c r="Z260" s="456" t="str">
        <f t="shared" si="6"/>
        <v>FALSE</v>
      </c>
      <c r="AA260" s="457" t="str">
        <f t="shared" ref="AA260:AB260" si="515">1-I260</f>
        <v>0%</v>
      </c>
      <c r="AB260" s="457" t="str">
        <f t="shared" si="515"/>
        <v>0%</v>
      </c>
      <c r="AC260" s="456" t="str">
        <f t="shared" si="8"/>
        <v>2</v>
      </c>
      <c r="AD260" s="458" t="str">
        <f t="shared" si="470"/>
        <v>0</v>
      </c>
      <c r="AE260" s="458" t="str">
        <f t="shared" si="10"/>
        <v>1</v>
      </c>
      <c r="AF260" s="459" t="str">
        <f t="shared" si="505"/>
        <v>0</v>
      </c>
      <c r="AG260" s="460"/>
      <c r="AH260" s="715" t="s">
        <v>70</v>
      </c>
      <c r="AI260" s="524" t="s">
        <v>24</v>
      </c>
      <c r="AJ260" s="106"/>
      <c r="AK260" s="716" t="s">
        <v>33</v>
      </c>
      <c r="AL260" s="106"/>
      <c r="AM260" s="716" t="s">
        <v>35</v>
      </c>
      <c r="AN260" s="106"/>
      <c r="AO260" s="716" t="s">
        <v>36</v>
      </c>
      <c r="AP260" s="107"/>
      <c r="AQ260" s="14"/>
      <c r="AR260" s="14"/>
      <c r="AS260" s="14"/>
      <c r="AT260" s="14"/>
    </row>
    <row r="261">
      <c r="A261" s="442"/>
      <c r="B261" s="607">
        <v>5.0</v>
      </c>
      <c r="C261" s="608" t="s">
        <v>704</v>
      </c>
      <c r="D261" s="609" t="s">
        <v>21</v>
      </c>
      <c r="E261" s="609" t="s">
        <v>47</v>
      </c>
      <c r="F261" s="610" t="s">
        <v>70</v>
      </c>
      <c r="G261" s="611" t="str">
        <f>IF(Summary!$Y$27&gt;=VLOOKUP(C261,Reference!$N$6:$O$36,2,0),2,0)</f>
        <v>2</v>
      </c>
      <c r="H261" s="611">
        <v>0.0</v>
      </c>
      <c r="I261" s="612">
        <v>1.0</v>
      </c>
      <c r="J261" s="612"/>
      <c r="K261" s="613" t="s">
        <v>188</v>
      </c>
      <c r="L261" s="613"/>
      <c r="M261" s="613">
        <v>4.0</v>
      </c>
      <c r="N261" s="613">
        <v>3.0</v>
      </c>
      <c r="O261" s="614" t="s">
        <v>705</v>
      </c>
      <c r="P261" s="14"/>
      <c r="Q261" s="452" t="str">
        <f>MATCH($D261,Reference!$J$5:$J$9,0)</f>
        <v>3</v>
      </c>
      <c r="R261" s="452" t="str">
        <f>MATCH($E261,Reference!$J$26:$J$32,0)</f>
        <v>6</v>
      </c>
      <c r="S261" s="452" t="str">
        <f>MATCH($F261,Reference!$J$45:$J$54,0)</f>
        <v>6</v>
      </c>
      <c r="T261" s="453" t="str">
        <f>MATCH($K261,Reference!$J$37:$J$39,0)</f>
        <v>3</v>
      </c>
      <c r="U261" s="454" t="str">
        <f t="shared" si="467"/>
        <v>2</v>
      </c>
      <c r="V261" s="454" t="str">
        <f t="shared" si="3"/>
        <v>1</v>
      </c>
      <c r="W261" s="455">
        <v>0.0</v>
      </c>
      <c r="X261" s="454" t="str">
        <f t="shared" si="468"/>
        <v>2</v>
      </c>
      <c r="Y261" s="456" t="str">
        <f t="shared" si="5"/>
        <v>FALSE</v>
      </c>
      <c r="Z261" s="456" t="str">
        <f t="shared" si="6"/>
        <v>FALSE</v>
      </c>
      <c r="AA261" s="457" t="str">
        <f t="shared" ref="AA261:AB261" si="516">1-I261</f>
        <v>0%</v>
      </c>
      <c r="AB261" s="457" t="str">
        <f t="shared" si="516"/>
        <v>100%</v>
      </c>
      <c r="AC261" s="456" t="str">
        <f t="shared" si="8"/>
        <v>2</v>
      </c>
      <c r="AD261" s="458" t="str">
        <f t="shared" si="470"/>
        <v>0</v>
      </c>
      <c r="AE261" s="458" t="str">
        <f t="shared" si="10"/>
        <v>1</v>
      </c>
      <c r="AF261" s="459" t="str">
        <f t="shared" si="505"/>
        <v>0</v>
      </c>
      <c r="AG261" s="460"/>
      <c r="AH261" s="421" t="s">
        <v>15</v>
      </c>
      <c r="AI261" s="522" t="str">
        <f>SUM(AM261+AK261+AO261)</f>
        <v>22</v>
      </c>
      <c r="AK261" s="522" t="str">
        <f>sumifs($AC$2:$AC700, $D$2:$D700, "Common", $E$2:$E700, "Classic", $F$2:F700, "Rogue")</f>
        <v>12</v>
      </c>
      <c r="AM261" s="531" t="str">
        <f>sumifs($AC$2:$AC700, $D$2:$D700, "Common", $E$2:$E700, "GvG", $F$2:F700, "Rogue")</f>
        <v>4</v>
      </c>
      <c r="AO261" s="722" t="str">
        <f>sumifs($AC$2:$AC700, $D$2:$D700, "Common", $E$2:$E700, "TGT", $F$2:F700, "Rogue")</f>
        <v>6</v>
      </c>
      <c r="AP261" s="144"/>
      <c r="AQ261" s="499"/>
      <c r="AR261" s="499"/>
      <c r="AS261" s="499"/>
      <c r="AT261" s="499"/>
      <c r="AU261" s="499"/>
      <c r="AV261" s="499"/>
    </row>
    <row r="262">
      <c r="A262" s="442"/>
      <c r="B262" s="594">
        <v>5.0</v>
      </c>
      <c r="C262" s="595" t="s">
        <v>706</v>
      </c>
      <c r="D262" s="575" t="s">
        <v>21</v>
      </c>
      <c r="E262" s="575" t="s">
        <v>35</v>
      </c>
      <c r="F262" s="576" t="s">
        <v>70</v>
      </c>
      <c r="G262" s="597">
        <v>2.0</v>
      </c>
      <c r="H262" s="596">
        <v>0.0</v>
      </c>
      <c r="I262" s="598">
        <v>1.0</v>
      </c>
      <c r="J262" s="598">
        <v>1.0</v>
      </c>
      <c r="K262" s="600" t="s">
        <v>188</v>
      </c>
      <c r="L262" s="600"/>
      <c r="M262" s="600">
        <v>6.0</v>
      </c>
      <c r="N262" s="600">
        <v>6.0</v>
      </c>
      <c r="O262" s="599" t="s">
        <v>707</v>
      </c>
      <c r="P262" s="14"/>
      <c r="Q262" s="452" t="str">
        <f>MATCH($D262,Reference!$J$5:$J$9,0)</f>
        <v>3</v>
      </c>
      <c r="R262" s="452" t="str">
        <f>MATCH($E262,Reference!$J$26:$J$32,0)</f>
        <v>5</v>
      </c>
      <c r="S262" s="452" t="str">
        <f>MATCH($F262,Reference!$J$45:$J$54,0)</f>
        <v>6</v>
      </c>
      <c r="T262" s="453" t="str">
        <f>MATCH($K262,Reference!$J$37:$J$39,0)</f>
        <v>3</v>
      </c>
      <c r="U262" s="454" t="str">
        <f t="shared" si="467"/>
        <v>2</v>
      </c>
      <c r="V262" s="454" t="str">
        <f t="shared" si="3"/>
        <v>1</v>
      </c>
      <c r="W262" s="454" t="str">
        <f>(MIN(G262,2)+H262-U262)*100</f>
        <v>0</v>
      </c>
      <c r="X262" s="454" t="str">
        <f t="shared" si="468"/>
        <v>2</v>
      </c>
      <c r="Y262" s="456" t="str">
        <f t="shared" si="5"/>
        <v>FALSE</v>
      </c>
      <c r="Z262" s="456" t="str">
        <f t="shared" si="6"/>
        <v>FALSE</v>
      </c>
      <c r="AA262" s="457" t="str">
        <f t="shared" ref="AA262:AB262" si="517">1-I262</f>
        <v>0%</v>
      </c>
      <c r="AB262" s="457" t="str">
        <f t="shared" si="517"/>
        <v>0%</v>
      </c>
      <c r="AC262" s="456" t="str">
        <f t="shared" si="8"/>
        <v>2</v>
      </c>
      <c r="AD262" s="458" t="str">
        <f t="shared" si="470"/>
        <v>0</v>
      </c>
      <c r="AE262" s="458" t="str">
        <f t="shared" si="10"/>
        <v>1</v>
      </c>
      <c r="AF262" s="459" t="str">
        <f t="shared" si="505"/>
        <v>0</v>
      </c>
      <c r="AG262" s="460"/>
      <c r="AH262" s="717" t="s">
        <v>21</v>
      </c>
      <c r="AI262" s="557" t="str">
        <f t="shared" ref="AI262:AI264" si="519">SUM(AM262+AK262+AO262+AQ257+AS257+AU257)</f>
        <v>21</v>
      </c>
      <c r="AK262" s="557" t="str">
        <f>sumifs($AC$2:$AC700, $D$2:$D700, "Rare", $E$2:$E700, "Classic", $F$2:F700, "Rogue")</f>
        <v>10</v>
      </c>
      <c r="AM262" s="657" t="str">
        <f>sumifs($AC$2:$AC700, $D$2:$D700, "Rare", $E$2:$E700, "GvG", $F$2:F700, "Rogue")</f>
        <v>5</v>
      </c>
      <c r="AO262" s="554" t="str">
        <f>sumifs($AC$2:$AC700, $D$2:$D700, "Rare", $E$2:$E700, "TGT", $F$2:F700, "Rogue")</f>
        <v>6</v>
      </c>
      <c r="AP262" s="144"/>
      <c r="AQ262" s="499"/>
      <c r="AR262" s="499"/>
      <c r="AS262" s="499"/>
      <c r="AT262" s="499"/>
      <c r="AU262" s="499"/>
      <c r="AV262" s="499"/>
    </row>
    <row r="263">
      <c r="A263" s="463"/>
      <c r="B263" s="634">
        <v>0.0</v>
      </c>
      <c r="C263" s="635" t="s">
        <v>708</v>
      </c>
      <c r="D263" s="636" t="s">
        <v>22</v>
      </c>
      <c r="E263" s="636" t="s">
        <v>33</v>
      </c>
      <c r="F263" s="637" t="s">
        <v>70</v>
      </c>
      <c r="G263" s="638">
        <v>2.0</v>
      </c>
      <c r="H263" s="638">
        <v>0.0</v>
      </c>
      <c r="I263" s="640">
        <v>1.0</v>
      </c>
      <c r="J263" s="640">
        <v>1.0</v>
      </c>
      <c r="K263" s="641" t="s">
        <v>162</v>
      </c>
      <c r="L263" s="641"/>
      <c r="M263" s="641"/>
      <c r="N263" s="641"/>
      <c r="O263" s="642" t="s">
        <v>709</v>
      </c>
      <c r="P263" s="14"/>
      <c r="Q263" s="452" t="str">
        <f>MATCH($D263,Reference!$J$5:$J$9,0)</f>
        <v>4</v>
      </c>
      <c r="R263" s="452" t="str">
        <f>MATCH($E263,Reference!$J$26:$J$32,0)</f>
        <v>2</v>
      </c>
      <c r="S263" s="452" t="str">
        <f>MATCH($F263,Reference!$J$45:$J$54,0)</f>
        <v>6</v>
      </c>
      <c r="T263" s="453" t="str">
        <f>MATCH($K263,Reference!$J$37:$J$39,0)</f>
        <v>2</v>
      </c>
      <c r="U263" s="454" t="str">
        <f t="shared" si="467"/>
        <v>2</v>
      </c>
      <c r="V263" s="454" t="str">
        <f t="shared" si="3"/>
        <v>1</v>
      </c>
      <c r="W263" s="454" t="str">
        <f t="shared" ref="W263:W269" si="520">(MIN(G263,2)+H263-U263)*400</f>
        <v>0</v>
      </c>
      <c r="X263" s="454" t="str">
        <f t="shared" si="468"/>
        <v>2</v>
      </c>
      <c r="Y263" s="456" t="str">
        <f t="shared" si="5"/>
        <v>FALSE</v>
      </c>
      <c r="Z263" s="456" t="str">
        <f t="shared" si="6"/>
        <v>FALSE</v>
      </c>
      <c r="AA263" s="457" t="str">
        <f t="shared" ref="AA263:AB263" si="518">1-I263</f>
        <v>0%</v>
      </c>
      <c r="AB263" s="457" t="str">
        <f t="shared" si="518"/>
        <v>0%</v>
      </c>
      <c r="AC263" s="456" t="str">
        <f t="shared" si="8"/>
        <v>2</v>
      </c>
      <c r="AD263" s="458" t="str">
        <f t="shared" si="470"/>
        <v>0</v>
      </c>
      <c r="AE263" s="458" t="str">
        <f t="shared" si="10"/>
        <v>1</v>
      </c>
      <c r="AF263" s="459" t="str">
        <f t="shared" ref="AF263:AF269" si="522">(MIN(H263,2)+G263-U263)*100</f>
        <v>0</v>
      </c>
      <c r="AG263" s="460"/>
      <c r="AH263" s="718" t="s">
        <v>22</v>
      </c>
      <c r="AI263" s="568" t="str">
        <f t="shared" si="519"/>
        <v>7</v>
      </c>
      <c r="AK263" s="568" t="str">
        <f>sumifs($AC$2:$AC700, $D$2:$D700, "Epic", $E$2:$E700, "Classic", $F$2:F700, "Rogue")</f>
        <v>3</v>
      </c>
      <c r="AM263" s="667" t="str">
        <f>sumifs($AC$2:$AC700, $D$2:$D700, "Epic", $E$2:$E700, "GvG", $F$2:F700, "Rogue")</f>
        <v>2</v>
      </c>
      <c r="AO263" s="641" t="str">
        <f>sumifs($AC$2:$AC700, $D$2:$D700, "Epic", $E$2:$E700, "TGT", $F$2:F700, "Rogue")</f>
        <v>2</v>
      </c>
      <c r="AP263" s="144"/>
      <c r="AQ263" s="499"/>
      <c r="AR263" s="499"/>
      <c r="AS263" s="499"/>
      <c r="AT263" s="499"/>
      <c r="AU263" s="499"/>
      <c r="AV263" s="499"/>
    </row>
    <row r="264">
      <c r="A264" s="442"/>
      <c r="B264" s="634">
        <v>2.0</v>
      </c>
      <c r="C264" s="635" t="s">
        <v>710</v>
      </c>
      <c r="D264" s="636" t="s">
        <v>22</v>
      </c>
      <c r="E264" s="636" t="s">
        <v>33</v>
      </c>
      <c r="F264" s="637" t="s">
        <v>70</v>
      </c>
      <c r="G264" s="638">
        <v>0.0</v>
      </c>
      <c r="H264" s="638">
        <v>0.0</v>
      </c>
      <c r="I264" s="640">
        <v>1.0</v>
      </c>
      <c r="J264" s="640">
        <v>1.0</v>
      </c>
      <c r="K264" s="641" t="s">
        <v>188</v>
      </c>
      <c r="L264" s="641"/>
      <c r="M264" s="641">
        <v>1.0</v>
      </c>
      <c r="N264" s="641">
        <v>1.0</v>
      </c>
      <c r="O264" s="642" t="s">
        <v>711</v>
      </c>
      <c r="P264" s="14"/>
      <c r="Q264" s="452" t="str">
        <f>MATCH($D264,Reference!$J$5:$J$9,0)</f>
        <v>4</v>
      </c>
      <c r="R264" s="452" t="str">
        <f>MATCH($E264,Reference!$J$26:$J$32,0)</f>
        <v>2</v>
      </c>
      <c r="S264" s="452" t="str">
        <f>MATCH($F264,Reference!$J$45:$J$54,0)</f>
        <v>6</v>
      </c>
      <c r="T264" s="453" t="str">
        <f>MATCH($K264,Reference!$J$37:$J$39,0)</f>
        <v>3</v>
      </c>
      <c r="U264" s="454" t="str">
        <f t="shared" si="467"/>
        <v>0</v>
      </c>
      <c r="V264" s="454" t="str">
        <f t="shared" si="3"/>
        <v>0</v>
      </c>
      <c r="W264" s="454" t="str">
        <f t="shared" si="520"/>
        <v>0</v>
      </c>
      <c r="X264" s="454" t="str">
        <f t="shared" si="468"/>
        <v>0</v>
      </c>
      <c r="Y264" s="456" t="str">
        <f t="shared" si="5"/>
        <v>TRUE</v>
      </c>
      <c r="Z264" s="456" t="str">
        <f t="shared" si="6"/>
        <v>FALSE</v>
      </c>
      <c r="AA264" s="457" t="str">
        <f t="shared" ref="AA264:AB264" si="521">1-I264</f>
        <v>0%</v>
      </c>
      <c r="AB264" s="457" t="str">
        <f t="shared" si="521"/>
        <v>0%</v>
      </c>
      <c r="AC264" s="456" t="str">
        <f t="shared" si="8"/>
        <v>0</v>
      </c>
      <c r="AD264" s="458" t="str">
        <f t="shared" si="470"/>
        <v>0</v>
      </c>
      <c r="AE264" s="458" t="str">
        <f t="shared" si="10"/>
        <v>0</v>
      </c>
      <c r="AF264" s="459" t="str">
        <f t="shared" si="522"/>
        <v>0</v>
      </c>
      <c r="AG264" s="460"/>
      <c r="AH264" s="719" t="s">
        <v>23</v>
      </c>
      <c r="AI264" s="720" t="str">
        <f t="shared" si="519"/>
        <v>2</v>
      </c>
      <c r="AK264" s="720" t="str">
        <f>sumifs($AC$2:$AC700, $D$2:$D700, "Legendary", $E$2:$E700, "Classic", $F$2:F700, "Rogue")</f>
        <v>1</v>
      </c>
      <c r="AM264" s="721" t="str">
        <f>sumifs($AC$2:$AC700, $D$2:$D700, "Legendary", $E$2:$E700, "GvG", $F$2:F700, "Rogue")</f>
        <v>1</v>
      </c>
      <c r="AO264" s="675" t="str">
        <f>sumifs($AC$2:$AC700, $D$2:$D700, "Legendary", $E$2:$E700, "TGT", $F$2:F700, "Rogue")</f>
        <v>0</v>
      </c>
      <c r="AP264" s="144"/>
      <c r="AQ264" s="499"/>
      <c r="AR264" s="499"/>
      <c r="AS264" s="499"/>
      <c r="AT264" s="499"/>
      <c r="AU264" s="499"/>
      <c r="AV264" s="499"/>
    </row>
    <row r="265">
      <c r="A265" s="469"/>
      <c r="B265" s="618">
        <v>3.0</v>
      </c>
      <c r="C265" s="619" t="s">
        <v>712</v>
      </c>
      <c r="D265" s="620" t="s">
        <v>22</v>
      </c>
      <c r="E265" s="621" t="s">
        <v>36</v>
      </c>
      <c r="F265" s="620" t="s">
        <v>70</v>
      </c>
      <c r="G265" s="622">
        <v>2.0</v>
      </c>
      <c r="H265" s="622">
        <v>0.0</v>
      </c>
      <c r="I265" s="623">
        <v>1.0</v>
      </c>
      <c r="J265" s="623">
        <v>1.0</v>
      </c>
      <c r="K265" s="621" t="s">
        <v>162</v>
      </c>
      <c r="L265" s="621"/>
      <c r="M265" s="621"/>
      <c r="N265" s="621"/>
      <c r="O265" s="624" t="s">
        <v>713</v>
      </c>
      <c r="P265" s="14"/>
      <c r="Q265" s="452" t="str">
        <f>MATCH($D265,Reference!$J$5:$J$9,0)</f>
        <v>4</v>
      </c>
      <c r="R265" s="452" t="str">
        <f>MATCH($E265,Reference!$J$26:$J$32,0)</f>
        <v>7</v>
      </c>
      <c r="S265" s="452" t="str">
        <f>MATCH($F265,Reference!$J$45:$J$54,0)</f>
        <v>6</v>
      </c>
      <c r="T265" s="453" t="str">
        <f>MATCH($K265,Reference!$J$37:$J$39,0)</f>
        <v>2</v>
      </c>
      <c r="U265" s="454" t="str">
        <f t="shared" si="467"/>
        <v>2</v>
      </c>
      <c r="V265" s="454" t="str">
        <f t="shared" si="3"/>
        <v>1</v>
      </c>
      <c r="W265" s="454" t="str">
        <f t="shared" si="520"/>
        <v>0</v>
      </c>
      <c r="X265" s="454" t="str">
        <f t="shared" si="468"/>
        <v>2</v>
      </c>
      <c r="Y265" s="456" t="str">
        <f t="shared" si="5"/>
        <v>FALSE</v>
      </c>
      <c r="Z265" s="456" t="str">
        <f t="shared" si="6"/>
        <v>FALSE</v>
      </c>
      <c r="AA265" s="457" t="str">
        <f t="shared" ref="AA265:AB265" si="523">1-I265</f>
        <v>0%</v>
      </c>
      <c r="AB265" s="457" t="str">
        <f t="shared" si="523"/>
        <v>0%</v>
      </c>
      <c r="AC265" s="456" t="str">
        <f t="shared" si="8"/>
        <v>2</v>
      </c>
      <c r="AD265" s="458" t="str">
        <f t="shared" si="470"/>
        <v>0</v>
      </c>
      <c r="AE265" s="458" t="str">
        <f t="shared" si="10"/>
        <v>1</v>
      </c>
      <c r="AF265" s="459" t="str">
        <f t="shared" si="522"/>
        <v>0</v>
      </c>
      <c r="AG265" s="460"/>
      <c r="AH265" s="715" t="s">
        <v>72</v>
      </c>
      <c r="AI265" s="524" t="s">
        <v>24</v>
      </c>
      <c r="AJ265" s="106"/>
      <c r="AK265" s="716" t="s">
        <v>33</v>
      </c>
      <c r="AL265" s="106"/>
      <c r="AM265" s="716" t="s">
        <v>35</v>
      </c>
      <c r="AN265" s="106"/>
      <c r="AO265" s="716" t="s">
        <v>36</v>
      </c>
      <c r="AP265" s="107"/>
      <c r="AQ265" s="14"/>
      <c r="AR265" s="14"/>
      <c r="AS265" s="14"/>
      <c r="AT265" s="14"/>
    </row>
    <row r="266">
      <c r="A266" s="463"/>
      <c r="B266" s="625">
        <v>3.0</v>
      </c>
      <c r="C266" s="646" t="s">
        <v>714</v>
      </c>
      <c r="D266" s="627" t="s">
        <v>22</v>
      </c>
      <c r="E266" s="627" t="s">
        <v>35</v>
      </c>
      <c r="F266" s="628" t="s">
        <v>70</v>
      </c>
      <c r="G266" s="629">
        <v>1.0</v>
      </c>
      <c r="H266" s="630">
        <v>0.0</v>
      </c>
      <c r="I266" s="631">
        <v>1.0</v>
      </c>
      <c r="J266" s="631">
        <v>1.0</v>
      </c>
      <c r="K266" s="632" t="s">
        <v>304</v>
      </c>
      <c r="L266" s="632"/>
      <c r="M266" s="632">
        <v>1.0</v>
      </c>
      <c r="N266" s="632">
        <v>3.0</v>
      </c>
      <c r="O266" s="633" t="s">
        <v>715</v>
      </c>
      <c r="P266" s="14"/>
      <c r="Q266" s="452" t="str">
        <f>MATCH($D266,Reference!$J$5:$J$9,0)</f>
        <v>4</v>
      </c>
      <c r="R266" s="452" t="str">
        <f>MATCH($E266,Reference!$J$26:$J$32,0)</f>
        <v>5</v>
      </c>
      <c r="S266" s="452" t="str">
        <f>MATCH($F266,Reference!$J$45:$J$54,0)</f>
        <v>6</v>
      </c>
      <c r="T266" s="453" t="str">
        <f>MATCH($K266,Reference!$J$37:$J$39,0)</f>
        <v>1</v>
      </c>
      <c r="U266" s="454" t="str">
        <f t="shared" si="467"/>
        <v>1</v>
      </c>
      <c r="V266" s="454" t="str">
        <f t="shared" si="3"/>
        <v>1</v>
      </c>
      <c r="W266" s="454" t="str">
        <f t="shared" si="520"/>
        <v>0</v>
      </c>
      <c r="X266" s="454" t="str">
        <f t="shared" si="468"/>
        <v>1</v>
      </c>
      <c r="Y266" s="456" t="str">
        <f t="shared" si="5"/>
        <v>FALSE</v>
      </c>
      <c r="Z266" s="456" t="str">
        <f t="shared" si="6"/>
        <v>FALSE</v>
      </c>
      <c r="AA266" s="457" t="str">
        <f t="shared" ref="AA266:AB266" si="524">1-I266</f>
        <v>0%</v>
      </c>
      <c r="AB266" s="457" t="str">
        <f t="shared" si="524"/>
        <v>0%</v>
      </c>
      <c r="AC266" s="456" t="str">
        <f t="shared" si="8"/>
        <v>1</v>
      </c>
      <c r="AD266" s="458" t="str">
        <f t="shared" si="470"/>
        <v>0</v>
      </c>
      <c r="AE266" s="458" t="str">
        <f t="shared" si="10"/>
        <v>1</v>
      </c>
      <c r="AF266" s="459" t="str">
        <f t="shared" si="522"/>
        <v>0</v>
      </c>
      <c r="AG266" s="460"/>
      <c r="AH266" s="421" t="s">
        <v>15</v>
      </c>
      <c r="AI266" s="522" t="str">
        <f>SUM(AM266+AK266+AO266)</f>
        <v>21</v>
      </c>
      <c r="AK266" s="522" t="str">
        <f>sumifs($AC$2:$AC700, $D$2:$D700, "Common", $E$2:$E700, "Classic", $F$2:F700, "Shaman")</f>
        <v>11</v>
      </c>
      <c r="AM266" s="531" t="str">
        <f>sumifs($AC$2:$AC700, $D$2:$D700, "Common", $E$2:$E700, "GvG", $F$2:F700, "Shaman")</f>
        <v>4</v>
      </c>
      <c r="AO266" s="722" t="str">
        <f>sumifs($AC$2:$AC700, $D$2:$D700, "Common", $E$2:$E700, "TGT", $F$2:F700, "Shaman")</f>
        <v>6</v>
      </c>
      <c r="AP266" s="144"/>
      <c r="AQ266" s="499"/>
      <c r="AR266" s="499"/>
      <c r="AS266" s="499"/>
      <c r="AT266" s="499"/>
      <c r="AU266" s="499"/>
      <c r="AV266" s="499"/>
    </row>
    <row r="267">
      <c r="A267" s="442"/>
      <c r="B267" s="618">
        <v>4.0</v>
      </c>
      <c r="C267" s="619" t="s">
        <v>716</v>
      </c>
      <c r="D267" s="620" t="s">
        <v>22</v>
      </c>
      <c r="E267" s="621" t="s">
        <v>36</v>
      </c>
      <c r="F267" s="620" t="s">
        <v>70</v>
      </c>
      <c r="G267" s="622">
        <v>0.0</v>
      </c>
      <c r="H267" s="622">
        <v>0.0</v>
      </c>
      <c r="I267" s="623">
        <v>1.0</v>
      </c>
      <c r="J267" s="623">
        <v>1.0</v>
      </c>
      <c r="K267" s="621" t="s">
        <v>304</v>
      </c>
      <c r="L267" s="621"/>
      <c r="M267" s="621">
        <v>1.0</v>
      </c>
      <c r="N267" s="621">
        <v>3.0</v>
      </c>
      <c r="O267" s="624" t="s">
        <v>717</v>
      </c>
      <c r="P267" s="14"/>
      <c r="Q267" s="452" t="str">
        <f>MATCH($D267,Reference!$J$5:$J$9,0)</f>
        <v>4</v>
      </c>
      <c r="R267" s="452" t="str">
        <f>MATCH($E267,Reference!$J$26:$J$32,0)</f>
        <v>7</v>
      </c>
      <c r="S267" s="452" t="str">
        <f>MATCH($F267,Reference!$J$45:$J$54,0)</f>
        <v>6</v>
      </c>
      <c r="T267" s="453" t="str">
        <f>MATCH($K267,Reference!$J$37:$J$39,0)</f>
        <v>1</v>
      </c>
      <c r="U267" s="454" t="str">
        <f t="shared" si="467"/>
        <v>0</v>
      </c>
      <c r="V267" s="454" t="str">
        <f t="shared" si="3"/>
        <v>0</v>
      </c>
      <c r="W267" s="454" t="str">
        <f t="shared" si="520"/>
        <v>0</v>
      </c>
      <c r="X267" s="454" t="str">
        <f t="shared" si="468"/>
        <v>0</v>
      </c>
      <c r="Y267" s="456" t="str">
        <f t="shared" si="5"/>
        <v>TRUE</v>
      </c>
      <c r="Z267" s="456" t="str">
        <f t="shared" si="6"/>
        <v>FALSE</v>
      </c>
      <c r="AA267" s="457" t="str">
        <f t="shared" ref="AA267:AB267" si="525">1-I267</f>
        <v>0%</v>
      </c>
      <c r="AB267" s="457" t="str">
        <f t="shared" si="525"/>
        <v>0%</v>
      </c>
      <c r="AC267" s="456" t="str">
        <f t="shared" si="8"/>
        <v>0</v>
      </c>
      <c r="AD267" s="458" t="str">
        <f t="shared" si="470"/>
        <v>0</v>
      </c>
      <c r="AE267" s="458" t="str">
        <f t="shared" si="10"/>
        <v>0</v>
      </c>
      <c r="AF267" s="459" t="str">
        <f t="shared" si="522"/>
        <v>0</v>
      </c>
      <c r="AG267" s="460"/>
      <c r="AH267" s="717" t="s">
        <v>21</v>
      </c>
      <c r="AI267" s="557" t="str">
        <f t="shared" ref="AI267:AI269" si="527">SUM(AM267+AK267+AO267+AQ262+AS262+AU262)</f>
        <v>14</v>
      </c>
      <c r="AK267" s="557" t="str">
        <f>sumifs($AC$2:$AC700, $D$2:$D700, "Rare", $E$2:$E700, "Classic", $F$2:F700, "Shaman")</f>
        <v>5</v>
      </c>
      <c r="AM267" s="657" t="str">
        <f>sumifs($AC$2:$AC700, $D$2:$D700, "Rare", $E$2:$E700, "GvG", $F$2:F700, "Shaman")</f>
        <v>3</v>
      </c>
      <c r="AO267" s="554" t="str">
        <f>sumifs($AC$2:$AC700, $D$2:$D700, "Rare", $E$2:$E700, "TGT", $F$2:F700, "Shaman")</f>
        <v>6</v>
      </c>
      <c r="AP267" s="144"/>
      <c r="AQ267" s="499"/>
      <c r="AR267" s="499"/>
      <c r="AS267" s="499"/>
      <c r="AT267" s="499"/>
      <c r="AU267" s="499"/>
      <c r="AV267" s="499"/>
    </row>
    <row r="268">
      <c r="A268" s="509"/>
      <c r="B268" s="625">
        <v>4.0</v>
      </c>
      <c r="C268" s="646" t="s">
        <v>718</v>
      </c>
      <c r="D268" s="627" t="s">
        <v>22</v>
      </c>
      <c r="E268" s="627" t="s">
        <v>35</v>
      </c>
      <c r="F268" s="628" t="s">
        <v>70</v>
      </c>
      <c r="G268" s="629">
        <v>1.0</v>
      </c>
      <c r="H268" s="630">
        <v>0.0</v>
      </c>
      <c r="I268" s="631">
        <v>1.0</v>
      </c>
      <c r="J268" s="631">
        <v>1.0</v>
      </c>
      <c r="K268" s="632" t="s">
        <v>162</v>
      </c>
      <c r="L268" s="632"/>
      <c r="M268" s="632"/>
      <c r="N268" s="632"/>
      <c r="O268" s="633" t="s">
        <v>719</v>
      </c>
      <c r="P268" s="14"/>
      <c r="Q268" s="452" t="str">
        <f>MATCH($D268,Reference!$J$5:$J$9,0)</f>
        <v>4</v>
      </c>
      <c r="R268" s="452" t="str">
        <f>MATCH($E268,Reference!$J$26:$J$32,0)</f>
        <v>5</v>
      </c>
      <c r="S268" s="452" t="str">
        <f>MATCH($F268,Reference!$J$45:$J$54,0)</f>
        <v>6</v>
      </c>
      <c r="T268" s="453" t="str">
        <f>MATCH($K268,Reference!$J$37:$J$39,0)</f>
        <v>2</v>
      </c>
      <c r="U268" s="454" t="str">
        <f t="shared" si="467"/>
        <v>1</v>
      </c>
      <c r="V268" s="454" t="str">
        <f t="shared" si="3"/>
        <v>1</v>
      </c>
      <c r="W268" s="454" t="str">
        <f t="shared" si="520"/>
        <v>0</v>
      </c>
      <c r="X268" s="454" t="str">
        <f t="shared" si="468"/>
        <v>1</v>
      </c>
      <c r="Y268" s="456" t="str">
        <f t="shared" si="5"/>
        <v>FALSE</v>
      </c>
      <c r="Z268" s="456" t="str">
        <f t="shared" si="6"/>
        <v>FALSE</v>
      </c>
      <c r="AA268" s="457" t="str">
        <f t="shared" ref="AA268:AB268" si="526">1-I268</f>
        <v>0%</v>
      </c>
      <c r="AB268" s="457" t="str">
        <f t="shared" si="526"/>
        <v>0%</v>
      </c>
      <c r="AC268" s="456" t="str">
        <f t="shared" si="8"/>
        <v>1</v>
      </c>
      <c r="AD268" s="458" t="str">
        <f t="shared" si="470"/>
        <v>0</v>
      </c>
      <c r="AE268" s="458" t="str">
        <f t="shared" si="10"/>
        <v>1</v>
      </c>
      <c r="AF268" s="459" t="str">
        <f t="shared" si="522"/>
        <v>0</v>
      </c>
      <c r="AG268" s="460"/>
      <c r="AH268" s="718" t="s">
        <v>22</v>
      </c>
      <c r="AI268" s="568" t="str">
        <f t="shared" si="527"/>
        <v>2</v>
      </c>
      <c r="AK268" s="568" t="str">
        <f>sumifs($AC$2:$AC700, $D$2:$D700, "Epic", $E$2:$E700, "Classic", $F$2:F700, "Shaman")</f>
        <v>0</v>
      </c>
      <c r="AM268" s="667" t="str">
        <f>sumifs($AC$2:$AC700, $D$2:$D700, "Epic", $E$2:$E700, "GvG", $F$2:F700, "Shaman")</f>
        <v>0</v>
      </c>
      <c r="AO268" s="641" t="str">
        <f>sumifs($AC$2:$AC700, $D$2:$D700, "Epic", $E$2:$E700, "TGT", $F$2:F700, "Shaman")</f>
        <v>2</v>
      </c>
      <c r="AP268" s="144"/>
      <c r="AQ268" s="499"/>
      <c r="AR268" s="499"/>
      <c r="AS268" s="499"/>
      <c r="AT268" s="499"/>
      <c r="AU268" s="499"/>
      <c r="AV268" s="499"/>
    </row>
    <row r="269">
      <c r="A269" s="509"/>
      <c r="B269" s="634">
        <v>6.0</v>
      </c>
      <c r="C269" s="635" t="s">
        <v>720</v>
      </c>
      <c r="D269" s="636" t="s">
        <v>22</v>
      </c>
      <c r="E269" s="636" t="s">
        <v>33</v>
      </c>
      <c r="F269" s="637" t="s">
        <v>70</v>
      </c>
      <c r="G269" s="639">
        <v>1.0</v>
      </c>
      <c r="H269" s="638">
        <v>0.0</v>
      </c>
      <c r="I269" s="640">
        <v>1.0</v>
      </c>
      <c r="J269" s="640">
        <v>1.0</v>
      </c>
      <c r="K269" s="641" t="s">
        <v>188</v>
      </c>
      <c r="L269" s="641"/>
      <c r="M269" s="641">
        <v>5.0</v>
      </c>
      <c r="N269" s="641">
        <v>3.0</v>
      </c>
      <c r="O269" s="642" t="s">
        <v>721</v>
      </c>
      <c r="P269" s="14"/>
      <c r="Q269" s="452" t="str">
        <f>MATCH($D269,Reference!$J$5:$J$9,0)</f>
        <v>4</v>
      </c>
      <c r="R269" s="452" t="str">
        <f>MATCH($E269,Reference!$J$26:$J$32,0)</f>
        <v>2</v>
      </c>
      <c r="S269" s="452" t="str">
        <f>MATCH($F269,Reference!$J$45:$J$54,0)</f>
        <v>6</v>
      </c>
      <c r="T269" s="453" t="str">
        <f>MATCH($K269,Reference!$J$37:$J$39,0)</f>
        <v>3</v>
      </c>
      <c r="U269" s="454" t="str">
        <f t="shared" si="467"/>
        <v>1</v>
      </c>
      <c r="V269" s="454" t="str">
        <f t="shared" si="3"/>
        <v>1</v>
      </c>
      <c r="W269" s="454" t="str">
        <f t="shared" si="520"/>
        <v>0</v>
      </c>
      <c r="X269" s="454" t="str">
        <f t="shared" si="468"/>
        <v>1</v>
      </c>
      <c r="Y269" s="456" t="str">
        <f t="shared" si="5"/>
        <v>FALSE</v>
      </c>
      <c r="Z269" s="456" t="str">
        <f t="shared" si="6"/>
        <v>FALSE</v>
      </c>
      <c r="AA269" s="457" t="str">
        <f t="shared" ref="AA269:AB269" si="528">1-I269</f>
        <v>0%</v>
      </c>
      <c r="AB269" s="457" t="str">
        <f t="shared" si="528"/>
        <v>0%</v>
      </c>
      <c r="AC269" s="456" t="str">
        <f t="shared" si="8"/>
        <v>1</v>
      </c>
      <c r="AD269" s="458" t="str">
        <f t="shared" si="470"/>
        <v>0</v>
      </c>
      <c r="AE269" s="458" t="str">
        <f t="shared" si="10"/>
        <v>1</v>
      </c>
      <c r="AF269" s="459" t="str">
        <f t="shared" si="522"/>
        <v>0</v>
      </c>
      <c r="AG269" s="460"/>
      <c r="AH269" s="719" t="s">
        <v>23</v>
      </c>
      <c r="AI269" s="720" t="str">
        <f t="shared" si="527"/>
        <v>1.67</v>
      </c>
      <c r="AK269" s="720" t="str">
        <f>sumifs($AC$2:$AC700, $D$2:$D700, "Legendary", $E$2:$E700, "Classic", $F$2:F700, "Shaman")</f>
        <v>0.67</v>
      </c>
      <c r="AM269" s="721" t="str">
        <f>sumifs($AC$2:$AC700, $D$2:$D700, "Legendary", $E$2:$E700, "GvG", $F$2:F700, "Shaman")</f>
        <v>1</v>
      </c>
      <c r="AO269" s="675" t="str">
        <f>sumifs($AC$2:$AC700, $D$2:$D700, "Legendary", $E$2:$E700, "TGT", $F$2:F700, "Shaman")</f>
        <v>0</v>
      </c>
      <c r="AP269" s="144"/>
      <c r="AQ269" s="499"/>
      <c r="AR269" s="499"/>
      <c r="AS269" s="499"/>
      <c r="AT269" s="499"/>
      <c r="AU269" s="499"/>
      <c r="AV269" s="499"/>
    </row>
    <row r="270">
      <c r="A270" s="466"/>
      <c r="B270" s="669">
        <v>3.0</v>
      </c>
      <c r="C270" s="670" t="s">
        <v>722</v>
      </c>
      <c r="D270" s="671" t="s">
        <v>23</v>
      </c>
      <c r="E270" s="671" t="s">
        <v>33</v>
      </c>
      <c r="F270" s="672" t="s">
        <v>70</v>
      </c>
      <c r="G270" s="673">
        <v>0.0</v>
      </c>
      <c r="H270" s="673">
        <v>0.0</v>
      </c>
      <c r="I270" s="674">
        <v>1.0</v>
      </c>
      <c r="J270" s="674"/>
      <c r="K270" s="675" t="s">
        <v>188</v>
      </c>
      <c r="L270" s="675"/>
      <c r="M270" s="675">
        <v>2.0</v>
      </c>
      <c r="N270" s="675">
        <v>2.0</v>
      </c>
      <c r="O270" s="676" t="s">
        <v>723</v>
      </c>
      <c r="P270" s="14"/>
      <c r="Q270" s="452" t="str">
        <f>MATCH($D270,Reference!$J$5:$J$9,0)</f>
        <v>5</v>
      </c>
      <c r="R270" s="452" t="str">
        <f>MATCH($E270,Reference!$J$26:$J$32,0)</f>
        <v>2</v>
      </c>
      <c r="S270" s="452" t="str">
        <f>MATCH($F270,Reference!$J$45:$J$54,0)</f>
        <v>6</v>
      </c>
      <c r="T270" s="453" t="str">
        <f>MATCH($K270,Reference!$J$37:$J$39,0)</f>
        <v>3</v>
      </c>
      <c r="U270" s="454" t="str">
        <f t="shared" ref="U270:U272" si="530">MIN((G270+H270),1)</f>
        <v>0</v>
      </c>
      <c r="V270" s="454" t="str">
        <f t="shared" si="3"/>
        <v>0</v>
      </c>
      <c r="W270" s="454" t="str">
        <f t="shared" ref="W270:W272" si="531">(MIN(G270,2)+H270-U270)*1600</f>
        <v>0</v>
      </c>
      <c r="X270" s="454" t="str">
        <f t="shared" ref="X270:X272" si="532">MIN((G270+H270+1),2)</f>
        <v>1</v>
      </c>
      <c r="Y270" s="456" t="str">
        <f t="shared" si="5"/>
        <v>TRUE</v>
      </c>
      <c r="Z270" s="456" t="str">
        <f t="shared" si="6"/>
        <v>TRUE</v>
      </c>
      <c r="AA270" s="457" t="str">
        <f t="shared" ref="AA270:AB270" si="529">1-I270</f>
        <v>0%</v>
      </c>
      <c r="AB270" s="457" t="str">
        <f t="shared" si="529"/>
        <v>100%</v>
      </c>
      <c r="AC270" s="456" t="str">
        <f t="shared" si="8"/>
        <v>1</v>
      </c>
      <c r="AD270" s="458" t="str">
        <f t="shared" ref="AD270:AD272" si="534">MIN((H270),1)</f>
        <v>0</v>
      </c>
      <c r="AE270" s="458" t="str">
        <f t="shared" si="10"/>
        <v>0</v>
      </c>
      <c r="AF270" s="459" t="str">
        <f t="shared" ref="AF270:AF272" si="535">(MIN(H270,2)+G270-U270)*400</f>
        <v>0</v>
      </c>
      <c r="AG270" s="460"/>
      <c r="AH270" s="715" t="s">
        <v>73</v>
      </c>
      <c r="AI270" s="524" t="s">
        <v>24</v>
      </c>
      <c r="AJ270" s="106"/>
      <c r="AK270" s="716" t="s">
        <v>33</v>
      </c>
      <c r="AL270" s="106"/>
      <c r="AM270" s="716" t="s">
        <v>35</v>
      </c>
      <c r="AN270" s="106"/>
      <c r="AO270" s="716" t="s">
        <v>36</v>
      </c>
      <c r="AP270" s="107"/>
      <c r="AQ270" s="14"/>
      <c r="AR270" s="14"/>
      <c r="AS270" s="14"/>
      <c r="AT270" s="14"/>
    </row>
    <row r="271">
      <c r="A271" s="469"/>
      <c r="B271" s="648">
        <v>6.0</v>
      </c>
      <c r="C271" s="649" t="s">
        <v>724</v>
      </c>
      <c r="D271" s="650" t="s">
        <v>23</v>
      </c>
      <c r="E271" s="650" t="s">
        <v>35</v>
      </c>
      <c r="F271" s="651" t="s">
        <v>70</v>
      </c>
      <c r="G271" s="653">
        <v>0.0</v>
      </c>
      <c r="H271" s="653">
        <v>0.0</v>
      </c>
      <c r="I271" s="702">
        <v>1.0</v>
      </c>
      <c r="J271" s="702"/>
      <c r="K271" s="703" t="s">
        <v>188</v>
      </c>
      <c r="L271" s="703"/>
      <c r="M271" s="703">
        <v>5.0</v>
      </c>
      <c r="N271" s="703">
        <v>8.0</v>
      </c>
      <c r="O271" s="655" t="s">
        <v>725</v>
      </c>
      <c r="P271" s="14"/>
      <c r="Q271" s="452" t="str">
        <f>MATCH($D271,Reference!$J$5:$J$9,0)</f>
        <v>5</v>
      </c>
      <c r="R271" s="452" t="str">
        <f>MATCH($E271,Reference!$J$26:$J$32,0)</f>
        <v>5</v>
      </c>
      <c r="S271" s="452" t="str">
        <f>MATCH($F271,Reference!$J$45:$J$54,0)</f>
        <v>6</v>
      </c>
      <c r="T271" s="453" t="str">
        <f>MATCH($K271,Reference!$J$37:$J$39,0)</f>
        <v>3</v>
      </c>
      <c r="U271" s="454" t="str">
        <f t="shared" si="530"/>
        <v>0</v>
      </c>
      <c r="V271" s="454" t="str">
        <f t="shared" si="3"/>
        <v>0</v>
      </c>
      <c r="W271" s="454" t="str">
        <f t="shared" si="531"/>
        <v>0</v>
      </c>
      <c r="X271" s="454" t="str">
        <f t="shared" si="532"/>
        <v>1</v>
      </c>
      <c r="Y271" s="456" t="str">
        <f t="shared" si="5"/>
        <v>TRUE</v>
      </c>
      <c r="Z271" s="456" t="str">
        <f t="shared" si="6"/>
        <v>TRUE</v>
      </c>
      <c r="AA271" s="457" t="str">
        <f t="shared" ref="AA271:AB271" si="533">1-I271</f>
        <v>0%</v>
      </c>
      <c r="AB271" s="457" t="str">
        <f t="shared" si="533"/>
        <v>100%</v>
      </c>
      <c r="AC271" s="456" t="str">
        <f t="shared" si="8"/>
        <v>1</v>
      </c>
      <c r="AD271" s="458" t="str">
        <f t="shared" si="534"/>
        <v>0</v>
      </c>
      <c r="AE271" s="458" t="str">
        <f t="shared" si="10"/>
        <v>0</v>
      </c>
      <c r="AF271" s="459" t="str">
        <f t="shared" si="535"/>
        <v>0</v>
      </c>
      <c r="AG271" s="460"/>
      <c r="AH271" s="421" t="s">
        <v>15</v>
      </c>
      <c r="AI271" s="522" t="str">
        <f>SUM(AM271+AK271+AO271)</f>
        <v>21</v>
      </c>
      <c r="AK271" s="522" t="str">
        <f>sumifs($AC$2:$AC700, $D$2:$D700, "Common", $E$2:$E700, "Classic", $F$2:F700, "Warlock")</f>
        <v>12</v>
      </c>
      <c r="AM271" s="531" t="str">
        <f>sumifs($AC$2:$AC700, $D$2:$D700, "Common", $E$2:$E700, "GvG", $F$2:F700, "Warlock")</f>
        <v>3</v>
      </c>
      <c r="AO271" s="722" t="str">
        <f>sumifs($AC$2:$AC700, $D$2:$D700, "Common", $E$2:$E700, "TGT", $F$2:F700, "Warlock")</f>
        <v>6</v>
      </c>
      <c r="AP271" s="144"/>
      <c r="AQ271" s="499"/>
      <c r="AR271" s="499"/>
      <c r="AS271" s="499"/>
      <c r="AT271" s="499"/>
      <c r="AU271" s="499"/>
      <c r="AV271" s="499"/>
    </row>
    <row r="272">
      <c r="A272" s="509"/>
      <c r="B272" s="659">
        <v>9.0</v>
      </c>
      <c r="C272" s="660" t="s">
        <v>726</v>
      </c>
      <c r="D272" s="661" t="s">
        <v>23</v>
      </c>
      <c r="E272" s="662" t="s">
        <v>36</v>
      </c>
      <c r="F272" s="661" t="s">
        <v>70</v>
      </c>
      <c r="G272" s="663">
        <v>0.0</v>
      </c>
      <c r="H272" s="663">
        <v>0.0</v>
      </c>
      <c r="I272" s="664">
        <v>1.0</v>
      </c>
      <c r="J272" s="664">
        <v>1.0</v>
      </c>
      <c r="K272" s="662" t="s">
        <v>188</v>
      </c>
      <c r="L272" s="662"/>
      <c r="M272" s="662">
        <v>8.0</v>
      </c>
      <c r="N272" s="662">
        <v>4.0</v>
      </c>
      <c r="O272" s="665" t="s">
        <v>727</v>
      </c>
      <c r="P272" s="14"/>
      <c r="Q272" s="452" t="str">
        <f>MATCH($D272,Reference!$J$5:$J$9,0)</f>
        <v>5</v>
      </c>
      <c r="R272" s="452" t="str">
        <f>MATCH($E272,Reference!$J$26:$J$32,0)</f>
        <v>7</v>
      </c>
      <c r="S272" s="452" t="str">
        <f>MATCH($F272,Reference!$J$45:$J$54,0)</f>
        <v>6</v>
      </c>
      <c r="T272" s="453" t="str">
        <f>MATCH($K272,Reference!$J$37:$J$39,0)</f>
        <v>3</v>
      </c>
      <c r="U272" s="454" t="str">
        <f t="shared" si="530"/>
        <v>0</v>
      </c>
      <c r="V272" s="454" t="str">
        <f t="shared" si="3"/>
        <v>0</v>
      </c>
      <c r="W272" s="454" t="str">
        <f t="shared" si="531"/>
        <v>0</v>
      </c>
      <c r="X272" s="454" t="str">
        <f t="shared" si="532"/>
        <v>1</v>
      </c>
      <c r="Y272" s="456" t="str">
        <f t="shared" si="5"/>
        <v>TRUE</v>
      </c>
      <c r="Z272" s="456" t="str">
        <f t="shared" si="6"/>
        <v>TRUE</v>
      </c>
      <c r="AA272" s="457" t="str">
        <f t="shared" ref="AA272:AB272" si="536">1-I272</f>
        <v>0%</v>
      </c>
      <c r="AB272" s="457" t="str">
        <f t="shared" si="536"/>
        <v>0%</v>
      </c>
      <c r="AC272" s="456" t="str">
        <f t="shared" si="8"/>
        <v>0</v>
      </c>
      <c r="AD272" s="458" t="str">
        <f t="shared" si="534"/>
        <v>0</v>
      </c>
      <c r="AE272" s="458" t="str">
        <f t="shared" si="10"/>
        <v>0</v>
      </c>
      <c r="AF272" s="459" t="str">
        <f t="shared" si="535"/>
        <v>0</v>
      </c>
      <c r="AG272" s="460"/>
      <c r="AH272" s="717" t="s">
        <v>21</v>
      </c>
      <c r="AI272" s="557" t="str">
        <f t="shared" ref="AI272:AI274" si="538">SUM(AM272+AK272+AO272+AQ267+AS267+AU267)</f>
        <v>19</v>
      </c>
      <c r="AK272" s="557" t="str">
        <f>sumifs($AC$2:$AC700, $D$2:$D700, "Rare", $E$2:$E700, "Classic", $F$2:F700, "Warlock")</f>
        <v>8</v>
      </c>
      <c r="AM272" s="657" t="str">
        <f>sumifs($AC$2:$AC700, $D$2:$D700, "Rare", $E$2:$E700, "GvG", $F$2:F700, "Warlock")</f>
        <v>6</v>
      </c>
      <c r="AO272" s="554" t="str">
        <f>sumifs($AC$2:$AC700, $D$2:$D700, "Rare", $E$2:$E700, "TGT", $F$2:F700, "Warlock")</f>
        <v>5</v>
      </c>
      <c r="AP272" s="144"/>
      <c r="AQ272" s="499"/>
      <c r="AR272" s="499"/>
      <c r="AS272" s="499"/>
      <c r="AT272" s="499"/>
      <c r="AU272" s="499"/>
      <c r="AV272" s="499"/>
    </row>
    <row r="273">
      <c r="A273" s="442"/>
      <c r="B273" s="443">
        <v>0.0</v>
      </c>
      <c r="C273" s="444" t="s">
        <v>728</v>
      </c>
      <c r="D273" s="445" t="s">
        <v>10</v>
      </c>
      <c r="E273" s="445" t="s">
        <v>10</v>
      </c>
      <c r="F273" s="445" t="s">
        <v>72</v>
      </c>
      <c r="G273" s="446" t="str">
        <f>COUNTIFS(Reference!F:F,C273,Reference!G:G,"&lt;="&amp;VLOOKUP($F273,Summary!$N$25:$O$33,2,0))</f>
        <v>2</v>
      </c>
      <c r="H273" s="447">
        <v>1.0</v>
      </c>
      <c r="I273" s="448">
        <v>1.0</v>
      </c>
      <c r="J273" s="448">
        <v>1.0</v>
      </c>
      <c r="K273" s="449" t="s">
        <v>162</v>
      </c>
      <c r="L273" s="449"/>
      <c r="M273" s="449"/>
      <c r="N273" s="449"/>
      <c r="O273" s="450" t="s">
        <v>729</v>
      </c>
      <c r="P273" s="14"/>
      <c r="Q273" s="452" t="str">
        <f>MATCH($D273,Reference!$J$5:$J$9,0)</f>
        <v>1</v>
      </c>
      <c r="R273" s="452" t="str">
        <f>MATCH($E273,Reference!$J$26:$J$32,0)</f>
        <v>1</v>
      </c>
      <c r="S273" s="452" t="str">
        <f>MATCH($F273,Reference!$J$45:$J$54,0)</f>
        <v>7</v>
      </c>
      <c r="T273" s="453" t="str">
        <f>MATCH($K273,Reference!$J$37:$J$39,0)</f>
        <v>2</v>
      </c>
      <c r="U273" s="454" t="str">
        <f t="shared" ref="U273:U314" si="539">MIN((G273+H273),2)</f>
        <v>2</v>
      </c>
      <c r="V273" s="454" t="str">
        <f t="shared" si="3"/>
        <v>1</v>
      </c>
      <c r="W273" s="455">
        <v>0.0</v>
      </c>
      <c r="X273" s="454" t="str">
        <f t="shared" ref="X273:X314" si="540">MIN((G273+H273),2)</f>
        <v>2</v>
      </c>
      <c r="Y273" s="456" t="str">
        <f t="shared" si="5"/>
        <v>FALSE</v>
      </c>
      <c r="Z273" s="456" t="str">
        <f t="shared" si="6"/>
        <v>FALSE</v>
      </c>
      <c r="AA273" s="457" t="str">
        <f t="shared" ref="AA273:AB273" si="537">1-I273</f>
        <v>0%</v>
      </c>
      <c r="AB273" s="457" t="str">
        <f t="shared" si="537"/>
        <v>0%</v>
      </c>
      <c r="AC273" s="456" t="str">
        <f t="shared" si="8"/>
        <v>2</v>
      </c>
      <c r="AD273" s="458" t="str">
        <f t="shared" ref="AD273:AD314" si="542">MIN((H273),2)</f>
        <v>1</v>
      </c>
      <c r="AE273" s="458" t="str">
        <f t="shared" si="10"/>
        <v>1</v>
      </c>
      <c r="AF273" s="459" t="str">
        <f t="shared" ref="AF273:AF282" si="543">(MIN(H273,2)+G273-U273)*0</f>
        <v>0</v>
      </c>
      <c r="AG273" s="460"/>
      <c r="AH273" s="718" t="s">
        <v>22</v>
      </c>
      <c r="AI273" s="568" t="str">
        <f t="shared" si="538"/>
        <v>8</v>
      </c>
      <c r="AK273" s="568" t="str">
        <f>sumifs($AC$2:$AC700, $D$2:$D700, "Epic", $E$2:$E700, "Classic", $F$2:F700, "Warlock")</f>
        <v>4</v>
      </c>
      <c r="AM273" s="667" t="str">
        <f>sumifs($AC$2:$AC700, $D$2:$D700, "Epic", $E$2:$E700, "GvG", $F$2:F700, "Warlock")</f>
        <v>2</v>
      </c>
      <c r="AO273" s="641" t="str">
        <f>sumifs($AC$2:$AC700, $D$2:$D700, "Epic", $E$2:$E700, "TGT", $F$2:F700, "Warlock")</f>
        <v>2</v>
      </c>
      <c r="AP273" s="144"/>
      <c r="AQ273" s="499"/>
      <c r="AR273" s="499"/>
      <c r="AS273" s="499"/>
      <c r="AT273" s="499"/>
      <c r="AU273" s="499"/>
      <c r="AV273" s="499"/>
    </row>
    <row r="274">
      <c r="A274" s="463"/>
      <c r="B274" s="443">
        <v>0.0</v>
      </c>
      <c r="C274" s="444" t="s">
        <v>730</v>
      </c>
      <c r="D274" s="445" t="s">
        <v>10</v>
      </c>
      <c r="E274" s="445" t="s">
        <v>10</v>
      </c>
      <c r="F274" s="445" t="s">
        <v>72</v>
      </c>
      <c r="G274" s="446" t="str">
        <f>COUNTIFS(Reference!F:F,C274,Reference!G:G,"&lt;="&amp;VLOOKUP($F274,Summary!$N$25:$O$33,2,0))</f>
        <v>2</v>
      </c>
      <c r="H274" s="447">
        <v>0.0</v>
      </c>
      <c r="I274" s="448">
        <v>1.0</v>
      </c>
      <c r="J274" s="448">
        <v>1.0</v>
      </c>
      <c r="K274" s="449" t="s">
        <v>162</v>
      </c>
      <c r="L274" s="449"/>
      <c r="M274" s="449"/>
      <c r="N274" s="449"/>
      <c r="O274" s="450" t="s">
        <v>731</v>
      </c>
      <c r="P274" s="14"/>
      <c r="Q274" s="452" t="str">
        <f>MATCH($D274,Reference!$J$5:$J$9,0)</f>
        <v>1</v>
      </c>
      <c r="R274" s="452" t="str">
        <f>MATCH($E274,Reference!$J$26:$J$32,0)</f>
        <v>1</v>
      </c>
      <c r="S274" s="452" t="str">
        <f>MATCH($F274,Reference!$J$45:$J$54,0)</f>
        <v>7</v>
      </c>
      <c r="T274" s="453" t="str">
        <f>MATCH($K274,Reference!$J$37:$J$39,0)</f>
        <v>2</v>
      </c>
      <c r="U274" s="454" t="str">
        <f t="shared" si="539"/>
        <v>2</v>
      </c>
      <c r="V274" s="454" t="str">
        <f t="shared" si="3"/>
        <v>1</v>
      </c>
      <c r="W274" s="455">
        <v>0.0</v>
      </c>
      <c r="X274" s="454" t="str">
        <f t="shared" si="540"/>
        <v>2</v>
      </c>
      <c r="Y274" s="456" t="str">
        <f t="shared" si="5"/>
        <v>FALSE</v>
      </c>
      <c r="Z274" s="456" t="str">
        <f t="shared" si="6"/>
        <v>FALSE</v>
      </c>
      <c r="AA274" s="457" t="str">
        <f t="shared" ref="AA274:AB274" si="541">1-I274</f>
        <v>0%</v>
      </c>
      <c r="AB274" s="457" t="str">
        <f t="shared" si="541"/>
        <v>0%</v>
      </c>
      <c r="AC274" s="456" t="str">
        <f t="shared" si="8"/>
        <v>2</v>
      </c>
      <c r="AD274" s="458" t="str">
        <f t="shared" si="542"/>
        <v>0</v>
      </c>
      <c r="AE274" s="458" t="str">
        <f t="shared" si="10"/>
        <v>1</v>
      </c>
      <c r="AF274" s="459" t="str">
        <f t="shared" si="543"/>
        <v>0</v>
      </c>
      <c r="AG274" s="460"/>
      <c r="AH274" s="719" t="s">
        <v>23</v>
      </c>
      <c r="AI274" s="720" t="str">
        <f t="shared" si="538"/>
        <v>4</v>
      </c>
      <c r="AK274" s="720" t="str">
        <f>sumifs($AC$2:$AC700, $D$2:$D700, "Legendary", $E$2:$E700, "Classic", $F$2:F700, "Warlock")</f>
        <v>2</v>
      </c>
      <c r="AM274" s="721" t="str">
        <f>sumifs($AC$2:$AC700, $D$2:$D700, "Legendary", $E$2:$E700, "GvG", $F$2:F700, "Warlock")</f>
        <v>2</v>
      </c>
      <c r="AO274" s="675" t="str">
        <f>sumifs($AC$2:$AC700, $D$2:$D700, "Legendary", $E$2:$E700, "TGT", $F$2:F700, "Warlock")</f>
        <v>0</v>
      </c>
      <c r="AP274" s="144"/>
      <c r="AQ274" s="499"/>
      <c r="AR274" s="499"/>
      <c r="AS274" s="499"/>
      <c r="AT274" s="499"/>
      <c r="AU274" s="499"/>
      <c r="AV274" s="499"/>
    </row>
    <row r="275">
      <c r="A275" s="463"/>
      <c r="B275" s="467">
        <v>1.0</v>
      </c>
      <c r="C275" s="468" t="s">
        <v>732</v>
      </c>
      <c r="D275" s="445" t="s">
        <v>10</v>
      </c>
      <c r="E275" s="445" t="s">
        <v>10</v>
      </c>
      <c r="F275" s="445" t="s">
        <v>72</v>
      </c>
      <c r="G275" s="446" t="str">
        <f>COUNTIFS(Reference!F:F,C275,Reference!G:G,"&lt;="&amp;VLOOKUP($F275,Summary!$N$25:$O$33,2,0))</f>
        <v>2</v>
      </c>
      <c r="H275" s="447">
        <v>0.0</v>
      </c>
      <c r="I275" s="448">
        <v>1.0</v>
      </c>
      <c r="J275" s="448">
        <v>1.0</v>
      </c>
      <c r="K275" s="449" t="s">
        <v>162</v>
      </c>
      <c r="L275" s="449"/>
      <c r="M275" s="449"/>
      <c r="N275" s="449"/>
      <c r="O275" s="450" t="s">
        <v>733</v>
      </c>
      <c r="P275" s="14"/>
      <c r="Q275" s="452" t="str">
        <f>MATCH($D275,Reference!$J$5:$J$9,0)</f>
        <v>1</v>
      </c>
      <c r="R275" s="452" t="str">
        <f>MATCH($E275,Reference!$J$26:$J$32,0)</f>
        <v>1</v>
      </c>
      <c r="S275" s="452" t="str">
        <f>MATCH($F275,Reference!$J$45:$J$54,0)</f>
        <v>7</v>
      </c>
      <c r="T275" s="453" t="str">
        <f>MATCH($K275,Reference!$J$37:$J$39,0)</f>
        <v>2</v>
      </c>
      <c r="U275" s="454" t="str">
        <f t="shared" si="539"/>
        <v>2</v>
      </c>
      <c r="V275" s="454" t="str">
        <f t="shared" si="3"/>
        <v>1</v>
      </c>
      <c r="W275" s="455">
        <v>0.0</v>
      </c>
      <c r="X275" s="454" t="str">
        <f t="shared" si="540"/>
        <v>2</v>
      </c>
      <c r="Y275" s="456" t="str">
        <f t="shared" si="5"/>
        <v>FALSE</v>
      </c>
      <c r="Z275" s="456" t="str">
        <f t="shared" si="6"/>
        <v>FALSE</v>
      </c>
      <c r="AA275" s="457" t="str">
        <f t="shared" ref="AA275:AB275" si="544">1-I275</f>
        <v>0%</v>
      </c>
      <c r="AB275" s="457" t="str">
        <f t="shared" si="544"/>
        <v>0%</v>
      </c>
      <c r="AC275" s="456" t="str">
        <f t="shared" si="8"/>
        <v>2</v>
      </c>
      <c r="AD275" s="458" t="str">
        <f t="shared" si="542"/>
        <v>0</v>
      </c>
      <c r="AE275" s="458" t="str">
        <f t="shared" si="10"/>
        <v>1</v>
      </c>
      <c r="AF275" s="459" t="str">
        <f t="shared" si="543"/>
        <v>0</v>
      </c>
      <c r="AG275" s="460"/>
      <c r="AH275" s="715" t="s">
        <v>75</v>
      </c>
      <c r="AI275" s="524" t="s">
        <v>24</v>
      </c>
      <c r="AJ275" s="106"/>
      <c r="AK275" s="716" t="s">
        <v>33</v>
      </c>
      <c r="AL275" s="106"/>
      <c r="AM275" s="716" t="s">
        <v>35</v>
      </c>
      <c r="AN275" s="106"/>
      <c r="AO275" s="716" t="s">
        <v>36</v>
      </c>
      <c r="AP275" s="107"/>
      <c r="AQ275" s="14"/>
      <c r="AR275" s="14"/>
      <c r="AS275" s="14"/>
      <c r="AT275" s="14"/>
    </row>
    <row r="276">
      <c r="A276" s="466"/>
      <c r="B276" s="443">
        <v>1.0</v>
      </c>
      <c r="C276" s="444" t="s">
        <v>734</v>
      </c>
      <c r="D276" s="445" t="s">
        <v>10</v>
      </c>
      <c r="E276" s="445" t="s">
        <v>10</v>
      </c>
      <c r="F276" s="445" t="s">
        <v>72</v>
      </c>
      <c r="G276" s="446" t="str">
        <f>COUNTIFS(Reference!F:F,C276,Reference!G:G,"&lt;="&amp;VLOOKUP($F276,Summary!$N$25:$O$33,2,0))</f>
        <v>2</v>
      </c>
      <c r="H276" s="447">
        <v>0.0</v>
      </c>
      <c r="I276" s="448">
        <v>1.0</v>
      </c>
      <c r="J276" s="448">
        <v>1.0</v>
      </c>
      <c r="K276" s="449" t="s">
        <v>162</v>
      </c>
      <c r="L276" s="449"/>
      <c r="M276" s="449"/>
      <c r="N276" s="449"/>
      <c r="O276" s="450" t="s">
        <v>735</v>
      </c>
      <c r="P276" s="14"/>
      <c r="Q276" s="452" t="str">
        <f>MATCH($D276,Reference!$J$5:$J$9,0)</f>
        <v>1</v>
      </c>
      <c r="R276" s="452" t="str">
        <f>MATCH($E276,Reference!$J$26:$J$32,0)</f>
        <v>1</v>
      </c>
      <c r="S276" s="452" t="str">
        <f>MATCH($F276,Reference!$J$45:$J$54,0)</f>
        <v>7</v>
      </c>
      <c r="T276" s="453" t="str">
        <f>MATCH($K276,Reference!$J$37:$J$39,0)</f>
        <v>2</v>
      </c>
      <c r="U276" s="454" t="str">
        <f t="shared" si="539"/>
        <v>2</v>
      </c>
      <c r="V276" s="454" t="str">
        <f t="shared" si="3"/>
        <v>1</v>
      </c>
      <c r="W276" s="455">
        <v>0.0</v>
      </c>
      <c r="X276" s="454" t="str">
        <f t="shared" si="540"/>
        <v>2</v>
      </c>
      <c r="Y276" s="456" t="str">
        <f t="shared" si="5"/>
        <v>FALSE</v>
      </c>
      <c r="Z276" s="456" t="str">
        <f t="shared" si="6"/>
        <v>FALSE</v>
      </c>
      <c r="AA276" s="457" t="str">
        <f t="shared" ref="AA276:AB276" si="545">1-I276</f>
        <v>0%</v>
      </c>
      <c r="AB276" s="457" t="str">
        <f t="shared" si="545"/>
        <v>0%</v>
      </c>
      <c r="AC276" s="456" t="str">
        <f t="shared" si="8"/>
        <v>2</v>
      </c>
      <c r="AD276" s="458" t="str">
        <f t="shared" si="542"/>
        <v>0</v>
      </c>
      <c r="AE276" s="458" t="str">
        <f t="shared" si="10"/>
        <v>1</v>
      </c>
      <c r="AF276" s="459" t="str">
        <f t="shared" si="543"/>
        <v>0</v>
      </c>
      <c r="AG276" s="460"/>
      <c r="AH276" s="421" t="s">
        <v>15</v>
      </c>
      <c r="AI276" s="522" t="str">
        <f>SUM(AM276+AK276+AO276)</f>
        <v>22</v>
      </c>
      <c r="AK276" s="522" t="str">
        <f>sumifs($AC$2:$AC700, $D$2:$D700, "Common", $E$2:$E700, "Classic", $F$2:F700, "Warrior")</f>
        <v>12</v>
      </c>
      <c r="AM276" s="531" t="str">
        <f>sumifs($AC$2:$AC700, $D$2:$D700, "Common", $E$2:$E700, "GvG", $F$2:F700, "Warrior")</f>
        <v>4</v>
      </c>
      <c r="AO276" s="722" t="str">
        <f>sumifs($AC$2:$AC700, $D$2:$D700, "Common", $E$2:$E700, "TGT", $F$2:F700, "Warrior")</f>
        <v>6</v>
      </c>
      <c r="AP276" s="144"/>
      <c r="AQ276" s="499"/>
      <c r="AR276" s="499"/>
      <c r="AS276" s="499"/>
      <c r="AT276" s="499"/>
      <c r="AU276" s="499"/>
      <c r="AV276" s="499"/>
    </row>
    <row r="277">
      <c r="A277" s="466"/>
      <c r="B277" s="443">
        <v>2.0</v>
      </c>
      <c r="C277" s="444" t="s">
        <v>736</v>
      </c>
      <c r="D277" s="445" t="s">
        <v>10</v>
      </c>
      <c r="E277" s="445" t="s">
        <v>10</v>
      </c>
      <c r="F277" s="445" t="s">
        <v>72</v>
      </c>
      <c r="G277" s="446" t="str">
        <f>COUNTIFS(Reference!F:F,C277,Reference!G:G,"&lt;="&amp;VLOOKUP($F277,Summary!$N$25:$O$33,2,0))</f>
        <v>2</v>
      </c>
      <c r="H277" s="447">
        <v>0.0</v>
      </c>
      <c r="I277" s="448">
        <v>1.0</v>
      </c>
      <c r="J277" s="448">
        <v>1.0</v>
      </c>
      <c r="K277" s="449" t="s">
        <v>188</v>
      </c>
      <c r="L277" s="449" t="s">
        <v>737</v>
      </c>
      <c r="M277" s="449">
        <v>0.0</v>
      </c>
      <c r="N277" s="449">
        <v>3.0</v>
      </c>
      <c r="O277" s="450" t="s">
        <v>738</v>
      </c>
      <c r="P277" s="14"/>
      <c r="Q277" s="452" t="str">
        <f>MATCH($D277,Reference!$J$5:$J$9,0)</f>
        <v>1</v>
      </c>
      <c r="R277" s="452" t="str">
        <f>MATCH($E277,Reference!$J$26:$J$32,0)</f>
        <v>1</v>
      </c>
      <c r="S277" s="452" t="str">
        <f>MATCH($F277,Reference!$J$45:$J$54,0)</f>
        <v>7</v>
      </c>
      <c r="T277" s="453" t="str">
        <f>MATCH($K277,Reference!$J$37:$J$39,0)</f>
        <v>3</v>
      </c>
      <c r="U277" s="454" t="str">
        <f t="shared" si="539"/>
        <v>2</v>
      </c>
      <c r="V277" s="454" t="str">
        <f t="shared" si="3"/>
        <v>1</v>
      </c>
      <c r="W277" s="455">
        <v>0.0</v>
      </c>
      <c r="X277" s="454" t="str">
        <f t="shared" si="540"/>
        <v>2</v>
      </c>
      <c r="Y277" s="456" t="str">
        <f t="shared" si="5"/>
        <v>FALSE</v>
      </c>
      <c r="Z277" s="456" t="str">
        <f t="shared" si="6"/>
        <v>FALSE</v>
      </c>
      <c r="AA277" s="457" t="str">
        <f t="shared" ref="AA277:AB277" si="546">1-I277</f>
        <v>0%</v>
      </c>
      <c r="AB277" s="457" t="str">
        <f t="shared" si="546"/>
        <v>0%</v>
      </c>
      <c r="AC277" s="456" t="str">
        <f t="shared" si="8"/>
        <v>2</v>
      </c>
      <c r="AD277" s="458" t="str">
        <f t="shared" si="542"/>
        <v>0</v>
      </c>
      <c r="AE277" s="458" t="str">
        <f t="shared" si="10"/>
        <v>1</v>
      </c>
      <c r="AF277" s="459" t="str">
        <f t="shared" si="543"/>
        <v>0</v>
      </c>
      <c r="AG277" s="460"/>
      <c r="AH277" s="717" t="s">
        <v>21</v>
      </c>
      <c r="AI277" s="557" t="str">
        <f t="shared" ref="AI277:AI279" si="548">SUM(AM277+AK277+AO277+AQ272+AS272+AU272)</f>
        <v>22</v>
      </c>
      <c r="AK277" s="557" t="str">
        <f>sumifs($AC$2:$AC700, $D$2:$D700, "Rare", $E$2:$E700, "Classic", $F$2:F700, "Warrior")</f>
        <v>10</v>
      </c>
      <c r="AM277" s="657" t="str">
        <f>sumifs($AC$2:$AC700, $D$2:$D700, "Rare", $E$2:$E700, "GvG", $F$2:F700, "Warrior")</f>
        <v>6</v>
      </c>
      <c r="AO277" s="554" t="str">
        <f>sumifs($AC$2:$AC700, $D$2:$D700, "Rare", $E$2:$E700, "TGT", $F$2:F700, "Warrior")</f>
        <v>6</v>
      </c>
      <c r="AP277" s="144"/>
      <c r="AQ277" s="499"/>
      <c r="AR277" s="499"/>
      <c r="AS277" s="499"/>
      <c r="AT277" s="499"/>
      <c r="AU277" s="499"/>
      <c r="AV277" s="499"/>
    </row>
    <row r="278">
      <c r="A278" s="442"/>
      <c r="B278" s="443">
        <v>2.0</v>
      </c>
      <c r="C278" s="444" t="s">
        <v>739</v>
      </c>
      <c r="D278" s="445" t="s">
        <v>10</v>
      </c>
      <c r="E278" s="445" t="s">
        <v>10</v>
      </c>
      <c r="F278" s="445" t="s">
        <v>72</v>
      </c>
      <c r="G278" s="446" t="str">
        <f>COUNTIFS(Reference!F:F,C278,Reference!G:G,"&lt;="&amp;VLOOKUP($F278,Summary!$N$25:$O$33,2,0))</f>
        <v>2</v>
      </c>
      <c r="H278" s="447">
        <v>0.0</v>
      </c>
      <c r="I278" s="448">
        <v>1.0</v>
      </c>
      <c r="J278" s="448">
        <v>1.0</v>
      </c>
      <c r="K278" s="449" t="s">
        <v>162</v>
      </c>
      <c r="L278" s="449"/>
      <c r="M278" s="449"/>
      <c r="N278" s="449"/>
      <c r="O278" s="450" t="s">
        <v>740</v>
      </c>
      <c r="P278" s="14"/>
      <c r="Q278" s="452" t="str">
        <f>MATCH($D278,Reference!$J$5:$J$9,0)</f>
        <v>1</v>
      </c>
      <c r="R278" s="452" t="str">
        <f>MATCH($E278,Reference!$J$26:$J$32,0)</f>
        <v>1</v>
      </c>
      <c r="S278" s="452" t="str">
        <f>MATCH($F278,Reference!$J$45:$J$54,0)</f>
        <v>7</v>
      </c>
      <c r="T278" s="453" t="str">
        <f>MATCH($K278,Reference!$J$37:$J$39,0)</f>
        <v>2</v>
      </c>
      <c r="U278" s="454" t="str">
        <f t="shared" si="539"/>
        <v>2</v>
      </c>
      <c r="V278" s="454" t="str">
        <f t="shared" si="3"/>
        <v>1</v>
      </c>
      <c r="W278" s="455">
        <v>0.0</v>
      </c>
      <c r="X278" s="454" t="str">
        <f t="shared" si="540"/>
        <v>2</v>
      </c>
      <c r="Y278" s="456" t="str">
        <f t="shared" si="5"/>
        <v>FALSE</v>
      </c>
      <c r="Z278" s="456" t="str">
        <f t="shared" si="6"/>
        <v>FALSE</v>
      </c>
      <c r="AA278" s="457" t="str">
        <f t="shared" ref="AA278:AB278" si="547">1-I278</f>
        <v>0%</v>
      </c>
      <c r="AB278" s="457" t="str">
        <f t="shared" si="547"/>
        <v>0%</v>
      </c>
      <c r="AC278" s="456" t="str">
        <f t="shared" si="8"/>
        <v>2</v>
      </c>
      <c r="AD278" s="458" t="str">
        <f t="shared" si="542"/>
        <v>0</v>
      </c>
      <c r="AE278" s="458" t="str">
        <f t="shared" si="10"/>
        <v>1</v>
      </c>
      <c r="AF278" s="459" t="str">
        <f t="shared" si="543"/>
        <v>0</v>
      </c>
      <c r="AG278" s="460"/>
      <c r="AH278" s="718" t="s">
        <v>22</v>
      </c>
      <c r="AI278" s="568" t="str">
        <f t="shared" si="548"/>
        <v>8</v>
      </c>
      <c r="AK278" s="568" t="str">
        <f>sumifs($AC$2:$AC700, $D$2:$D700, "Epic", $E$2:$E700, "Classic", $F$2:F700, "Warrior")</f>
        <v>4</v>
      </c>
      <c r="AM278" s="667" t="str">
        <f>sumifs($AC$2:$AC700, $D$2:$D700, "Epic", $E$2:$E700, "GvG", $F$2:F700, "Warrior")</f>
        <v>4</v>
      </c>
      <c r="AO278" s="641" t="str">
        <f>sumifs($AC$2:$AC700, $D$2:$D700, "Epic", $E$2:$E700, "TGT", $F$2:F700, "Warrior")</f>
        <v>0</v>
      </c>
      <c r="AP278" s="144"/>
      <c r="AQ278" s="499"/>
      <c r="AR278" s="499"/>
      <c r="AS278" s="499"/>
      <c r="AT278" s="499"/>
      <c r="AU278" s="499"/>
      <c r="AV278" s="499"/>
    </row>
    <row r="279">
      <c r="A279" s="442"/>
      <c r="B279" s="467">
        <v>3.0</v>
      </c>
      <c r="C279" s="468" t="s">
        <v>741</v>
      </c>
      <c r="D279" s="445" t="s">
        <v>10</v>
      </c>
      <c r="E279" s="445" t="s">
        <v>10</v>
      </c>
      <c r="F279" s="445" t="s">
        <v>72</v>
      </c>
      <c r="G279" s="446" t="str">
        <f>COUNTIFS(Reference!F:F,C279,Reference!G:G,"&lt;="&amp;VLOOKUP($F279,Summary!$N$25:$O$33,2,0))</f>
        <v>2</v>
      </c>
      <c r="H279" s="447">
        <v>0.0</v>
      </c>
      <c r="I279" s="448">
        <v>1.0</v>
      </c>
      <c r="J279" s="448">
        <v>1.0</v>
      </c>
      <c r="K279" s="449" t="s">
        <v>162</v>
      </c>
      <c r="L279" s="449"/>
      <c r="M279" s="449"/>
      <c r="N279" s="449"/>
      <c r="O279" s="450" t="s">
        <v>742</v>
      </c>
      <c r="P279" s="14"/>
      <c r="Q279" s="452" t="str">
        <f>MATCH($D279,Reference!$J$5:$J$9,0)</f>
        <v>1</v>
      </c>
      <c r="R279" s="452" t="str">
        <f>MATCH($E279,Reference!$J$26:$J$32,0)</f>
        <v>1</v>
      </c>
      <c r="S279" s="452" t="str">
        <f>MATCH($F279,Reference!$J$45:$J$54,0)</f>
        <v>7</v>
      </c>
      <c r="T279" s="453" t="str">
        <f>MATCH($K279,Reference!$J$37:$J$39,0)</f>
        <v>2</v>
      </c>
      <c r="U279" s="454" t="str">
        <f t="shared" si="539"/>
        <v>2</v>
      </c>
      <c r="V279" s="454" t="str">
        <f t="shared" si="3"/>
        <v>1</v>
      </c>
      <c r="W279" s="455">
        <v>0.0</v>
      </c>
      <c r="X279" s="454" t="str">
        <f t="shared" si="540"/>
        <v>2</v>
      </c>
      <c r="Y279" s="456" t="str">
        <f t="shared" si="5"/>
        <v>FALSE</v>
      </c>
      <c r="Z279" s="456" t="str">
        <f t="shared" si="6"/>
        <v>FALSE</v>
      </c>
      <c r="AA279" s="457" t="str">
        <f t="shared" ref="AA279:AB279" si="549">1-I279</f>
        <v>0%</v>
      </c>
      <c r="AB279" s="457" t="str">
        <f t="shared" si="549"/>
        <v>0%</v>
      </c>
      <c r="AC279" s="456" t="str">
        <f t="shared" si="8"/>
        <v>2</v>
      </c>
      <c r="AD279" s="458" t="str">
        <f t="shared" si="542"/>
        <v>0</v>
      </c>
      <c r="AE279" s="458" t="str">
        <f t="shared" si="10"/>
        <v>1</v>
      </c>
      <c r="AF279" s="459" t="str">
        <f t="shared" si="543"/>
        <v>0</v>
      </c>
      <c r="AG279" s="460"/>
      <c r="AH279" s="719" t="s">
        <v>23</v>
      </c>
      <c r="AI279" s="720" t="str">
        <f t="shared" si="548"/>
        <v>4</v>
      </c>
      <c r="AK279" s="720" t="str">
        <f>sumifs($AC$2:$AC700, $D$2:$D700, "Legendary", $E$2:$E700, "Classic", $F$2:F700, "Warrior")</f>
        <v>2</v>
      </c>
      <c r="AM279" s="721" t="str">
        <f>sumifs($AC$2:$AC700, $D$2:$D700, "Legendary", $E$2:$E700, "GvG", $F$2:F700, "Warrior")</f>
        <v>1</v>
      </c>
      <c r="AO279" s="675" t="str">
        <f>sumifs($AC$2:$AC700, $D$2:$D700, "Legendary", $E$2:$E700, "TGT", $F$2:F700, "Warrior")</f>
        <v>1</v>
      </c>
      <c r="AP279" s="144"/>
      <c r="AQ279" s="499"/>
      <c r="AR279" s="499"/>
      <c r="AS279" s="499"/>
      <c r="AT279" s="499"/>
      <c r="AU279" s="499"/>
      <c r="AV279" s="499"/>
    </row>
    <row r="280">
      <c r="A280" s="442"/>
      <c r="B280" s="467">
        <v>4.0</v>
      </c>
      <c r="C280" s="468" t="s">
        <v>743</v>
      </c>
      <c r="D280" s="445" t="s">
        <v>10</v>
      </c>
      <c r="E280" s="445" t="s">
        <v>10</v>
      </c>
      <c r="F280" s="445" t="s">
        <v>72</v>
      </c>
      <c r="G280" s="446" t="str">
        <f>COUNTIFS(Reference!F:F,C280,Reference!G:G,"&lt;="&amp;VLOOKUP($F280,Summary!$N$25:$O$33,2,0))</f>
        <v>2</v>
      </c>
      <c r="H280" s="447">
        <v>0.0</v>
      </c>
      <c r="I280" s="448">
        <v>1.0</v>
      </c>
      <c r="J280" s="448">
        <v>1.0</v>
      </c>
      <c r="K280" s="449" t="s">
        <v>188</v>
      </c>
      <c r="L280" s="449"/>
      <c r="M280" s="449">
        <v>3.0</v>
      </c>
      <c r="N280" s="449">
        <v>3.0</v>
      </c>
      <c r="O280" s="450" t="s">
        <v>744</v>
      </c>
      <c r="P280" s="14"/>
      <c r="Q280" s="452" t="str">
        <f>MATCH($D280,Reference!$J$5:$J$9,0)</f>
        <v>1</v>
      </c>
      <c r="R280" s="452" t="str">
        <f>MATCH($E280,Reference!$J$26:$J$32,0)</f>
        <v>1</v>
      </c>
      <c r="S280" s="452" t="str">
        <f>MATCH($F280,Reference!$J$45:$J$54,0)</f>
        <v>7</v>
      </c>
      <c r="T280" s="453" t="str">
        <f>MATCH($K280,Reference!$J$37:$J$39,0)</f>
        <v>3</v>
      </c>
      <c r="U280" s="454" t="str">
        <f t="shared" si="539"/>
        <v>2</v>
      </c>
      <c r="V280" s="454" t="str">
        <f t="shared" si="3"/>
        <v>1</v>
      </c>
      <c r="W280" s="455">
        <v>0.0</v>
      </c>
      <c r="X280" s="454" t="str">
        <f t="shared" si="540"/>
        <v>2</v>
      </c>
      <c r="Y280" s="456" t="str">
        <f t="shared" si="5"/>
        <v>FALSE</v>
      </c>
      <c r="Z280" s="456" t="str">
        <f t="shared" si="6"/>
        <v>FALSE</v>
      </c>
      <c r="AA280" s="457" t="str">
        <f t="shared" ref="AA280:AB280" si="550">1-I280</f>
        <v>0%</v>
      </c>
      <c r="AB280" s="457" t="str">
        <f t="shared" si="550"/>
        <v>0%</v>
      </c>
      <c r="AC280" s="456" t="str">
        <f t="shared" si="8"/>
        <v>2</v>
      </c>
      <c r="AD280" s="458" t="str">
        <f t="shared" si="542"/>
        <v>0</v>
      </c>
      <c r="AE280" s="458" t="str">
        <f t="shared" si="10"/>
        <v>1</v>
      </c>
      <c r="AF280" s="459" t="str">
        <f t="shared" si="543"/>
        <v>0</v>
      </c>
      <c r="AG280" s="460"/>
      <c r="AH280" s="715" t="s">
        <v>77</v>
      </c>
      <c r="AI280" s="524" t="s">
        <v>24</v>
      </c>
      <c r="AJ280" s="106"/>
      <c r="AK280" s="716" t="s">
        <v>33</v>
      </c>
      <c r="AL280" s="106"/>
      <c r="AM280" s="716" t="s">
        <v>35</v>
      </c>
      <c r="AN280" s="106"/>
      <c r="AO280" s="716" t="s">
        <v>36</v>
      </c>
      <c r="AP280" s="107"/>
      <c r="AQ280" s="14"/>
      <c r="AR280" s="14"/>
      <c r="AS280" s="14"/>
      <c r="AT280" s="14"/>
    </row>
    <row r="281">
      <c r="A281" s="466"/>
      <c r="B281" s="467">
        <v>5.0</v>
      </c>
      <c r="C281" s="468" t="s">
        <v>745</v>
      </c>
      <c r="D281" s="445" t="s">
        <v>10</v>
      </c>
      <c r="E281" s="445" t="s">
        <v>10</v>
      </c>
      <c r="F281" s="445" t="s">
        <v>72</v>
      </c>
      <c r="G281" s="446" t="str">
        <f>COUNTIFS(Reference!F:F,C281,Reference!G:G,"&lt;="&amp;VLOOKUP($F281,Summary!$N$25:$O$33,2,0))</f>
        <v>2</v>
      </c>
      <c r="H281" s="447">
        <v>0.0</v>
      </c>
      <c r="I281" s="448">
        <v>1.0</v>
      </c>
      <c r="J281" s="448">
        <v>1.0</v>
      </c>
      <c r="K281" s="449" t="s">
        <v>162</v>
      </c>
      <c r="L281" s="449"/>
      <c r="M281" s="449"/>
      <c r="N281" s="449"/>
      <c r="O281" s="450" t="s">
        <v>746</v>
      </c>
      <c r="P281" s="14"/>
      <c r="Q281" s="452" t="str">
        <f>MATCH($D281,Reference!$J$5:$J$9,0)</f>
        <v>1</v>
      </c>
      <c r="R281" s="452" t="str">
        <f>MATCH($E281,Reference!$J$26:$J$32,0)</f>
        <v>1</v>
      </c>
      <c r="S281" s="452" t="str">
        <f>MATCH($F281,Reference!$J$45:$J$54,0)</f>
        <v>7</v>
      </c>
      <c r="T281" s="453" t="str">
        <f>MATCH($K281,Reference!$J$37:$J$39,0)</f>
        <v>2</v>
      </c>
      <c r="U281" s="454" t="str">
        <f t="shared" si="539"/>
        <v>2</v>
      </c>
      <c r="V281" s="454" t="str">
        <f t="shared" si="3"/>
        <v>1</v>
      </c>
      <c r="W281" s="455">
        <v>0.0</v>
      </c>
      <c r="X281" s="454" t="str">
        <f t="shared" si="540"/>
        <v>2</v>
      </c>
      <c r="Y281" s="456" t="str">
        <f t="shared" si="5"/>
        <v>FALSE</v>
      </c>
      <c r="Z281" s="456" t="str">
        <f t="shared" si="6"/>
        <v>FALSE</v>
      </c>
      <c r="AA281" s="457" t="str">
        <f t="shared" ref="AA281:AB281" si="551">1-I281</f>
        <v>0%</v>
      </c>
      <c r="AB281" s="457" t="str">
        <f t="shared" si="551"/>
        <v>0%</v>
      </c>
      <c r="AC281" s="456" t="str">
        <f t="shared" si="8"/>
        <v>2</v>
      </c>
      <c r="AD281" s="458" t="str">
        <f t="shared" si="542"/>
        <v>0</v>
      </c>
      <c r="AE281" s="458" t="str">
        <f t="shared" si="10"/>
        <v>1</v>
      </c>
      <c r="AF281" s="459" t="str">
        <f t="shared" si="543"/>
        <v>0</v>
      </c>
      <c r="AG281" s="460"/>
      <c r="AH281" s="421" t="s">
        <v>15</v>
      </c>
      <c r="AI281" s="522" t="str">
        <f>SUM(AM281+AK281+AO281)</f>
        <v>166</v>
      </c>
      <c r="AK281" s="522" t="str">
        <f>sumifs($AC$2:$AC700, $D$2:$D700, "Common", $E$2:$E700, "Classic", $F$2:F700, "Neutral")</f>
        <v>78</v>
      </c>
      <c r="AM281" s="531" t="str">
        <f>sumifs($AC$2:$AC700, $D$2:$D700, "Common", $E$2:$E700, "GvG", $F$2:F700, "Neutral")</f>
        <v>44</v>
      </c>
      <c r="AO281" s="722" t="str">
        <f>sumifs($AC$2:$AC700, $D$2:$D700, "Common", $E$2:$E700, "TGT", $F$2:F700, "Neutral")</f>
        <v>44</v>
      </c>
      <c r="AP281" s="144"/>
      <c r="AQ281" s="14"/>
      <c r="AR281" s="14"/>
      <c r="AS281" s="14"/>
      <c r="AT281" s="14"/>
    </row>
    <row r="282">
      <c r="A282" s="466"/>
      <c r="B282" s="443">
        <v>6.0</v>
      </c>
      <c r="C282" s="444" t="s">
        <v>747</v>
      </c>
      <c r="D282" s="445" t="s">
        <v>10</v>
      </c>
      <c r="E282" s="445" t="s">
        <v>10</v>
      </c>
      <c r="F282" s="445" t="s">
        <v>72</v>
      </c>
      <c r="G282" s="446" t="str">
        <f>COUNTIFS(Reference!F:F,C282,Reference!G:G,"&lt;="&amp;VLOOKUP($F282,Summary!$N$25:$O$33,2,0))</f>
        <v>2</v>
      </c>
      <c r="H282" s="447">
        <v>0.0</v>
      </c>
      <c r="I282" s="448">
        <v>1.0</v>
      </c>
      <c r="J282" s="448">
        <v>1.0</v>
      </c>
      <c r="K282" s="449" t="s">
        <v>188</v>
      </c>
      <c r="L282" s="449"/>
      <c r="M282" s="449">
        <v>6.0</v>
      </c>
      <c r="N282" s="449">
        <v>5.0</v>
      </c>
      <c r="O282" s="450" t="s">
        <v>748</v>
      </c>
      <c r="P282" s="14"/>
      <c r="Q282" s="452" t="str">
        <f>MATCH($D282,Reference!$J$5:$J$9,0)</f>
        <v>1</v>
      </c>
      <c r="R282" s="452" t="str">
        <f>MATCH($E282,Reference!$J$26:$J$32,0)</f>
        <v>1</v>
      </c>
      <c r="S282" s="452" t="str">
        <f>MATCH($F282,Reference!$J$45:$J$54,0)</f>
        <v>7</v>
      </c>
      <c r="T282" s="453" t="str">
        <f>MATCH($K282,Reference!$J$37:$J$39,0)</f>
        <v>3</v>
      </c>
      <c r="U282" s="454" t="str">
        <f t="shared" si="539"/>
        <v>2</v>
      </c>
      <c r="V282" s="454" t="str">
        <f t="shared" si="3"/>
        <v>1</v>
      </c>
      <c r="W282" s="455">
        <v>0.0</v>
      </c>
      <c r="X282" s="454" t="str">
        <f t="shared" si="540"/>
        <v>2</v>
      </c>
      <c r="Y282" s="456" t="str">
        <f t="shared" si="5"/>
        <v>FALSE</v>
      </c>
      <c r="Z282" s="456" t="str">
        <f t="shared" si="6"/>
        <v>FALSE</v>
      </c>
      <c r="AA282" s="457" t="str">
        <f t="shared" ref="AA282:AB282" si="552">1-I282</f>
        <v>0%</v>
      </c>
      <c r="AB282" s="457" t="str">
        <f t="shared" si="552"/>
        <v>0%</v>
      </c>
      <c r="AC282" s="456" t="str">
        <f t="shared" si="8"/>
        <v>2</v>
      </c>
      <c r="AD282" s="458" t="str">
        <f t="shared" si="542"/>
        <v>0</v>
      </c>
      <c r="AE282" s="458" t="str">
        <f t="shared" si="10"/>
        <v>1</v>
      </c>
      <c r="AF282" s="459" t="str">
        <f t="shared" si="543"/>
        <v>0</v>
      </c>
      <c r="AG282" s="460"/>
      <c r="AH282" s="717" t="s">
        <v>21</v>
      </c>
      <c r="AI282" s="557" t="str">
        <f t="shared" ref="AI282:AI284" si="554">SUM(AM282+AK282+AO282+AQ277+AS277+AU277)</f>
        <v>91</v>
      </c>
      <c r="AK282" s="557" t="str">
        <f>sumifs($AC$2:$AC700, $D$2:$D700, "Rare", $E$2:$E700, "Classic", $F$2:F700, "Neutral")</f>
        <v>60</v>
      </c>
      <c r="AM282" s="657" t="str">
        <f>sumifs($AC$2:$AC700, $D$2:$D700, "Rare", $E$2:$E700, "GvG", $F$2:F700, "Neutral")</f>
        <v>13</v>
      </c>
      <c r="AO282" s="554" t="str">
        <f>sumifs($AC$2:$AC700, $D$2:$D700, "Rare", $E$2:$E700, "TGT", $F$2:F700, "Neutral")</f>
        <v>18</v>
      </c>
      <c r="AP282" s="144"/>
      <c r="AQ282" s="14"/>
      <c r="AR282" s="14"/>
      <c r="AS282" s="14"/>
      <c r="AT282" s="14"/>
    </row>
    <row r="283">
      <c r="A283" s="466"/>
      <c r="B283" s="509">
        <v>1.0</v>
      </c>
      <c r="C283" s="510" t="s">
        <v>749</v>
      </c>
      <c r="D283" s="511" t="s">
        <v>15</v>
      </c>
      <c r="E283" s="511" t="s">
        <v>33</v>
      </c>
      <c r="F283" s="512" t="s">
        <v>72</v>
      </c>
      <c r="G283" s="508">
        <v>2.0</v>
      </c>
      <c r="H283" s="508">
        <v>0.0</v>
      </c>
      <c r="I283" s="486">
        <v>1.0</v>
      </c>
      <c r="J283" s="486">
        <v>1.0</v>
      </c>
      <c r="K283" s="522" t="s">
        <v>188</v>
      </c>
      <c r="L283" s="522"/>
      <c r="M283" s="522">
        <v>3.0</v>
      </c>
      <c r="N283" s="522">
        <v>1.0</v>
      </c>
      <c r="O283" s="224" t="s">
        <v>750</v>
      </c>
      <c r="P283" s="14"/>
      <c r="Q283" s="452" t="str">
        <f>MATCH($D283,Reference!$J$5:$J$9,0)</f>
        <v>2</v>
      </c>
      <c r="R283" s="452" t="str">
        <f>MATCH($E283,Reference!$J$26:$J$32,0)</f>
        <v>2</v>
      </c>
      <c r="S283" s="452" t="str">
        <f>MATCH($F283,Reference!$J$45:$J$54,0)</f>
        <v>7</v>
      </c>
      <c r="T283" s="453" t="str">
        <f>MATCH($K283,Reference!$J$37:$J$39,0)</f>
        <v>3</v>
      </c>
      <c r="U283" s="454" t="str">
        <f t="shared" si="539"/>
        <v>2</v>
      </c>
      <c r="V283" s="454" t="str">
        <f t="shared" si="3"/>
        <v>1</v>
      </c>
      <c r="W283" s="454" t="str">
        <f t="shared" ref="W283:W295" si="555">(MIN(G283,2)+H283-U283)*50</f>
        <v>0</v>
      </c>
      <c r="X283" s="454" t="str">
        <f t="shared" si="540"/>
        <v>2</v>
      </c>
      <c r="Y283" s="456" t="str">
        <f t="shared" si="5"/>
        <v>FALSE</v>
      </c>
      <c r="Z283" s="456" t="str">
        <f t="shared" si="6"/>
        <v>FALSE</v>
      </c>
      <c r="AA283" s="457" t="str">
        <f t="shared" ref="AA283:AB283" si="553">1-I283</f>
        <v>0%</v>
      </c>
      <c r="AB283" s="457" t="str">
        <f t="shared" si="553"/>
        <v>0%</v>
      </c>
      <c r="AC283" s="456" t="str">
        <f t="shared" si="8"/>
        <v>2</v>
      </c>
      <c r="AD283" s="458" t="str">
        <f t="shared" si="542"/>
        <v>0</v>
      </c>
      <c r="AE283" s="458" t="str">
        <f t="shared" si="10"/>
        <v>1</v>
      </c>
      <c r="AF283" s="459" t="str">
        <f t="shared" ref="AF283:AF295" si="557">(MIN(H283,2)+G283-U283)*5</f>
        <v>0</v>
      </c>
      <c r="AG283" s="460"/>
      <c r="AH283" s="718" t="s">
        <v>22</v>
      </c>
      <c r="AI283" s="568" t="str">
        <f t="shared" si="554"/>
        <v>20</v>
      </c>
      <c r="AK283" s="568" t="str">
        <f>sumifs($AC$2:$AC700, $D$2:$D700, "Epic", $E$2:$E700, "Classic", $F$2:F700, "Neutral")</f>
        <v>9</v>
      </c>
      <c r="AM283" s="667" t="str">
        <f>sumifs($AC$2:$AC700, $D$2:$D700, "Epic", $E$2:$E700, "GvG", $F$2:F700, "Neutral")</f>
        <v>4</v>
      </c>
      <c r="AO283" s="641" t="str">
        <f>sumifs($AC$2:$AC700, $D$2:$D700, "Epic", $E$2:$E700, "TGT", $F$2:F700, "Neutral")</f>
        <v>7</v>
      </c>
      <c r="AP283" s="144"/>
      <c r="AQ283" s="14"/>
      <c r="AR283" s="14"/>
      <c r="AS283" s="14"/>
      <c r="AT283" s="14"/>
    </row>
    <row r="284">
      <c r="A284" s="442"/>
      <c r="B284" s="442">
        <v>1.0</v>
      </c>
      <c r="C284" s="482" t="s">
        <v>751</v>
      </c>
      <c r="D284" s="483" t="s">
        <v>15</v>
      </c>
      <c r="E284" s="483" t="s">
        <v>33</v>
      </c>
      <c r="F284" s="484" t="s">
        <v>72</v>
      </c>
      <c r="G284" s="485">
        <v>2.0</v>
      </c>
      <c r="H284" s="485">
        <v>0.0</v>
      </c>
      <c r="I284" s="486">
        <v>1.0</v>
      </c>
      <c r="J284" s="486">
        <v>1.0</v>
      </c>
      <c r="K284" s="499" t="s">
        <v>162</v>
      </c>
      <c r="L284" s="499"/>
      <c r="M284" s="499"/>
      <c r="N284" s="499"/>
      <c r="O284" s="223" t="s">
        <v>752</v>
      </c>
      <c r="P284" s="14"/>
      <c r="Q284" s="452" t="str">
        <f>MATCH($D284,Reference!$J$5:$J$9,0)</f>
        <v>2</v>
      </c>
      <c r="R284" s="452" t="str">
        <f>MATCH($E284,Reference!$J$26:$J$32,0)</f>
        <v>2</v>
      </c>
      <c r="S284" s="452" t="str">
        <f>MATCH($F284,Reference!$J$45:$J$54,0)</f>
        <v>7</v>
      </c>
      <c r="T284" s="453" t="str">
        <f>MATCH($K284,Reference!$J$37:$J$39,0)</f>
        <v>2</v>
      </c>
      <c r="U284" s="454" t="str">
        <f t="shared" si="539"/>
        <v>2</v>
      </c>
      <c r="V284" s="454" t="str">
        <f t="shared" si="3"/>
        <v>1</v>
      </c>
      <c r="W284" s="454" t="str">
        <f t="shared" si="555"/>
        <v>0</v>
      </c>
      <c r="X284" s="454" t="str">
        <f t="shared" si="540"/>
        <v>2</v>
      </c>
      <c r="Y284" s="456" t="str">
        <f t="shared" si="5"/>
        <v>FALSE</v>
      </c>
      <c r="Z284" s="456" t="str">
        <f t="shared" si="6"/>
        <v>FALSE</v>
      </c>
      <c r="AA284" s="457" t="str">
        <f t="shared" ref="AA284:AB284" si="556">1-I284</f>
        <v>0%</v>
      </c>
      <c r="AB284" s="457" t="str">
        <f t="shared" si="556"/>
        <v>0%</v>
      </c>
      <c r="AC284" s="456" t="str">
        <f t="shared" si="8"/>
        <v>2</v>
      </c>
      <c r="AD284" s="458" t="str">
        <f t="shared" si="542"/>
        <v>0</v>
      </c>
      <c r="AE284" s="458" t="str">
        <f t="shared" si="10"/>
        <v>1</v>
      </c>
      <c r="AF284" s="459" t="str">
        <f t="shared" si="557"/>
        <v>0</v>
      </c>
      <c r="AG284" s="460"/>
      <c r="AH284" s="719" t="s">
        <v>23</v>
      </c>
      <c r="AI284" s="584" t="str">
        <f t="shared" si="554"/>
        <v>51.47</v>
      </c>
      <c r="AJ284" s="37"/>
      <c r="AK284" s="584" t="str">
        <f>sumifs($AC$2:$AC700, $D$2:$D700, "Legendary", $E$2:$E700, "Classic", $F$2:F700, "Neutral")</f>
        <v>34.47</v>
      </c>
      <c r="AL284" s="37"/>
      <c r="AM284" s="679" t="str">
        <f>sumifs($AC$2:$AC700, $D$2:$D700, "Legendary", $E$2:$E700, "GvG", $F$2:F700, "Neutral")</f>
        <v>14</v>
      </c>
      <c r="AN284" s="37"/>
      <c r="AO284" s="677" t="str">
        <f>sumifs($AC$2:$AC700, $D$2:$D700, "Legendary", $E$2:$E700, "TGT", $F$2:F700, "Neutral")</f>
        <v>3</v>
      </c>
      <c r="AP284" s="38"/>
      <c r="AQ284" s="14"/>
      <c r="AR284" s="14"/>
      <c r="AS284" s="14"/>
      <c r="AT284" s="14"/>
    </row>
    <row r="285">
      <c r="A285" s="509"/>
      <c r="B285" s="509">
        <v>1.0</v>
      </c>
      <c r="C285" s="510" t="s">
        <v>753</v>
      </c>
      <c r="D285" s="511" t="s">
        <v>15</v>
      </c>
      <c r="E285" s="511" t="s">
        <v>33</v>
      </c>
      <c r="F285" s="512" t="s">
        <v>72</v>
      </c>
      <c r="G285" s="508">
        <v>2.0</v>
      </c>
      <c r="H285" s="508">
        <v>0.0</v>
      </c>
      <c r="I285" s="486">
        <v>1.0</v>
      </c>
      <c r="J285" s="486">
        <v>1.0</v>
      </c>
      <c r="K285" s="522" t="s">
        <v>162</v>
      </c>
      <c r="L285" s="522"/>
      <c r="M285" s="522"/>
      <c r="N285" s="522"/>
      <c r="O285" s="224" t="s">
        <v>754</v>
      </c>
      <c r="P285" s="14"/>
      <c r="Q285" s="452" t="str">
        <f>MATCH($D285,Reference!$J$5:$J$9,0)</f>
        <v>2</v>
      </c>
      <c r="R285" s="452" t="str">
        <f>MATCH($E285,Reference!$J$26:$J$32,0)</f>
        <v>2</v>
      </c>
      <c r="S285" s="452" t="str">
        <f>MATCH($F285,Reference!$J$45:$J$54,0)</f>
        <v>7</v>
      </c>
      <c r="T285" s="453" t="str">
        <f>MATCH($K285,Reference!$J$37:$J$39,0)</f>
        <v>2</v>
      </c>
      <c r="U285" s="454" t="str">
        <f t="shared" si="539"/>
        <v>2</v>
      </c>
      <c r="V285" s="454" t="str">
        <f t="shared" si="3"/>
        <v>1</v>
      </c>
      <c r="W285" s="454" t="str">
        <f t="shared" si="555"/>
        <v>0</v>
      </c>
      <c r="X285" s="454" t="str">
        <f t="shared" si="540"/>
        <v>2</v>
      </c>
      <c r="Y285" s="456" t="str">
        <f t="shared" si="5"/>
        <v>FALSE</v>
      </c>
      <c r="Z285" s="456" t="str">
        <f t="shared" si="6"/>
        <v>FALSE</v>
      </c>
      <c r="AA285" s="457" t="str">
        <f t="shared" ref="AA285:AB285" si="558">1-I285</f>
        <v>0%</v>
      </c>
      <c r="AB285" s="457" t="str">
        <f t="shared" si="558"/>
        <v>0%</v>
      </c>
      <c r="AC285" s="456" t="str">
        <f t="shared" si="8"/>
        <v>2</v>
      </c>
      <c r="AD285" s="458" t="str">
        <f t="shared" si="542"/>
        <v>0</v>
      </c>
      <c r="AE285" s="458" t="str">
        <f t="shared" si="10"/>
        <v>1</v>
      </c>
      <c r="AF285" s="459" t="str">
        <f t="shared" si="557"/>
        <v>0</v>
      </c>
      <c r="AG285" s="460"/>
      <c r="AH285" s="14"/>
      <c r="AI285" s="14"/>
      <c r="AJ285" s="14"/>
      <c r="AK285" s="14"/>
      <c r="AL285" s="14"/>
      <c r="AM285" s="14"/>
      <c r="AN285" s="14"/>
      <c r="AO285" s="14"/>
      <c r="AP285" s="14"/>
      <c r="AQ285" s="14"/>
      <c r="AR285" s="14"/>
      <c r="AS285" s="14"/>
      <c r="AT285" s="14"/>
    </row>
    <row r="286">
      <c r="A286" s="463"/>
      <c r="B286" s="509">
        <v>1.0</v>
      </c>
      <c r="C286" s="510" t="s">
        <v>755</v>
      </c>
      <c r="D286" s="511" t="s">
        <v>15</v>
      </c>
      <c r="E286" s="511" t="s">
        <v>33</v>
      </c>
      <c r="F286" s="512" t="s">
        <v>72</v>
      </c>
      <c r="G286" s="485">
        <v>1.0</v>
      </c>
      <c r="H286" s="508">
        <v>0.0</v>
      </c>
      <c r="I286" s="486">
        <v>1.0</v>
      </c>
      <c r="J286" s="486">
        <v>1.0</v>
      </c>
      <c r="K286" s="522" t="s">
        <v>162</v>
      </c>
      <c r="L286" s="522"/>
      <c r="M286" s="522"/>
      <c r="N286" s="522"/>
      <c r="O286" s="224" t="s">
        <v>756</v>
      </c>
      <c r="P286" s="14"/>
      <c r="Q286" s="452" t="str">
        <f>MATCH($D286,Reference!$J$5:$J$9,0)</f>
        <v>2</v>
      </c>
      <c r="R286" s="452" t="str">
        <f>MATCH($E286,Reference!$J$26:$J$32,0)</f>
        <v>2</v>
      </c>
      <c r="S286" s="452" t="str">
        <f>MATCH($F286,Reference!$J$45:$J$54,0)</f>
        <v>7</v>
      </c>
      <c r="T286" s="453" t="str">
        <f>MATCH($K286,Reference!$J$37:$J$39,0)</f>
        <v>2</v>
      </c>
      <c r="U286" s="454" t="str">
        <f t="shared" si="539"/>
        <v>1</v>
      </c>
      <c r="V286" s="454" t="str">
        <f t="shared" si="3"/>
        <v>1</v>
      </c>
      <c r="W286" s="454" t="str">
        <f t="shared" si="555"/>
        <v>0</v>
      </c>
      <c r="X286" s="454" t="str">
        <f t="shared" si="540"/>
        <v>1</v>
      </c>
      <c r="Y286" s="456" t="str">
        <f t="shared" si="5"/>
        <v>FALSE</v>
      </c>
      <c r="Z286" s="456" t="str">
        <f t="shared" si="6"/>
        <v>TRUE</v>
      </c>
      <c r="AA286" s="457" t="str">
        <f t="shared" ref="AA286:AB286" si="559">1-I286</f>
        <v>0%</v>
      </c>
      <c r="AB286" s="457" t="str">
        <f t="shared" si="559"/>
        <v>0%</v>
      </c>
      <c r="AC286" s="456" t="str">
        <f t="shared" si="8"/>
        <v>1</v>
      </c>
      <c r="AD286" s="458" t="str">
        <f t="shared" si="542"/>
        <v>0</v>
      </c>
      <c r="AE286" s="458" t="str">
        <f t="shared" si="10"/>
        <v>1</v>
      </c>
      <c r="AF286" s="459" t="str">
        <f t="shared" si="557"/>
        <v>0</v>
      </c>
      <c r="AG286" s="460"/>
      <c r="AH286" s="521" t="s">
        <v>757</v>
      </c>
      <c r="AI286" s="106"/>
      <c r="AJ286" s="106"/>
      <c r="AK286" s="106"/>
      <c r="AL286" s="106"/>
      <c r="AM286" s="106"/>
      <c r="AN286" s="106"/>
      <c r="AO286" s="106"/>
      <c r="AP286" s="106"/>
      <c r="AQ286" s="106"/>
      <c r="AR286" s="106"/>
      <c r="AS286" s="106"/>
      <c r="AT286" s="106"/>
      <c r="AU286" s="106"/>
      <c r="AV286" s="106"/>
      <c r="AW286" s="106"/>
      <c r="AX286" s="107"/>
    </row>
    <row r="287">
      <c r="A287" s="442"/>
      <c r="B287" s="466">
        <v>2.0</v>
      </c>
      <c r="C287" s="475" t="s">
        <v>758</v>
      </c>
      <c r="D287" s="476" t="s">
        <v>15</v>
      </c>
      <c r="E287" s="477" t="s">
        <v>36</v>
      </c>
      <c r="F287" s="476" t="s">
        <v>72</v>
      </c>
      <c r="G287" s="478">
        <v>2.0</v>
      </c>
      <c r="H287" s="478">
        <v>0.0</v>
      </c>
      <c r="I287" s="479">
        <v>1.0</v>
      </c>
      <c r="J287" s="479">
        <v>1.0</v>
      </c>
      <c r="K287" s="477" t="s">
        <v>162</v>
      </c>
      <c r="L287" s="477"/>
      <c r="M287" s="477"/>
      <c r="N287" s="477"/>
      <c r="O287" s="480" t="s">
        <v>759</v>
      </c>
      <c r="P287" s="14"/>
      <c r="Q287" s="452" t="str">
        <f>MATCH($D287,Reference!$J$5:$J$9,0)</f>
        <v>2</v>
      </c>
      <c r="R287" s="452" t="str">
        <f>MATCH($E287,Reference!$J$26:$J$32,0)</f>
        <v>7</v>
      </c>
      <c r="S287" s="452" t="str">
        <f>MATCH($F287,Reference!$J$45:$J$54,0)</f>
        <v>7</v>
      </c>
      <c r="T287" s="453" t="str">
        <f>MATCH($K287,Reference!$J$37:$J$39,0)</f>
        <v>2</v>
      </c>
      <c r="U287" s="454" t="str">
        <f t="shared" si="539"/>
        <v>2</v>
      </c>
      <c r="V287" s="454" t="str">
        <f t="shared" si="3"/>
        <v>1</v>
      </c>
      <c r="W287" s="454" t="str">
        <f t="shared" si="555"/>
        <v>0</v>
      </c>
      <c r="X287" s="454" t="str">
        <f t="shared" si="540"/>
        <v>2</v>
      </c>
      <c r="Y287" s="456" t="str">
        <f t="shared" si="5"/>
        <v>FALSE</v>
      </c>
      <c r="Z287" s="456" t="str">
        <f t="shared" si="6"/>
        <v>FALSE</v>
      </c>
      <c r="AA287" s="457" t="str">
        <f t="shared" ref="AA287:AB287" si="560">1-I287</f>
        <v>0%</v>
      </c>
      <c r="AB287" s="457" t="str">
        <f t="shared" si="560"/>
        <v>0%</v>
      </c>
      <c r="AC287" s="456" t="str">
        <f t="shared" si="8"/>
        <v>2</v>
      </c>
      <c r="AD287" s="458" t="str">
        <f t="shared" si="542"/>
        <v>0</v>
      </c>
      <c r="AE287" s="458" t="str">
        <f t="shared" si="10"/>
        <v>1</v>
      </c>
      <c r="AF287" s="459" t="str">
        <f t="shared" si="557"/>
        <v>0</v>
      </c>
      <c r="AG287" s="460"/>
      <c r="AH287" s="523" t="s">
        <v>141</v>
      </c>
      <c r="AI287" s="524" t="s">
        <v>24</v>
      </c>
      <c r="AJ287" s="107"/>
      <c r="AK287" s="524" t="s">
        <v>33</v>
      </c>
      <c r="AL287" s="107"/>
      <c r="AM287" s="524" t="s">
        <v>37</v>
      </c>
      <c r="AN287" s="107"/>
      <c r="AO287" s="524" t="s">
        <v>41</v>
      </c>
      <c r="AP287" s="107"/>
      <c r="AQ287" s="524" t="s">
        <v>35</v>
      </c>
      <c r="AR287" s="107"/>
      <c r="AS287" s="525" t="s">
        <v>217</v>
      </c>
      <c r="AT287" s="107"/>
      <c r="AU287" s="525" t="s">
        <v>36</v>
      </c>
      <c r="AV287" s="107"/>
      <c r="AW287" s="525" t="s">
        <v>218</v>
      </c>
      <c r="AX287" s="107"/>
    </row>
    <row r="288">
      <c r="A288" s="466"/>
      <c r="B288" s="463">
        <v>2.0</v>
      </c>
      <c r="C288" s="538" t="s">
        <v>760</v>
      </c>
      <c r="D288" s="539" t="s">
        <v>15</v>
      </c>
      <c r="E288" s="539" t="s">
        <v>35</v>
      </c>
      <c r="F288" s="540" t="s">
        <v>72</v>
      </c>
      <c r="G288" s="493">
        <v>2.0</v>
      </c>
      <c r="H288" s="493">
        <v>0.0</v>
      </c>
      <c r="I288" s="494">
        <v>1.0</v>
      </c>
      <c r="J288" s="494">
        <v>1.0</v>
      </c>
      <c r="K288" s="542" t="s">
        <v>162</v>
      </c>
      <c r="L288" s="542"/>
      <c r="M288" s="542"/>
      <c r="N288" s="542"/>
      <c r="O288" s="543" t="s">
        <v>761</v>
      </c>
      <c r="P288" s="14"/>
      <c r="Q288" s="452" t="str">
        <f>MATCH($D288,Reference!$J$5:$J$9,0)</f>
        <v>2</v>
      </c>
      <c r="R288" s="452" t="str">
        <f>MATCH($E288,Reference!$J$26:$J$32,0)</f>
        <v>5</v>
      </c>
      <c r="S288" s="452" t="str">
        <f>MATCH($F288,Reference!$J$45:$J$54,0)</f>
        <v>7</v>
      </c>
      <c r="T288" s="453" t="str">
        <f>MATCH($K288,Reference!$J$37:$J$39,0)</f>
        <v>2</v>
      </c>
      <c r="U288" s="454" t="str">
        <f t="shared" si="539"/>
        <v>2</v>
      </c>
      <c r="V288" s="454" t="str">
        <f t="shared" si="3"/>
        <v>1</v>
      </c>
      <c r="W288" s="454" t="str">
        <f t="shared" si="555"/>
        <v>0</v>
      </c>
      <c r="X288" s="454" t="str">
        <f t="shared" si="540"/>
        <v>2</v>
      </c>
      <c r="Y288" s="456" t="str">
        <f t="shared" si="5"/>
        <v>FALSE</v>
      </c>
      <c r="Z288" s="456" t="str">
        <f t="shared" si="6"/>
        <v>FALSE</v>
      </c>
      <c r="AA288" s="457" t="str">
        <f t="shared" ref="AA288:AB288" si="561">1-I288</f>
        <v>0%</v>
      </c>
      <c r="AB288" s="457" t="str">
        <f t="shared" si="561"/>
        <v>0%</v>
      </c>
      <c r="AC288" s="456" t="str">
        <f t="shared" si="8"/>
        <v>2</v>
      </c>
      <c r="AD288" s="458" t="str">
        <f t="shared" si="542"/>
        <v>0</v>
      </c>
      <c r="AE288" s="458" t="str">
        <f t="shared" si="10"/>
        <v>1</v>
      </c>
      <c r="AF288" s="459" t="str">
        <f t="shared" si="557"/>
        <v>0</v>
      </c>
      <c r="AG288" s="460"/>
      <c r="AH288" s="587" t="s">
        <v>234</v>
      </c>
      <c r="AI288" s="499"/>
      <c r="AJ288" s="588"/>
      <c r="AK288" s="499"/>
      <c r="AL288" s="588"/>
      <c r="AM288" s="589"/>
      <c r="AN288" s="590"/>
      <c r="AO288" s="499"/>
      <c r="AP288" s="588"/>
      <c r="AQ288" s="589"/>
      <c r="AR288" s="590"/>
      <c r="AS288" s="499"/>
      <c r="AT288" s="588"/>
      <c r="AU288" s="589"/>
      <c r="AV288" s="590"/>
      <c r="AW288" s="589"/>
      <c r="AX288" s="590"/>
    </row>
    <row r="289">
      <c r="A289" s="472"/>
      <c r="B289" s="513">
        <v>2.0</v>
      </c>
      <c r="C289" s="514" t="s">
        <v>762</v>
      </c>
      <c r="D289" s="515" t="s">
        <v>15</v>
      </c>
      <c r="E289" s="515" t="s">
        <v>41</v>
      </c>
      <c r="F289" s="516" t="s">
        <v>72</v>
      </c>
      <c r="G289" s="517" t="str">
        <f>IF(Summary!$Y$25&gt;=VLOOKUP(C289,Reference!$N$41:$O$70,2,0),2,0)</f>
        <v>2</v>
      </c>
      <c r="H289" s="517">
        <v>0.0</v>
      </c>
      <c r="I289" s="518">
        <v>1.0</v>
      </c>
      <c r="J289" s="518"/>
      <c r="K289" s="519" t="s">
        <v>162</v>
      </c>
      <c r="L289" s="519"/>
      <c r="M289" s="519"/>
      <c r="N289" s="519"/>
      <c r="O289" s="520" t="s">
        <v>763</v>
      </c>
      <c r="P289" s="14"/>
      <c r="Q289" s="452" t="str">
        <f>MATCH($D289,Reference!$J$5:$J$9,0)</f>
        <v>2</v>
      </c>
      <c r="R289" s="452" t="str">
        <f>MATCH($E289,Reference!$J$26:$J$32,0)</f>
        <v>4</v>
      </c>
      <c r="S289" s="452" t="str">
        <f>MATCH($F289,Reference!$J$45:$J$54,0)</f>
        <v>7</v>
      </c>
      <c r="T289" s="453" t="str">
        <f>MATCH($K289,Reference!$J$37:$J$39,0)</f>
        <v>2</v>
      </c>
      <c r="U289" s="454" t="str">
        <f t="shared" si="539"/>
        <v>2</v>
      </c>
      <c r="V289" s="454" t="str">
        <f t="shared" si="3"/>
        <v>1</v>
      </c>
      <c r="W289" s="454" t="str">
        <f t="shared" si="555"/>
        <v>0</v>
      </c>
      <c r="X289" s="454" t="str">
        <f t="shared" si="540"/>
        <v>2</v>
      </c>
      <c r="Y289" s="456" t="str">
        <f t="shared" si="5"/>
        <v>FALSE</v>
      </c>
      <c r="Z289" s="456" t="str">
        <f t="shared" si="6"/>
        <v>FALSE</v>
      </c>
      <c r="AA289" s="457" t="str">
        <f t="shared" ref="AA289:AB289" si="562">1-I289</f>
        <v>0%</v>
      </c>
      <c r="AB289" s="457" t="str">
        <f t="shared" si="562"/>
        <v>100%</v>
      </c>
      <c r="AC289" s="456" t="str">
        <f t="shared" si="8"/>
        <v>2</v>
      </c>
      <c r="AD289" s="458" t="str">
        <f t="shared" si="542"/>
        <v>0</v>
      </c>
      <c r="AE289" s="458" t="str">
        <f t="shared" si="10"/>
        <v>1</v>
      </c>
      <c r="AF289" s="459" t="str">
        <f t="shared" si="557"/>
        <v>0</v>
      </c>
      <c r="AG289" s="460"/>
      <c r="AH289" s="533" t="s">
        <v>10</v>
      </c>
      <c r="AI289" s="534" t="str">
        <f t="shared" ref="AI289:AI293" si="564">SUM(AM289+AK289+AO289+AQ289+AS289+AU289)</f>
        <v>44</v>
      </c>
      <c r="AJ289" s="535" t="str">
        <f t="shared" ref="AJ289:AJ293" si="565">SUM(AN29+AL29+AP29+AR29+AT29+AV29)</f>
        <v>266</v>
      </c>
      <c r="AK289" s="449" t="str">
        <f>sumifs($AD$2:$AD700, $D$2:$D700, "Basic", $E$2:$E700, "Basic")</f>
        <v>44</v>
      </c>
      <c r="AL289" s="534" t="str">
        <f t="shared" ref="AL289:AL293" si="566">(AL48+AL67+AL86+AL105+AL124+AL143+AL162+AL181+AL200+AL219)</f>
        <v>266</v>
      </c>
      <c r="AM289" s="536"/>
      <c r="AN289" s="537"/>
      <c r="AO289" s="449"/>
      <c r="AP289" s="449"/>
      <c r="AQ289" s="536"/>
      <c r="AR289" s="537"/>
      <c r="AS289" s="449"/>
      <c r="AT289" s="449"/>
      <c r="AU289" s="536"/>
      <c r="AV289" s="537"/>
      <c r="AW289" s="536"/>
      <c r="AX289" s="537"/>
    </row>
    <row r="290">
      <c r="A290" s="463"/>
      <c r="B290" s="509">
        <v>2.0</v>
      </c>
      <c r="C290" s="510" t="s">
        <v>764</v>
      </c>
      <c r="D290" s="511" t="s">
        <v>15</v>
      </c>
      <c r="E290" s="511" t="s">
        <v>33</v>
      </c>
      <c r="F290" s="512" t="s">
        <v>72</v>
      </c>
      <c r="G290" s="508">
        <v>2.0</v>
      </c>
      <c r="H290" s="485">
        <v>0.0</v>
      </c>
      <c r="I290" s="486">
        <v>1.0</v>
      </c>
      <c r="J290" s="486">
        <v>1.0</v>
      </c>
      <c r="K290" s="522" t="s">
        <v>304</v>
      </c>
      <c r="L290" s="522"/>
      <c r="M290" s="522">
        <v>2.0</v>
      </c>
      <c r="N290" s="522">
        <v>3.0</v>
      </c>
      <c r="O290" s="224" t="s">
        <v>765</v>
      </c>
      <c r="P290" s="14"/>
      <c r="Q290" s="452" t="str">
        <f>MATCH($D290,Reference!$J$5:$J$9,0)</f>
        <v>2</v>
      </c>
      <c r="R290" s="452" t="str">
        <f>MATCH($E290,Reference!$J$26:$J$32,0)</f>
        <v>2</v>
      </c>
      <c r="S290" s="452" t="str">
        <f>MATCH($F290,Reference!$J$45:$J$54,0)</f>
        <v>7</v>
      </c>
      <c r="T290" s="453" t="str">
        <f>MATCH($K290,Reference!$J$37:$J$39,0)</f>
        <v>1</v>
      </c>
      <c r="U290" s="454" t="str">
        <f t="shared" si="539"/>
        <v>2</v>
      </c>
      <c r="V290" s="454" t="str">
        <f t="shared" si="3"/>
        <v>1</v>
      </c>
      <c r="W290" s="454" t="str">
        <f t="shared" si="555"/>
        <v>0</v>
      </c>
      <c r="X290" s="454" t="str">
        <f t="shared" si="540"/>
        <v>2</v>
      </c>
      <c r="Y290" s="456" t="str">
        <f t="shared" si="5"/>
        <v>FALSE</v>
      </c>
      <c r="Z290" s="456" t="str">
        <f t="shared" si="6"/>
        <v>FALSE</v>
      </c>
      <c r="AA290" s="457" t="str">
        <f t="shared" ref="AA290:AB290" si="563">1-I290</f>
        <v>0%</v>
      </c>
      <c r="AB290" s="457" t="str">
        <f t="shared" si="563"/>
        <v>0%</v>
      </c>
      <c r="AC290" s="456" t="str">
        <f t="shared" si="8"/>
        <v>2</v>
      </c>
      <c r="AD290" s="458" t="str">
        <f t="shared" si="542"/>
        <v>0</v>
      </c>
      <c r="AE290" s="458" t="str">
        <f t="shared" si="10"/>
        <v>1</v>
      </c>
      <c r="AF290" s="459" t="str">
        <f t="shared" si="557"/>
        <v>0</v>
      </c>
      <c r="AG290" s="460"/>
      <c r="AH290" s="591" t="s">
        <v>15</v>
      </c>
      <c r="AI290" s="522" t="str">
        <f t="shared" si="564"/>
        <v>9</v>
      </c>
      <c r="AJ290" s="544" t="str">
        <f t="shared" si="565"/>
        <v>432</v>
      </c>
      <c r="AK290" s="499" t="str">
        <f>sumifs($AD$2:$AD700, $D$2:$D700, "Common", $E$2:$E700, "Classic")</f>
        <v>2</v>
      </c>
      <c r="AL290" s="522" t="str">
        <f t="shared" si="566"/>
        <v>188</v>
      </c>
      <c r="AM290" s="723" t="str">
        <f>sumifs($AD$2:$AD700, $D$2:$D700, "Common", $E$2:$E700, "Promo")</f>
        <v>0</v>
      </c>
      <c r="AN290" s="544" t="str">
        <f t="shared" ref="AN290:AN293" si="568">(AN49+AN68+AN87+AN106+AN125+AN144+AN163+AN182+AN201+AN220)</f>
        <v>0</v>
      </c>
      <c r="AO290" s="499" t="str">
        <f>sumifs($AD$2:$AD700, $D$2:$D700, "Common", $E$2:$E700, "Naxx")</f>
        <v>0</v>
      </c>
      <c r="AP290" s="522" t="str">
        <f t="shared" ref="AP290:AP293" si="569">(AP49+AP68+AP87+AP106+AP125+AP144+AP163+AP182+AP201+AP220)</f>
        <v>36</v>
      </c>
      <c r="AQ290" s="723" t="str">
        <f>sumifs($AD$2:$AD700, $D$2:$D700, "Common", $E$2:$E700, "GvG")</f>
        <v>1</v>
      </c>
      <c r="AR290" s="544" t="str">
        <f t="shared" ref="AR290:AR293" si="570">(AR49+AR68+AR87+AR106+AR125+AR144+AR163+AR182+AR201+AR220)</f>
        <v>80</v>
      </c>
      <c r="AS290" s="499" t="str">
        <f>sumifs($AD$2:$AD700, $D$2:$D700, "Common", $E$2:$E700, "Blackrock")</f>
        <v>0</v>
      </c>
      <c r="AT290" s="522" t="str">
        <f t="shared" ref="AT290:AT293" si="571">(AT49+AT68+AT87+AT106+AT125+AT144+AT163+AT182+AT201+AT220)</f>
        <v>30</v>
      </c>
      <c r="AU290" s="723" t="str">
        <f>sumifs($AD$2:$AD700, $D$2:$D700, "Common", $E$2:$E700, "TGT")</f>
        <v>6</v>
      </c>
      <c r="AV290" s="544" t="str">
        <f t="shared" ref="AV290:AV293" si="572">(AV49+AV68+AV87+AV106+AV125+AV144+AV163+AV182+AV201+AV220)</f>
        <v>98</v>
      </c>
      <c r="AW290" s="723"/>
      <c r="AX290" s="588"/>
    </row>
    <row r="291">
      <c r="A291" s="466"/>
      <c r="B291" s="466">
        <v>2.0</v>
      </c>
      <c r="C291" s="475" t="s">
        <v>766</v>
      </c>
      <c r="D291" s="476" t="s">
        <v>15</v>
      </c>
      <c r="E291" s="477" t="s">
        <v>36</v>
      </c>
      <c r="F291" s="476" t="s">
        <v>72</v>
      </c>
      <c r="G291" s="478">
        <v>2.0</v>
      </c>
      <c r="H291" s="478">
        <v>0.0</v>
      </c>
      <c r="I291" s="479">
        <v>1.0</v>
      </c>
      <c r="J291" s="479">
        <v>1.0</v>
      </c>
      <c r="K291" s="477" t="s">
        <v>188</v>
      </c>
      <c r="L291" s="477" t="s">
        <v>737</v>
      </c>
      <c r="M291" s="477">
        <v>3.0</v>
      </c>
      <c r="N291" s="477">
        <v>4.0</v>
      </c>
      <c r="O291" s="480" t="s">
        <v>765</v>
      </c>
      <c r="P291" s="14"/>
      <c r="Q291" s="452" t="str">
        <f>MATCH($D291,Reference!$J$5:$J$9,0)</f>
        <v>2</v>
      </c>
      <c r="R291" s="452" t="str">
        <f>MATCH($E291,Reference!$J$26:$J$32,0)</f>
        <v>7</v>
      </c>
      <c r="S291" s="452" t="str">
        <f>MATCH($F291,Reference!$J$45:$J$54,0)</f>
        <v>7</v>
      </c>
      <c r="T291" s="453" t="str">
        <f>MATCH($K291,Reference!$J$37:$J$39,0)</f>
        <v>3</v>
      </c>
      <c r="U291" s="454" t="str">
        <f t="shared" si="539"/>
        <v>2</v>
      </c>
      <c r="V291" s="454" t="str">
        <f t="shared" si="3"/>
        <v>1</v>
      </c>
      <c r="W291" s="454" t="str">
        <f t="shared" si="555"/>
        <v>0</v>
      </c>
      <c r="X291" s="454" t="str">
        <f t="shared" si="540"/>
        <v>2</v>
      </c>
      <c r="Y291" s="456" t="str">
        <f t="shared" si="5"/>
        <v>FALSE</v>
      </c>
      <c r="Z291" s="456" t="str">
        <f t="shared" si="6"/>
        <v>FALSE</v>
      </c>
      <c r="AA291" s="457" t="str">
        <f t="shared" ref="AA291:AB291" si="567">1-I291</f>
        <v>0%</v>
      </c>
      <c r="AB291" s="457" t="str">
        <f t="shared" si="567"/>
        <v>0%</v>
      </c>
      <c r="AC291" s="456" t="str">
        <f t="shared" si="8"/>
        <v>2</v>
      </c>
      <c r="AD291" s="458" t="str">
        <f t="shared" si="542"/>
        <v>0</v>
      </c>
      <c r="AE291" s="458" t="str">
        <f t="shared" si="10"/>
        <v>1</v>
      </c>
      <c r="AF291" s="459" t="str">
        <f t="shared" si="557"/>
        <v>0</v>
      </c>
      <c r="AG291" s="460"/>
      <c r="AH291" s="592" t="s">
        <v>21</v>
      </c>
      <c r="AI291" s="557" t="str">
        <f t="shared" si="564"/>
        <v>3</v>
      </c>
      <c r="AJ291" s="558" t="str">
        <f t="shared" si="565"/>
        <v>338</v>
      </c>
      <c r="AK291" s="554" t="str">
        <f>sumifs($AD$2:$AD700, $D$2:$D700, "Rare", $E$2:$E700, "Classic")</f>
        <v>1</v>
      </c>
      <c r="AL291" s="557" t="str">
        <f t="shared" si="566"/>
        <v>162</v>
      </c>
      <c r="AM291" s="724" t="str">
        <f>sumifs($AD$2:$AD700, $D$2:$D700, "Rare", $E$2:$E700, "Promo")</f>
        <v>0</v>
      </c>
      <c r="AN291" s="558" t="str">
        <f t="shared" si="568"/>
        <v>0</v>
      </c>
      <c r="AO291" s="554" t="str">
        <f>sumifs($AD$2:$AD700, $D$2:$D700, "Rare", $E$2:$E700, "Naxx")</f>
        <v>0</v>
      </c>
      <c r="AP291" s="557" t="str">
        <f t="shared" si="569"/>
        <v>8</v>
      </c>
      <c r="AQ291" s="724" t="str">
        <f>sumifs($AD$2:$AD700, $D$2:$D700, "Rare", $E$2:$E700, "GvG")</f>
        <v>1</v>
      </c>
      <c r="AR291" s="558" t="str">
        <f t="shared" si="570"/>
        <v>74</v>
      </c>
      <c r="AS291" s="554" t="str">
        <f>sumifs($AD$2:$AD700, $D$2:$D700, "Rare", $E$2:$E700, "Blackrock")</f>
        <v>0</v>
      </c>
      <c r="AT291" s="557" t="str">
        <f t="shared" si="571"/>
        <v>22</v>
      </c>
      <c r="AU291" s="724" t="str">
        <f>sumifs($AD$2:$AD700, $D$2:$D700, "Rare", $E$2:$E700, "TGT")</f>
        <v>1</v>
      </c>
      <c r="AV291" s="558" t="str">
        <f t="shared" si="572"/>
        <v>72</v>
      </c>
      <c r="AW291" s="724"/>
      <c r="AX291" s="656"/>
    </row>
    <row r="292">
      <c r="A292" s="509"/>
      <c r="B292" s="472">
        <v>2.0</v>
      </c>
      <c r="C292" s="489" t="s">
        <v>767</v>
      </c>
      <c r="D292" s="490" t="s">
        <v>15</v>
      </c>
      <c r="E292" s="490" t="s">
        <v>35</v>
      </c>
      <c r="F292" s="491" t="s">
        <v>72</v>
      </c>
      <c r="G292" s="492">
        <v>2.0</v>
      </c>
      <c r="H292" s="492">
        <v>0.0</v>
      </c>
      <c r="I292" s="494">
        <v>1.0</v>
      </c>
      <c r="J292" s="494">
        <v>1.0</v>
      </c>
      <c r="K292" s="495" t="s">
        <v>188</v>
      </c>
      <c r="L292" s="495" t="s">
        <v>198</v>
      </c>
      <c r="M292" s="495">
        <v>3.0</v>
      </c>
      <c r="N292" s="495">
        <v>2.0</v>
      </c>
      <c r="O292" s="496" t="s">
        <v>768</v>
      </c>
      <c r="P292" s="14"/>
      <c r="Q292" s="452" t="str">
        <f>MATCH($D292,Reference!$J$5:$J$9,0)</f>
        <v>2</v>
      </c>
      <c r="R292" s="452" t="str">
        <f>MATCH($E292,Reference!$J$26:$J$32,0)</f>
        <v>5</v>
      </c>
      <c r="S292" s="452" t="str">
        <f>MATCH($F292,Reference!$J$45:$J$54,0)</f>
        <v>7</v>
      </c>
      <c r="T292" s="453" t="str">
        <f>MATCH($K292,Reference!$J$37:$J$39,0)</f>
        <v>3</v>
      </c>
      <c r="U292" s="454" t="str">
        <f t="shared" si="539"/>
        <v>2</v>
      </c>
      <c r="V292" s="454" t="str">
        <f t="shared" si="3"/>
        <v>1</v>
      </c>
      <c r="W292" s="454" t="str">
        <f t="shared" si="555"/>
        <v>0</v>
      </c>
      <c r="X292" s="454" t="str">
        <f t="shared" si="540"/>
        <v>2</v>
      </c>
      <c r="Y292" s="456" t="str">
        <f t="shared" si="5"/>
        <v>FALSE</v>
      </c>
      <c r="Z292" s="456" t="str">
        <f t="shared" si="6"/>
        <v>FALSE</v>
      </c>
      <c r="AA292" s="457" t="str">
        <f t="shared" ref="AA292:AB292" si="573">1-I292</f>
        <v>0%</v>
      </c>
      <c r="AB292" s="457" t="str">
        <f t="shared" si="573"/>
        <v>0%</v>
      </c>
      <c r="AC292" s="456" t="str">
        <f t="shared" si="8"/>
        <v>2</v>
      </c>
      <c r="AD292" s="458" t="str">
        <f t="shared" si="542"/>
        <v>0</v>
      </c>
      <c r="AE292" s="458" t="str">
        <f t="shared" si="10"/>
        <v>1</v>
      </c>
      <c r="AF292" s="459" t="str">
        <f t="shared" si="557"/>
        <v>0</v>
      </c>
      <c r="AG292" s="460"/>
      <c r="AH292" s="593" t="s">
        <v>22</v>
      </c>
      <c r="AI292" s="568" t="str">
        <f t="shared" si="564"/>
        <v>1</v>
      </c>
      <c r="AJ292" s="569" t="str">
        <f t="shared" si="565"/>
        <v>186</v>
      </c>
      <c r="AK292" s="641" t="str">
        <f>sumifs($AD$2:$AD700, $D$2:$D700, "Epic", $E$2:$E700, "Classic")</f>
        <v>0</v>
      </c>
      <c r="AL292" s="568" t="str">
        <f t="shared" si="566"/>
        <v>74</v>
      </c>
      <c r="AM292" s="725" t="str">
        <f>sumifs($AD$2:$AD700, $D$2:$D700, "Epic", $E$2:$E700, "Promo")</f>
        <v>0</v>
      </c>
      <c r="AN292" s="569" t="str">
        <f t="shared" si="568"/>
        <v>2</v>
      </c>
      <c r="AO292" s="641" t="str">
        <f>sumifs($AD$2:$AD700, $D$2:$D700, "Epic", $E$2:$E700, "Naxx")</f>
        <v>0</v>
      </c>
      <c r="AP292" s="568" t="str">
        <f t="shared" si="569"/>
        <v>4</v>
      </c>
      <c r="AQ292" s="725" t="str">
        <f>sumifs($AD$2:$AD700, $D$2:$D700, "Epic", $E$2:$E700, "GvG")</f>
        <v>0</v>
      </c>
      <c r="AR292" s="569" t="str">
        <f t="shared" si="570"/>
        <v>52</v>
      </c>
      <c r="AS292" s="641" t="str">
        <f>sumifs($AD$2:$AD700, $D$2:$D700, "Epic", $E$2:$E700, "Blackrock")</f>
        <v>0</v>
      </c>
      <c r="AT292" s="568" t="str">
        <f t="shared" si="571"/>
        <v>0</v>
      </c>
      <c r="AU292" s="725" t="str">
        <f>sumifs($AD$2:$AD700, $D$2:$D700, "Epic", $E$2:$E700, "TGT")</f>
        <v>1</v>
      </c>
      <c r="AV292" s="569" t="str">
        <f t="shared" si="572"/>
        <v>54</v>
      </c>
      <c r="AW292" s="725"/>
      <c r="AX292" s="666"/>
    </row>
    <row r="293">
      <c r="A293" s="509"/>
      <c r="B293" s="466">
        <v>3.0</v>
      </c>
      <c r="C293" s="475" t="s">
        <v>769</v>
      </c>
      <c r="D293" s="476" t="s">
        <v>15</v>
      </c>
      <c r="E293" s="477" t="s">
        <v>36</v>
      </c>
      <c r="F293" s="476" t="s">
        <v>72</v>
      </c>
      <c r="G293" s="478">
        <v>2.0</v>
      </c>
      <c r="H293" s="478">
        <v>0.0</v>
      </c>
      <c r="I293" s="479">
        <v>1.0</v>
      </c>
      <c r="J293" s="479">
        <v>1.0</v>
      </c>
      <c r="K293" s="477" t="s">
        <v>188</v>
      </c>
      <c r="L293" s="477"/>
      <c r="M293" s="477">
        <v>3.0</v>
      </c>
      <c r="N293" s="477">
        <v>2.0</v>
      </c>
      <c r="O293" s="480" t="s">
        <v>770</v>
      </c>
      <c r="P293" s="14"/>
      <c r="Q293" s="452" t="str">
        <f>MATCH($D293,Reference!$J$5:$J$9,0)</f>
        <v>2</v>
      </c>
      <c r="R293" s="452" t="str">
        <f>MATCH($E293,Reference!$J$26:$J$32,0)</f>
        <v>7</v>
      </c>
      <c r="S293" s="452" t="str">
        <f>MATCH($F293,Reference!$J$45:$J$54,0)</f>
        <v>7</v>
      </c>
      <c r="T293" s="453" t="str">
        <f>MATCH($K293,Reference!$J$37:$J$39,0)</f>
        <v>3</v>
      </c>
      <c r="U293" s="454" t="str">
        <f t="shared" si="539"/>
        <v>2</v>
      </c>
      <c r="V293" s="454" t="str">
        <f t="shared" si="3"/>
        <v>1</v>
      </c>
      <c r="W293" s="454" t="str">
        <f t="shared" si="555"/>
        <v>0</v>
      </c>
      <c r="X293" s="454" t="str">
        <f t="shared" si="540"/>
        <v>2</v>
      </c>
      <c r="Y293" s="456" t="str">
        <f t="shared" si="5"/>
        <v>FALSE</v>
      </c>
      <c r="Z293" s="456" t="str">
        <f t="shared" si="6"/>
        <v>FALSE</v>
      </c>
      <c r="AA293" s="457" t="str">
        <f t="shared" ref="AA293:AB293" si="574">1-I293</f>
        <v>0%</v>
      </c>
      <c r="AB293" s="457" t="str">
        <f t="shared" si="574"/>
        <v>0%</v>
      </c>
      <c r="AC293" s="456" t="str">
        <f t="shared" si="8"/>
        <v>2</v>
      </c>
      <c r="AD293" s="458" t="str">
        <f t="shared" si="542"/>
        <v>0</v>
      </c>
      <c r="AE293" s="458" t="str">
        <f t="shared" si="10"/>
        <v>1</v>
      </c>
      <c r="AF293" s="459" t="str">
        <f t="shared" si="557"/>
        <v>0</v>
      </c>
      <c r="AG293" s="460"/>
      <c r="AH293" s="583" t="s">
        <v>23</v>
      </c>
      <c r="AI293" s="584" t="str">
        <f t="shared" si="564"/>
        <v>0</v>
      </c>
      <c r="AJ293" s="585" t="str">
        <f t="shared" si="565"/>
        <v>87</v>
      </c>
      <c r="AK293" s="677" t="str">
        <f>sumifs($AD$2:$AD700, $D$2:$D700, "Legendary", $E$2:$E700, "Classic")</f>
        <v>0</v>
      </c>
      <c r="AL293" s="584" t="str">
        <f t="shared" si="566"/>
        <v>33</v>
      </c>
      <c r="AM293" s="726" t="str">
        <f>sumifs($AD$2:$AD700, $D$2:$D700, "Legendary", $E$2:$E700, "Promo")</f>
        <v>0</v>
      </c>
      <c r="AN293" s="585" t="str">
        <f t="shared" si="568"/>
        <v>3</v>
      </c>
      <c r="AO293" s="677" t="str">
        <f>sumifs($AD$2:$AD700, $D$2:$D700, "Legendary", $E$2:$E700, "Naxx")</f>
        <v>0</v>
      </c>
      <c r="AP293" s="584" t="str">
        <f t="shared" si="569"/>
        <v>6</v>
      </c>
      <c r="AQ293" s="726" t="str">
        <f>sumifs($AD$2:$AD700, $D$2:$D700, "Legendary", $E$2:$E700, "GvG")</f>
        <v>0</v>
      </c>
      <c r="AR293" s="585" t="str">
        <f t="shared" si="570"/>
        <v>20</v>
      </c>
      <c r="AS293" s="677" t="str">
        <f>sumifs($AD$2:$AD700, $D$2:$D700, "Legendary", $E$2:$E700, "Blackrock")</f>
        <v>0</v>
      </c>
      <c r="AT293" s="584" t="str">
        <f t="shared" si="571"/>
        <v>5</v>
      </c>
      <c r="AU293" s="726" t="str">
        <f>sumifs($AD$2:$AD700, $D$2:$D700, "Legendary", $E$2:$E700, "TGT")</f>
        <v>0</v>
      </c>
      <c r="AV293" s="585" t="str">
        <f t="shared" si="572"/>
        <v>20</v>
      </c>
      <c r="AW293" s="726"/>
      <c r="AX293" s="678"/>
    </row>
    <row r="294">
      <c r="A294" s="442"/>
      <c r="B294" s="442">
        <v>3.0</v>
      </c>
      <c r="C294" s="482" t="s">
        <v>771</v>
      </c>
      <c r="D294" s="483" t="s">
        <v>15</v>
      </c>
      <c r="E294" s="483" t="s">
        <v>33</v>
      </c>
      <c r="F294" s="484" t="s">
        <v>72</v>
      </c>
      <c r="G294" s="471">
        <v>2.0</v>
      </c>
      <c r="H294" s="471">
        <v>0.0</v>
      </c>
      <c r="I294" s="486">
        <v>1.0</v>
      </c>
      <c r="J294" s="486">
        <v>1.0</v>
      </c>
      <c r="K294" s="499" t="s">
        <v>188</v>
      </c>
      <c r="L294" s="499"/>
      <c r="M294" s="499">
        <v>2.0</v>
      </c>
      <c r="N294" s="499">
        <v>4.0</v>
      </c>
      <c r="O294" s="223" t="s">
        <v>772</v>
      </c>
      <c r="P294" s="14"/>
      <c r="Q294" s="452" t="str">
        <f>MATCH($D294,Reference!$J$5:$J$9,0)</f>
        <v>2</v>
      </c>
      <c r="R294" s="452" t="str">
        <f>MATCH($E294,Reference!$J$26:$J$32,0)</f>
        <v>2</v>
      </c>
      <c r="S294" s="452" t="str">
        <f>MATCH($F294,Reference!$J$45:$J$54,0)</f>
        <v>7</v>
      </c>
      <c r="T294" s="453" t="str">
        <f>MATCH($K294,Reference!$J$37:$J$39,0)</f>
        <v>3</v>
      </c>
      <c r="U294" s="454" t="str">
        <f t="shared" si="539"/>
        <v>2</v>
      </c>
      <c r="V294" s="454" t="str">
        <f t="shared" si="3"/>
        <v>1</v>
      </c>
      <c r="W294" s="454" t="str">
        <f t="shared" si="555"/>
        <v>0</v>
      </c>
      <c r="X294" s="454" t="str">
        <f t="shared" si="540"/>
        <v>2</v>
      </c>
      <c r="Y294" s="456" t="str">
        <f t="shared" si="5"/>
        <v>FALSE</v>
      </c>
      <c r="Z294" s="456" t="str">
        <f t="shared" si="6"/>
        <v>FALSE</v>
      </c>
      <c r="AA294" s="457" t="str">
        <f t="shared" ref="AA294:AB294" si="575">1-I294</f>
        <v>0%</v>
      </c>
      <c r="AB294" s="457" t="str">
        <f t="shared" si="575"/>
        <v>0%</v>
      </c>
      <c r="AC294" s="456" t="str">
        <f t="shared" si="8"/>
        <v>2</v>
      </c>
      <c r="AD294" s="458" t="str">
        <f t="shared" si="542"/>
        <v>0</v>
      </c>
      <c r="AE294" s="458" t="str">
        <f t="shared" si="10"/>
        <v>1</v>
      </c>
      <c r="AF294" s="459" t="str">
        <f t="shared" si="557"/>
        <v>0</v>
      </c>
      <c r="AG294" s="460"/>
      <c r="AH294" s="601" t="s">
        <v>24</v>
      </c>
      <c r="AI294" s="602"/>
      <c r="AJ294" s="603"/>
      <c r="AK294" s="602"/>
      <c r="AL294" s="603"/>
      <c r="AM294" s="602"/>
      <c r="AN294" s="603"/>
      <c r="AO294" s="602"/>
      <c r="AP294" s="603"/>
      <c r="AQ294" s="602"/>
      <c r="AR294" s="603"/>
      <c r="AS294" s="602"/>
      <c r="AT294" s="603"/>
      <c r="AU294" s="602"/>
      <c r="AV294" s="603"/>
      <c r="AW294" s="602"/>
      <c r="AX294" s="603"/>
    </row>
    <row r="295">
      <c r="A295" s="463"/>
      <c r="B295" s="469">
        <v>4.0</v>
      </c>
      <c r="C295" s="501" t="s">
        <v>773</v>
      </c>
      <c r="D295" s="502" t="s">
        <v>15</v>
      </c>
      <c r="E295" s="502" t="s">
        <v>47</v>
      </c>
      <c r="F295" s="503" t="s">
        <v>72</v>
      </c>
      <c r="G295" s="504" t="str">
        <f>IF(Summary!$Y$27&gt;=VLOOKUP(C295,Reference!$N$6:$O$36,2,0),2,0)</f>
        <v>2</v>
      </c>
      <c r="H295" s="504">
        <v>0.0</v>
      </c>
      <c r="I295" s="505">
        <v>1.0</v>
      </c>
      <c r="J295" s="505"/>
      <c r="K295" s="506" t="s">
        <v>188</v>
      </c>
      <c r="L295" s="506"/>
      <c r="M295" s="506">
        <v>3.0</v>
      </c>
      <c r="N295" s="506">
        <v>6.0</v>
      </c>
      <c r="O295" s="507" t="s">
        <v>774</v>
      </c>
      <c r="P295" s="14"/>
      <c r="Q295" s="452" t="str">
        <f>MATCH($D295,Reference!$J$5:$J$9,0)</f>
        <v>2</v>
      </c>
      <c r="R295" s="452" t="str">
        <f>MATCH($E295,Reference!$J$26:$J$32,0)</f>
        <v>6</v>
      </c>
      <c r="S295" s="452" t="str">
        <f>MATCH($F295,Reference!$J$45:$J$54,0)</f>
        <v>7</v>
      </c>
      <c r="T295" s="453" t="str">
        <f>MATCH($K295,Reference!$J$37:$J$39,0)</f>
        <v>3</v>
      </c>
      <c r="U295" s="454" t="str">
        <f t="shared" si="539"/>
        <v>2</v>
      </c>
      <c r="V295" s="454" t="str">
        <f t="shared" si="3"/>
        <v>1</v>
      </c>
      <c r="W295" s="454" t="str">
        <f t="shared" si="555"/>
        <v>0</v>
      </c>
      <c r="X295" s="454" t="str">
        <f t="shared" si="540"/>
        <v>2</v>
      </c>
      <c r="Y295" s="456" t="str">
        <f t="shared" si="5"/>
        <v>FALSE</v>
      </c>
      <c r="Z295" s="456" t="str">
        <f t="shared" si="6"/>
        <v>FALSE</v>
      </c>
      <c r="AA295" s="457" t="str">
        <f t="shared" ref="AA295:AB295" si="576">1-I295</f>
        <v>0%</v>
      </c>
      <c r="AB295" s="457" t="str">
        <f t="shared" si="576"/>
        <v>100%</v>
      </c>
      <c r="AC295" s="456" t="str">
        <f t="shared" si="8"/>
        <v>2</v>
      </c>
      <c r="AD295" s="458" t="str">
        <f t="shared" si="542"/>
        <v>0</v>
      </c>
      <c r="AE295" s="458" t="str">
        <f t="shared" si="10"/>
        <v>1</v>
      </c>
      <c r="AF295" s="459" t="str">
        <f t="shared" si="557"/>
        <v>0</v>
      </c>
      <c r="AG295" s="460"/>
      <c r="AH295" s="604" t="s">
        <v>221</v>
      </c>
      <c r="AI295" s="605" t="str">
        <f t="shared" ref="AI295:AN295" si="577">SUM(AI289:AI293)</f>
        <v>57</v>
      </c>
      <c r="AJ295" s="606" t="str">
        <f t="shared" si="577"/>
        <v>1309</v>
      </c>
      <c r="AK295" s="605" t="str">
        <f t="shared" si="577"/>
        <v>47</v>
      </c>
      <c r="AL295" s="606" t="str">
        <f t="shared" si="577"/>
        <v>723</v>
      </c>
      <c r="AM295" s="605" t="str">
        <f t="shared" si="577"/>
        <v>0</v>
      </c>
      <c r="AN295" s="606" t="str">
        <f t="shared" si="577"/>
        <v>5</v>
      </c>
      <c r="AO295" s="605" t="str">
        <f>sum(AO289:AO293)</f>
        <v>0</v>
      </c>
      <c r="AP295" s="606" t="str">
        <f>SUM(AP289:AP293)</f>
        <v>54</v>
      </c>
      <c r="AQ295" s="605" t="str">
        <f>sum(AQ289:AQ293)</f>
        <v>2</v>
      </c>
      <c r="AR295" s="606" t="str">
        <f>SUM(AR289:AR293)</f>
        <v>226</v>
      </c>
      <c r="AS295" s="605" t="str">
        <f t="shared" ref="AS295:AV295" si="578">sum(AS289:AS293)</f>
        <v>0</v>
      </c>
      <c r="AT295" s="606" t="str">
        <f t="shared" si="578"/>
        <v>57</v>
      </c>
      <c r="AU295" s="605" t="str">
        <f t="shared" si="578"/>
        <v>8</v>
      </c>
      <c r="AV295" s="606" t="str">
        <f t="shared" si="578"/>
        <v>244</v>
      </c>
      <c r="AW295" s="605"/>
      <c r="AX295" s="606"/>
    </row>
    <row r="296">
      <c r="A296" s="442"/>
      <c r="B296" s="547">
        <v>2.0</v>
      </c>
      <c r="C296" s="548" t="s">
        <v>775</v>
      </c>
      <c r="D296" s="549" t="s">
        <v>21</v>
      </c>
      <c r="E296" s="549" t="s">
        <v>33</v>
      </c>
      <c r="F296" s="550" t="s">
        <v>72</v>
      </c>
      <c r="G296" s="552">
        <v>0.0</v>
      </c>
      <c r="H296" s="551">
        <v>0.0</v>
      </c>
      <c r="I296" s="553">
        <v>1.0</v>
      </c>
      <c r="J296" s="553">
        <v>1.0</v>
      </c>
      <c r="K296" s="554" t="s">
        <v>162</v>
      </c>
      <c r="L296" s="554"/>
      <c r="M296" s="554"/>
      <c r="N296" s="554"/>
      <c r="O296" s="555" t="s">
        <v>776</v>
      </c>
      <c r="P296" s="14"/>
      <c r="Q296" s="452" t="str">
        <f>MATCH($D296,Reference!$J$5:$J$9,0)</f>
        <v>3</v>
      </c>
      <c r="R296" s="452" t="str">
        <f>MATCH($E296,Reference!$J$26:$J$32,0)</f>
        <v>2</v>
      </c>
      <c r="S296" s="452" t="str">
        <f>MATCH($F296,Reference!$J$45:$J$54,0)</f>
        <v>7</v>
      </c>
      <c r="T296" s="453" t="str">
        <f>MATCH($K296,Reference!$J$37:$J$39,0)</f>
        <v>2</v>
      </c>
      <c r="U296" s="454" t="str">
        <f t="shared" si="539"/>
        <v>0</v>
      </c>
      <c r="V296" s="454" t="str">
        <f t="shared" si="3"/>
        <v>0</v>
      </c>
      <c r="W296" s="454" t="str">
        <f>(MIN(G296,2)+H296-U296)*100</f>
        <v>0</v>
      </c>
      <c r="X296" s="454" t="str">
        <f t="shared" si="540"/>
        <v>0</v>
      </c>
      <c r="Y296" s="456" t="str">
        <f t="shared" si="5"/>
        <v>TRUE</v>
      </c>
      <c r="Z296" s="456" t="str">
        <f t="shared" si="6"/>
        <v>TRUE</v>
      </c>
      <c r="AA296" s="457" t="str">
        <f t="shared" ref="AA296:AB296" si="579">1-I296</f>
        <v>0%</v>
      </c>
      <c r="AB296" s="457" t="str">
        <f t="shared" si="579"/>
        <v>0%</v>
      </c>
      <c r="AC296" s="456" t="str">
        <f t="shared" si="8"/>
        <v>0</v>
      </c>
      <c r="AD296" s="458" t="str">
        <f t="shared" si="542"/>
        <v>0</v>
      </c>
      <c r="AE296" s="458" t="str">
        <f t="shared" si="10"/>
        <v>0</v>
      </c>
      <c r="AF296" s="459" t="str">
        <f t="shared" ref="AF296:AF307" si="583">(MIN(H296,2)+G296-U296)*20</f>
        <v>0</v>
      </c>
      <c r="AG296" s="460"/>
      <c r="AH296" s="615" t="s">
        <v>234</v>
      </c>
      <c r="AI296" s="616" t="str">
        <f t="shared" ref="AI296:AJ296" si="580">SUM(AI289:AI293)</f>
        <v>57</v>
      </c>
      <c r="AJ296" s="617" t="str">
        <f t="shared" si="580"/>
        <v>1309</v>
      </c>
      <c r="AK296" s="616" t="str">
        <f>sum(AK289:AK293)</f>
        <v>47</v>
      </c>
      <c r="AL296" s="617" t="str">
        <f>SUM(AL289:AL293)</f>
        <v>723</v>
      </c>
      <c r="AM296" s="616" t="str">
        <f>sum(AM289:AM293)</f>
        <v>0</v>
      </c>
      <c r="AN296" s="617" t="str">
        <f>SUM(AN289:AN293)</f>
        <v>5</v>
      </c>
      <c r="AO296" s="616" t="str">
        <f>sum(AO289:AO293)</f>
        <v>0</v>
      </c>
      <c r="AP296" s="617" t="str">
        <f>SUM(AP289:AP293)</f>
        <v>54</v>
      </c>
      <c r="AQ296" s="616" t="str">
        <f>sum(AQ290:AQ293)</f>
        <v>2</v>
      </c>
      <c r="AR296" s="617" t="str">
        <f>SUM(AR289:AR293)</f>
        <v>226</v>
      </c>
      <c r="AS296" s="616" t="str">
        <f t="shared" ref="AS296:AV296" si="581">sum(AS289:AS293)</f>
        <v>0</v>
      </c>
      <c r="AT296" s="617" t="str">
        <f t="shared" si="581"/>
        <v>57</v>
      </c>
      <c r="AU296" s="616" t="str">
        <f t="shared" si="581"/>
        <v>8</v>
      </c>
      <c r="AV296" s="617" t="str">
        <f t="shared" si="581"/>
        <v>244</v>
      </c>
      <c r="AW296" s="616"/>
      <c r="AX296" s="617"/>
    </row>
    <row r="297">
      <c r="A297" s="682"/>
      <c r="B297" s="607">
        <v>2.0</v>
      </c>
      <c r="C297" s="608" t="s">
        <v>777</v>
      </c>
      <c r="D297" s="609" t="s">
        <v>21</v>
      </c>
      <c r="E297" s="609" t="s">
        <v>47</v>
      </c>
      <c r="F297" s="610" t="s">
        <v>72</v>
      </c>
      <c r="G297" s="611" t="str">
        <f>IF(Summary!$Y$27&gt;=VLOOKUP(C297,Reference!$N$6:$O$36,2,0),2,0)</f>
        <v>2</v>
      </c>
      <c r="H297" s="611">
        <v>0.0</v>
      </c>
      <c r="I297" s="612">
        <v>1.0</v>
      </c>
      <c r="J297" s="612"/>
      <c r="K297" s="613" t="s">
        <v>162</v>
      </c>
      <c r="L297" s="613"/>
      <c r="M297" s="613"/>
      <c r="N297" s="613"/>
      <c r="O297" s="614" t="s">
        <v>778</v>
      </c>
      <c r="P297" s="14"/>
      <c r="Q297" s="452" t="str">
        <f>MATCH($D297,Reference!$J$5:$J$9,0)</f>
        <v>3</v>
      </c>
      <c r="R297" s="452" t="str">
        <f>MATCH($E297,Reference!$J$26:$J$32,0)</f>
        <v>6</v>
      </c>
      <c r="S297" s="452" t="str">
        <f>MATCH($F297,Reference!$J$45:$J$54,0)</f>
        <v>7</v>
      </c>
      <c r="T297" s="453" t="str">
        <f>MATCH($K297,Reference!$J$37:$J$39,0)</f>
        <v>2</v>
      </c>
      <c r="U297" s="454" t="str">
        <f t="shared" si="539"/>
        <v>2</v>
      </c>
      <c r="V297" s="454" t="str">
        <f t="shared" si="3"/>
        <v>1</v>
      </c>
      <c r="W297" s="455">
        <v>0.0</v>
      </c>
      <c r="X297" s="454" t="str">
        <f t="shared" si="540"/>
        <v>2</v>
      </c>
      <c r="Y297" s="456" t="str">
        <f t="shared" si="5"/>
        <v>FALSE</v>
      </c>
      <c r="Z297" s="456" t="str">
        <f t="shared" si="6"/>
        <v>FALSE</v>
      </c>
      <c r="AA297" s="457" t="str">
        <f t="shared" ref="AA297:AB297" si="582">1-I297</f>
        <v>0%</v>
      </c>
      <c r="AB297" s="457" t="str">
        <f t="shared" si="582"/>
        <v>100%</v>
      </c>
      <c r="AC297" s="456" t="str">
        <f t="shared" si="8"/>
        <v>2</v>
      </c>
      <c r="AD297" s="458" t="str">
        <f t="shared" si="542"/>
        <v>0</v>
      </c>
      <c r="AE297" s="458" t="str">
        <f t="shared" si="10"/>
        <v>1</v>
      </c>
      <c r="AF297" s="459" t="str">
        <f t="shared" si="583"/>
        <v>0</v>
      </c>
      <c r="AG297" s="460"/>
    </row>
    <row r="298">
      <c r="A298" s="442"/>
      <c r="B298" s="594">
        <v>2.0</v>
      </c>
      <c r="C298" s="595" t="s">
        <v>779</v>
      </c>
      <c r="D298" s="575" t="s">
        <v>21</v>
      </c>
      <c r="E298" s="575" t="s">
        <v>35</v>
      </c>
      <c r="F298" s="576" t="s">
        <v>72</v>
      </c>
      <c r="G298" s="596">
        <v>1.0</v>
      </c>
      <c r="H298" s="597">
        <v>0.0</v>
      </c>
      <c r="I298" s="598">
        <v>1.0</v>
      </c>
      <c r="J298" s="598">
        <v>1.0</v>
      </c>
      <c r="K298" s="600" t="s">
        <v>188</v>
      </c>
      <c r="L298" s="600" t="s">
        <v>737</v>
      </c>
      <c r="M298" s="600">
        <v>0.0</v>
      </c>
      <c r="N298" s="600">
        <v>3.0</v>
      </c>
      <c r="O298" s="599" t="s">
        <v>780</v>
      </c>
      <c r="P298" s="14"/>
      <c r="Q298" s="452" t="str">
        <f>MATCH($D298,Reference!$J$5:$J$9,0)</f>
        <v>3</v>
      </c>
      <c r="R298" s="452" t="str">
        <f>MATCH($E298,Reference!$J$26:$J$32,0)</f>
        <v>5</v>
      </c>
      <c r="S298" s="452" t="str">
        <f>MATCH($F298,Reference!$J$45:$J$54,0)</f>
        <v>7</v>
      </c>
      <c r="T298" s="453" t="str">
        <f>MATCH($K298,Reference!$J$37:$J$39,0)</f>
        <v>3</v>
      </c>
      <c r="U298" s="454" t="str">
        <f t="shared" si="539"/>
        <v>1</v>
      </c>
      <c r="V298" s="454" t="str">
        <f t="shared" si="3"/>
        <v>1</v>
      </c>
      <c r="W298" s="454" t="str">
        <f t="shared" ref="W298:W307" si="585">(MIN(G298,2)+H298-U298)*100</f>
        <v>0</v>
      </c>
      <c r="X298" s="454" t="str">
        <f t="shared" si="540"/>
        <v>1</v>
      </c>
      <c r="Y298" s="456" t="str">
        <f t="shared" si="5"/>
        <v>FALSE</v>
      </c>
      <c r="Z298" s="456" t="str">
        <f t="shared" si="6"/>
        <v>TRUE</v>
      </c>
      <c r="AA298" s="457" t="str">
        <f t="shared" ref="AA298:AB298" si="584">1-I298</f>
        <v>0%</v>
      </c>
      <c r="AB298" s="457" t="str">
        <f t="shared" si="584"/>
        <v>0%</v>
      </c>
      <c r="AC298" s="456" t="str">
        <f t="shared" si="8"/>
        <v>1</v>
      </c>
      <c r="AD298" s="458" t="str">
        <f t="shared" si="542"/>
        <v>0</v>
      </c>
      <c r="AE298" s="458" t="str">
        <f t="shared" si="10"/>
        <v>1</v>
      </c>
      <c r="AF298" s="459" t="str">
        <f t="shared" si="583"/>
        <v>0</v>
      </c>
      <c r="AG298" s="460"/>
    </row>
    <row r="299">
      <c r="A299" s="442"/>
      <c r="B299" s="547">
        <v>3.0</v>
      </c>
      <c r="C299" s="548" t="s">
        <v>781</v>
      </c>
      <c r="D299" s="549" t="s">
        <v>21</v>
      </c>
      <c r="E299" s="549" t="s">
        <v>33</v>
      </c>
      <c r="F299" s="550" t="s">
        <v>72</v>
      </c>
      <c r="G299" s="552">
        <v>1.0</v>
      </c>
      <c r="H299" s="552">
        <v>0.0</v>
      </c>
      <c r="I299" s="553">
        <v>1.0</v>
      </c>
      <c r="J299" s="553">
        <v>1.0</v>
      </c>
      <c r="K299" s="554" t="s">
        <v>162</v>
      </c>
      <c r="L299" s="554"/>
      <c r="M299" s="554"/>
      <c r="N299" s="554"/>
      <c r="O299" s="555" t="s">
        <v>782</v>
      </c>
      <c r="P299" s="14"/>
      <c r="Q299" s="452" t="str">
        <f>MATCH($D299,Reference!$J$5:$J$9,0)</f>
        <v>3</v>
      </c>
      <c r="R299" s="452" t="str">
        <f>MATCH($E299,Reference!$J$26:$J$32,0)</f>
        <v>2</v>
      </c>
      <c r="S299" s="452" t="str">
        <f>MATCH($F299,Reference!$J$45:$J$54,0)</f>
        <v>7</v>
      </c>
      <c r="T299" s="453" t="str">
        <f>MATCH($K299,Reference!$J$37:$J$39,0)</f>
        <v>2</v>
      </c>
      <c r="U299" s="454" t="str">
        <f t="shared" si="539"/>
        <v>1</v>
      </c>
      <c r="V299" s="454" t="str">
        <f t="shared" si="3"/>
        <v>1</v>
      </c>
      <c r="W299" s="454" t="str">
        <f t="shared" si="585"/>
        <v>0</v>
      </c>
      <c r="X299" s="454" t="str">
        <f t="shared" si="540"/>
        <v>1</v>
      </c>
      <c r="Y299" s="456" t="str">
        <f t="shared" si="5"/>
        <v>FALSE</v>
      </c>
      <c r="Z299" s="456" t="str">
        <f t="shared" si="6"/>
        <v>TRUE</v>
      </c>
      <c r="AA299" s="457" t="str">
        <f t="shared" ref="AA299:AB299" si="586">1-I299</f>
        <v>0%</v>
      </c>
      <c r="AB299" s="457" t="str">
        <f t="shared" si="586"/>
        <v>0%</v>
      </c>
      <c r="AC299" s="456" t="str">
        <f t="shared" si="8"/>
        <v>1</v>
      </c>
      <c r="AD299" s="458" t="str">
        <f t="shared" si="542"/>
        <v>0</v>
      </c>
      <c r="AE299" s="458" t="str">
        <f t="shared" si="10"/>
        <v>1</v>
      </c>
      <c r="AF299" s="459" t="str">
        <f t="shared" si="583"/>
        <v>0</v>
      </c>
      <c r="AG299" s="460"/>
    </row>
    <row r="300">
      <c r="A300" s="442"/>
      <c r="B300" s="560">
        <v>3.0</v>
      </c>
      <c r="C300" s="561" t="s">
        <v>783</v>
      </c>
      <c r="D300" s="562" t="s">
        <v>21</v>
      </c>
      <c r="E300" s="563" t="s">
        <v>36</v>
      </c>
      <c r="F300" s="562" t="s">
        <v>72</v>
      </c>
      <c r="G300" s="564">
        <v>2.0</v>
      </c>
      <c r="H300" s="564">
        <v>0.0</v>
      </c>
      <c r="I300" s="565">
        <v>1.0</v>
      </c>
      <c r="J300" s="565">
        <v>1.0</v>
      </c>
      <c r="K300" s="563" t="s">
        <v>162</v>
      </c>
      <c r="L300" s="563"/>
      <c r="M300" s="563"/>
      <c r="N300" s="563"/>
      <c r="O300" s="566" t="s">
        <v>784</v>
      </c>
      <c r="P300" s="14"/>
      <c r="Q300" s="452" t="str">
        <f>MATCH($D300,Reference!$J$5:$J$9,0)</f>
        <v>3</v>
      </c>
      <c r="R300" s="452" t="str">
        <f>MATCH($E300,Reference!$J$26:$J$32,0)</f>
        <v>7</v>
      </c>
      <c r="S300" s="452" t="str">
        <f>MATCH($F300,Reference!$J$45:$J$54,0)</f>
        <v>7</v>
      </c>
      <c r="T300" s="453" t="str">
        <f>MATCH($K300,Reference!$J$37:$J$39,0)</f>
        <v>2</v>
      </c>
      <c r="U300" s="454" t="str">
        <f t="shared" si="539"/>
        <v>2</v>
      </c>
      <c r="V300" s="454" t="str">
        <f t="shared" si="3"/>
        <v>1</v>
      </c>
      <c r="W300" s="454" t="str">
        <f t="shared" si="585"/>
        <v>0</v>
      </c>
      <c r="X300" s="454" t="str">
        <f t="shared" si="540"/>
        <v>2</v>
      </c>
      <c r="Y300" s="456" t="str">
        <f t="shared" si="5"/>
        <v>FALSE</v>
      </c>
      <c r="Z300" s="456" t="str">
        <f t="shared" si="6"/>
        <v>FALSE</v>
      </c>
      <c r="AA300" s="457" t="str">
        <f t="shared" ref="AA300:AB300" si="587">1-I300</f>
        <v>0%</v>
      </c>
      <c r="AB300" s="457" t="str">
        <f t="shared" si="587"/>
        <v>0%</v>
      </c>
      <c r="AC300" s="456" t="str">
        <f t="shared" si="8"/>
        <v>2</v>
      </c>
      <c r="AD300" s="458" t="str">
        <f t="shared" si="542"/>
        <v>0</v>
      </c>
      <c r="AE300" s="458" t="str">
        <f t="shared" si="10"/>
        <v>1</v>
      </c>
      <c r="AF300" s="459" t="str">
        <f t="shared" si="583"/>
        <v>0</v>
      </c>
      <c r="AG300" s="460"/>
    </row>
    <row r="301">
      <c r="A301" s="442"/>
      <c r="B301" s="547">
        <v>3.0</v>
      </c>
      <c r="C301" s="548" t="s">
        <v>785</v>
      </c>
      <c r="D301" s="549" t="s">
        <v>21</v>
      </c>
      <c r="E301" s="549" t="s">
        <v>33</v>
      </c>
      <c r="F301" s="550" t="s">
        <v>72</v>
      </c>
      <c r="G301" s="552">
        <v>1.0</v>
      </c>
      <c r="H301" s="551">
        <v>0.0</v>
      </c>
      <c r="I301" s="553">
        <v>1.0</v>
      </c>
      <c r="J301" s="553">
        <v>1.0</v>
      </c>
      <c r="K301" s="554" t="s">
        <v>162</v>
      </c>
      <c r="L301" s="554"/>
      <c r="M301" s="554"/>
      <c r="N301" s="554"/>
      <c r="O301" s="555" t="s">
        <v>786</v>
      </c>
      <c r="P301" s="14"/>
      <c r="Q301" s="452" t="str">
        <f>MATCH($D301,Reference!$J$5:$J$9,0)</f>
        <v>3</v>
      </c>
      <c r="R301" s="452" t="str">
        <f>MATCH($E301,Reference!$J$26:$J$32,0)</f>
        <v>2</v>
      </c>
      <c r="S301" s="452" t="str">
        <f>MATCH($F301,Reference!$J$45:$J$54,0)</f>
        <v>7</v>
      </c>
      <c r="T301" s="453" t="str">
        <f>MATCH($K301,Reference!$J$37:$J$39,0)</f>
        <v>2</v>
      </c>
      <c r="U301" s="454" t="str">
        <f t="shared" si="539"/>
        <v>1</v>
      </c>
      <c r="V301" s="454" t="str">
        <f t="shared" si="3"/>
        <v>1</v>
      </c>
      <c r="W301" s="454" t="str">
        <f t="shared" si="585"/>
        <v>0</v>
      </c>
      <c r="X301" s="454" t="str">
        <f t="shared" si="540"/>
        <v>1</v>
      </c>
      <c r="Y301" s="456" t="str">
        <f t="shared" si="5"/>
        <v>FALSE</v>
      </c>
      <c r="Z301" s="456" t="str">
        <f t="shared" si="6"/>
        <v>TRUE</v>
      </c>
      <c r="AA301" s="457" t="str">
        <f t="shared" ref="AA301:AB301" si="588">1-I301</f>
        <v>0%</v>
      </c>
      <c r="AB301" s="457" t="str">
        <f t="shared" si="588"/>
        <v>0%</v>
      </c>
      <c r="AC301" s="456" t="str">
        <f t="shared" si="8"/>
        <v>1</v>
      </c>
      <c r="AD301" s="458" t="str">
        <f t="shared" si="542"/>
        <v>0</v>
      </c>
      <c r="AE301" s="458" t="str">
        <f t="shared" si="10"/>
        <v>1</v>
      </c>
      <c r="AF301" s="459" t="str">
        <f t="shared" si="583"/>
        <v>0</v>
      </c>
      <c r="AG301" s="460"/>
    </row>
    <row r="302">
      <c r="A302" s="463"/>
      <c r="B302" s="547">
        <v>3.0</v>
      </c>
      <c r="C302" s="548" t="s">
        <v>787</v>
      </c>
      <c r="D302" s="549" t="s">
        <v>21</v>
      </c>
      <c r="E302" s="549" t="s">
        <v>33</v>
      </c>
      <c r="F302" s="550" t="s">
        <v>72</v>
      </c>
      <c r="G302" s="552">
        <v>2.0</v>
      </c>
      <c r="H302" s="552">
        <v>0.0</v>
      </c>
      <c r="I302" s="553">
        <v>1.0</v>
      </c>
      <c r="J302" s="553">
        <v>1.0</v>
      </c>
      <c r="K302" s="554" t="s">
        <v>162</v>
      </c>
      <c r="L302" s="554"/>
      <c r="M302" s="554"/>
      <c r="N302" s="554"/>
      <c r="O302" s="555" t="s">
        <v>788</v>
      </c>
      <c r="P302" s="14"/>
      <c r="Q302" s="452" t="str">
        <f>MATCH($D302,Reference!$J$5:$J$9,0)</f>
        <v>3</v>
      </c>
      <c r="R302" s="452" t="str">
        <f>MATCH($E302,Reference!$J$26:$J$32,0)</f>
        <v>2</v>
      </c>
      <c r="S302" s="452" t="str">
        <f>MATCH($F302,Reference!$J$45:$J$54,0)</f>
        <v>7</v>
      </c>
      <c r="T302" s="453" t="str">
        <f>MATCH($K302,Reference!$J$37:$J$39,0)</f>
        <v>2</v>
      </c>
      <c r="U302" s="454" t="str">
        <f t="shared" si="539"/>
        <v>2</v>
      </c>
      <c r="V302" s="454" t="str">
        <f t="shared" si="3"/>
        <v>1</v>
      </c>
      <c r="W302" s="454" t="str">
        <f t="shared" si="585"/>
        <v>0</v>
      </c>
      <c r="X302" s="454" t="str">
        <f t="shared" si="540"/>
        <v>2</v>
      </c>
      <c r="Y302" s="456" t="str">
        <f t="shared" si="5"/>
        <v>FALSE</v>
      </c>
      <c r="Z302" s="456" t="str">
        <f t="shared" si="6"/>
        <v>FALSE</v>
      </c>
      <c r="AA302" s="457" t="str">
        <f t="shared" ref="AA302:AB302" si="589">1-I302</f>
        <v>0%</v>
      </c>
      <c r="AB302" s="457" t="str">
        <f t="shared" si="589"/>
        <v>0%</v>
      </c>
      <c r="AC302" s="456" t="str">
        <f t="shared" si="8"/>
        <v>2</v>
      </c>
      <c r="AD302" s="458" t="str">
        <f t="shared" si="542"/>
        <v>0</v>
      </c>
      <c r="AE302" s="458" t="str">
        <f t="shared" si="10"/>
        <v>1</v>
      </c>
      <c r="AF302" s="459" t="str">
        <f t="shared" si="583"/>
        <v>0</v>
      </c>
      <c r="AG302" s="460"/>
    </row>
    <row r="303">
      <c r="A303" s="442"/>
      <c r="B303" s="547">
        <v>3.0</v>
      </c>
      <c r="C303" s="548" t="s">
        <v>789</v>
      </c>
      <c r="D303" s="549" t="s">
        <v>21</v>
      </c>
      <c r="E303" s="549" t="s">
        <v>33</v>
      </c>
      <c r="F303" s="550" t="s">
        <v>72</v>
      </c>
      <c r="G303" s="552">
        <v>1.0</v>
      </c>
      <c r="H303" s="551">
        <v>0.0</v>
      </c>
      <c r="I303" s="553">
        <v>1.0</v>
      </c>
      <c r="J303" s="553">
        <v>1.0</v>
      </c>
      <c r="K303" s="549" t="s">
        <v>188</v>
      </c>
      <c r="L303" s="549" t="s">
        <v>737</v>
      </c>
      <c r="M303" s="550">
        <v>0.0</v>
      </c>
      <c r="N303" s="551">
        <v>3.0</v>
      </c>
      <c r="O303" s="555" t="s">
        <v>790</v>
      </c>
      <c r="P303" s="14"/>
      <c r="Q303" s="452" t="str">
        <f>MATCH($D303,Reference!$J$5:$J$9,0)</f>
        <v>3</v>
      </c>
      <c r="R303" s="452" t="str">
        <f>MATCH($E303,Reference!$J$26:$J$32,0)</f>
        <v>2</v>
      </c>
      <c r="S303" s="452" t="str">
        <f>MATCH($F303,Reference!$J$45:$J$54,0)</f>
        <v>7</v>
      </c>
      <c r="T303" s="453" t="str">
        <f>MATCH($K303,Reference!$J$37:$J$39,0)</f>
        <v>3</v>
      </c>
      <c r="U303" s="454" t="str">
        <f t="shared" si="539"/>
        <v>1</v>
      </c>
      <c r="V303" s="454" t="str">
        <f t="shared" si="3"/>
        <v>1</v>
      </c>
      <c r="W303" s="454" t="str">
        <f t="shared" si="585"/>
        <v>0</v>
      </c>
      <c r="X303" s="454" t="str">
        <f t="shared" si="540"/>
        <v>1</v>
      </c>
      <c r="Y303" s="456" t="str">
        <f t="shared" si="5"/>
        <v>FALSE</v>
      </c>
      <c r="Z303" s="456" t="str">
        <f t="shared" si="6"/>
        <v>TRUE</v>
      </c>
      <c r="AA303" s="457" t="str">
        <f t="shared" ref="AA303:AB303" si="590">1-I303</f>
        <v>0%</v>
      </c>
      <c r="AB303" s="457" t="str">
        <f t="shared" si="590"/>
        <v>0%</v>
      </c>
      <c r="AC303" s="456" t="str">
        <f t="shared" si="8"/>
        <v>1</v>
      </c>
      <c r="AD303" s="458" t="str">
        <f t="shared" si="542"/>
        <v>0</v>
      </c>
      <c r="AE303" s="458" t="str">
        <f t="shared" si="10"/>
        <v>1</v>
      </c>
      <c r="AF303" s="459" t="str">
        <f t="shared" si="583"/>
        <v>0</v>
      </c>
      <c r="AG303" s="460"/>
      <c r="AH303" s="14"/>
      <c r="AI303" s="14"/>
      <c r="AJ303" s="14"/>
      <c r="AK303" s="14"/>
      <c r="AL303" s="14"/>
      <c r="AM303" s="14"/>
      <c r="AN303" s="14"/>
      <c r="AO303" s="14"/>
      <c r="AP303" s="14"/>
      <c r="AQ303" s="14"/>
      <c r="AR303" s="14"/>
      <c r="AS303" s="14"/>
      <c r="AT303" s="14"/>
    </row>
    <row r="304">
      <c r="A304" s="442"/>
      <c r="B304" s="594">
        <v>3.0</v>
      </c>
      <c r="C304" s="595" t="s">
        <v>791</v>
      </c>
      <c r="D304" s="575" t="s">
        <v>21</v>
      </c>
      <c r="E304" s="575" t="s">
        <v>35</v>
      </c>
      <c r="F304" s="576" t="s">
        <v>72</v>
      </c>
      <c r="G304" s="596">
        <v>1.0</v>
      </c>
      <c r="H304" s="596">
        <v>0.0</v>
      </c>
      <c r="I304" s="598">
        <v>1.0</v>
      </c>
      <c r="J304" s="598">
        <v>1.0</v>
      </c>
      <c r="K304" s="600" t="s">
        <v>304</v>
      </c>
      <c r="L304" s="709"/>
      <c r="M304" s="600">
        <v>3.0</v>
      </c>
      <c r="N304" s="600">
        <v>2.0</v>
      </c>
      <c r="O304" s="710" t="s">
        <v>792</v>
      </c>
      <c r="P304" s="5"/>
      <c r="Q304" s="452" t="str">
        <f>MATCH($D304,Reference!$J$5:$J$9,0)</f>
        <v>3</v>
      </c>
      <c r="R304" s="452" t="str">
        <f>MATCH($E304,Reference!$J$26:$J$32,0)</f>
        <v>5</v>
      </c>
      <c r="S304" s="452" t="str">
        <f>MATCH($F304,Reference!$J$45:$J$54,0)</f>
        <v>7</v>
      </c>
      <c r="T304" s="453" t="str">
        <f>MATCH($K304,Reference!$J$37:$J$39,0)</f>
        <v>1</v>
      </c>
      <c r="U304" s="454" t="str">
        <f t="shared" si="539"/>
        <v>1</v>
      </c>
      <c r="V304" s="454" t="str">
        <f t="shared" si="3"/>
        <v>1</v>
      </c>
      <c r="W304" s="454" t="str">
        <f t="shared" si="585"/>
        <v>0</v>
      </c>
      <c r="X304" s="454" t="str">
        <f t="shared" si="540"/>
        <v>1</v>
      </c>
      <c r="Y304" s="456" t="str">
        <f t="shared" si="5"/>
        <v>FALSE</v>
      </c>
      <c r="Z304" s="456" t="str">
        <f t="shared" si="6"/>
        <v>TRUE</v>
      </c>
      <c r="AA304" s="457" t="str">
        <f t="shared" ref="AA304:AB304" si="591">1-I304</f>
        <v>0%</v>
      </c>
      <c r="AB304" s="457" t="str">
        <f t="shared" si="591"/>
        <v>0%</v>
      </c>
      <c r="AC304" s="456" t="str">
        <f t="shared" si="8"/>
        <v>1</v>
      </c>
      <c r="AD304" s="458" t="str">
        <f t="shared" si="542"/>
        <v>0</v>
      </c>
      <c r="AE304" s="458" t="str">
        <f t="shared" si="10"/>
        <v>1</v>
      </c>
      <c r="AF304" s="459" t="str">
        <f t="shared" si="583"/>
        <v>0</v>
      </c>
      <c r="AG304" s="460"/>
      <c r="AH304" s="14"/>
      <c r="AI304" s="14"/>
      <c r="AJ304" s="14"/>
      <c r="AK304" s="14"/>
      <c r="AL304" s="14"/>
      <c r="AM304" s="14"/>
      <c r="AN304" s="14"/>
      <c r="AO304" s="14"/>
      <c r="AP304" s="14"/>
      <c r="AQ304" s="14"/>
      <c r="AR304" s="14"/>
      <c r="AS304" s="14"/>
      <c r="AT304" s="14"/>
    </row>
    <row r="305">
      <c r="A305" s="442"/>
      <c r="B305" s="560">
        <v>4.0</v>
      </c>
      <c r="C305" s="561" t="s">
        <v>793</v>
      </c>
      <c r="D305" s="562" t="s">
        <v>21</v>
      </c>
      <c r="E305" s="563" t="s">
        <v>36</v>
      </c>
      <c r="F305" s="562" t="s">
        <v>72</v>
      </c>
      <c r="G305" s="564">
        <v>2.0</v>
      </c>
      <c r="H305" s="564">
        <v>0.0</v>
      </c>
      <c r="I305" s="565">
        <v>1.0</v>
      </c>
      <c r="J305" s="565">
        <v>1.0</v>
      </c>
      <c r="K305" s="563" t="s">
        <v>188</v>
      </c>
      <c r="L305" s="563"/>
      <c r="M305" s="563">
        <v>4.0</v>
      </c>
      <c r="N305" s="563">
        <v>4.0</v>
      </c>
      <c r="O305" s="566" t="s">
        <v>794</v>
      </c>
      <c r="P305" s="14"/>
      <c r="Q305" s="452" t="str">
        <f>MATCH($D305,Reference!$J$5:$J$9,0)</f>
        <v>3</v>
      </c>
      <c r="R305" s="452" t="str">
        <f>MATCH($E305,Reference!$J$26:$J$32,0)</f>
        <v>7</v>
      </c>
      <c r="S305" s="452" t="str">
        <f>MATCH($F305,Reference!$J$45:$J$54,0)</f>
        <v>7</v>
      </c>
      <c r="T305" s="453" t="str">
        <f>MATCH($K305,Reference!$J$37:$J$39,0)</f>
        <v>3</v>
      </c>
      <c r="U305" s="454" t="str">
        <f t="shared" si="539"/>
        <v>2</v>
      </c>
      <c r="V305" s="454" t="str">
        <f t="shared" si="3"/>
        <v>1</v>
      </c>
      <c r="W305" s="454" t="str">
        <f t="shared" si="585"/>
        <v>0</v>
      </c>
      <c r="X305" s="454" t="str">
        <f t="shared" si="540"/>
        <v>2</v>
      </c>
      <c r="Y305" s="456" t="str">
        <f t="shared" si="5"/>
        <v>FALSE</v>
      </c>
      <c r="Z305" s="456" t="str">
        <f t="shared" si="6"/>
        <v>FALSE</v>
      </c>
      <c r="AA305" s="457" t="str">
        <f t="shared" ref="AA305:AB305" si="592">1-I305</f>
        <v>0%</v>
      </c>
      <c r="AB305" s="457" t="str">
        <f t="shared" si="592"/>
        <v>0%</v>
      </c>
      <c r="AC305" s="456" t="str">
        <f t="shared" si="8"/>
        <v>2</v>
      </c>
      <c r="AD305" s="458" t="str">
        <f t="shared" si="542"/>
        <v>0</v>
      </c>
      <c r="AE305" s="458" t="str">
        <f t="shared" si="10"/>
        <v>1</v>
      </c>
      <c r="AF305" s="459" t="str">
        <f t="shared" si="583"/>
        <v>0</v>
      </c>
      <c r="AG305" s="460"/>
      <c r="AH305" s="14"/>
      <c r="AI305" s="14"/>
      <c r="AJ305" s="14"/>
      <c r="AK305" s="14"/>
      <c r="AL305" s="14"/>
      <c r="AM305" s="14"/>
      <c r="AN305" s="14"/>
      <c r="AO305" s="14"/>
      <c r="AP305" s="14"/>
      <c r="AQ305" s="14"/>
      <c r="AR305" s="14"/>
      <c r="AS305" s="14"/>
      <c r="AT305" s="14"/>
    </row>
    <row r="306">
      <c r="A306" s="727"/>
      <c r="B306" s="594">
        <v>4.0</v>
      </c>
      <c r="C306" s="595" t="s">
        <v>795</v>
      </c>
      <c r="D306" s="575" t="s">
        <v>21</v>
      </c>
      <c r="E306" s="575" t="s">
        <v>35</v>
      </c>
      <c r="F306" s="576" t="s">
        <v>72</v>
      </c>
      <c r="G306" s="596">
        <v>1.0</v>
      </c>
      <c r="H306" s="596">
        <v>0.0</v>
      </c>
      <c r="I306" s="598">
        <v>1.0</v>
      </c>
      <c r="J306" s="598">
        <v>1.0</v>
      </c>
      <c r="K306" s="600" t="s">
        <v>188</v>
      </c>
      <c r="L306" s="600"/>
      <c r="M306" s="600">
        <v>5.0</v>
      </c>
      <c r="N306" s="600">
        <v>4.0</v>
      </c>
      <c r="O306" s="599" t="s">
        <v>796</v>
      </c>
      <c r="P306" s="14"/>
      <c r="Q306" s="452" t="str">
        <f>MATCH($D306,Reference!$J$5:$J$9,0)</f>
        <v>3</v>
      </c>
      <c r="R306" s="452" t="str">
        <f>MATCH($E306,Reference!$J$26:$J$32,0)</f>
        <v>5</v>
      </c>
      <c r="S306" s="452" t="str">
        <f>MATCH($F306,Reference!$J$45:$J$54,0)</f>
        <v>7</v>
      </c>
      <c r="T306" s="453" t="str">
        <f>MATCH($K306,Reference!$J$37:$J$39,0)</f>
        <v>3</v>
      </c>
      <c r="U306" s="454" t="str">
        <f t="shared" si="539"/>
        <v>1</v>
      </c>
      <c r="V306" s="454" t="str">
        <f t="shared" si="3"/>
        <v>1</v>
      </c>
      <c r="W306" s="454" t="str">
        <f t="shared" si="585"/>
        <v>0</v>
      </c>
      <c r="X306" s="454" t="str">
        <f t="shared" si="540"/>
        <v>1</v>
      </c>
      <c r="Y306" s="456" t="str">
        <f t="shared" si="5"/>
        <v>FALSE</v>
      </c>
      <c r="Z306" s="456" t="str">
        <f t="shared" si="6"/>
        <v>TRUE</v>
      </c>
      <c r="AA306" s="457" t="str">
        <f t="shared" ref="AA306:AB306" si="593">1-I306</f>
        <v>0%</v>
      </c>
      <c r="AB306" s="457" t="str">
        <f t="shared" si="593"/>
        <v>0%</v>
      </c>
      <c r="AC306" s="456" t="str">
        <f t="shared" si="8"/>
        <v>1</v>
      </c>
      <c r="AD306" s="458" t="str">
        <f t="shared" si="542"/>
        <v>0</v>
      </c>
      <c r="AE306" s="458" t="str">
        <f t="shared" si="10"/>
        <v>1</v>
      </c>
      <c r="AF306" s="459" t="str">
        <f t="shared" si="583"/>
        <v>0</v>
      </c>
      <c r="AG306" s="460"/>
      <c r="AH306" s="14"/>
      <c r="AI306" s="14"/>
      <c r="AJ306" s="14"/>
      <c r="AK306" s="14"/>
      <c r="AL306" s="14"/>
      <c r="AM306" s="14"/>
      <c r="AN306" s="14"/>
      <c r="AO306" s="14"/>
      <c r="AP306" s="14"/>
      <c r="AQ306" s="14"/>
      <c r="AR306" s="14"/>
      <c r="AS306" s="14"/>
      <c r="AT306" s="14"/>
    </row>
    <row r="307">
      <c r="A307" s="466"/>
      <c r="B307" s="560">
        <v>5.0</v>
      </c>
      <c r="C307" s="561" t="s">
        <v>797</v>
      </c>
      <c r="D307" s="562" t="s">
        <v>21</v>
      </c>
      <c r="E307" s="563" t="s">
        <v>36</v>
      </c>
      <c r="F307" s="562" t="s">
        <v>72</v>
      </c>
      <c r="G307" s="564">
        <v>2.0</v>
      </c>
      <c r="H307" s="564">
        <v>0.0</v>
      </c>
      <c r="I307" s="565">
        <v>1.0</v>
      </c>
      <c r="J307" s="565">
        <v>1.0</v>
      </c>
      <c r="K307" s="563" t="s">
        <v>188</v>
      </c>
      <c r="L307" s="563"/>
      <c r="M307" s="563">
        <v>3.0</v>
      </c>
      <c r="N307" s="563">
        <v>6.0</v>
      </c>
      <c r="O307" s="566" t="s">
        <v>798</v>
      </c>
      <c r="P307" s="14"/>
      <c r="Q307" s="452" t="str">
        <f>MATCH($D307,Reference!$J$5:$J$9,0)</f>
        <v>3</v>
      </c>
      <c r="R307" s="452" t="str">
        <f>MATCH($E307,Reference!$J$26:$J$32,0)</f>
        <v>7</v>
      </c>
      <c r="S307" s="452" t="str">
        <f>MATCH($F307,Reference!$J$45:$J$54,0)</f>
        <v>7</v>
      </c>
      <c r="T307" s="453" t="str">
        <f>MATCH($K307,Reference!$J$37:$J$39,0)</f>
        <v>3</v>
      </c>
      <c r="U307" s="454" t="str">
        <f t="shared" si="539"/>
        <v>2</v>
      </c>
      <c r="V307" s="454" t="str">
        <f t="shared" si="3"/>
        <v>1</v>
      </c>
      <c r="W307" s="454" t="str">
        <f t="shared" si="585"/>
        <v>0</v>
      </c>
      <c r="X307" s="454" t="str">
        <f t="shared" si="540"/>
        <v>2</v>
      </c>
      <c r="Y307" s="456" t="str">
        <f t="shared" si="5"/>
        <v>FALSE</v>
      </c>
      <c r="Z307" s="456" t="str">
        <f t="shared" si="6"/>
        <v>FALSE</v>
      </c>
      <c r="AA307" s="457" t="str">
        <f t="shared" ref="AA307:AB307" si="594">1-I307</f>
        <v>0%</v>
      </c>
      <c r="AB307" s="457" t="str">
        <f t="shared" si="594"/>
        <v>0%</v>
      </c>
      <c r="AC307" s="456" t="str">
        <f t="shared" si="8"/>
        <v>2</v>
      </c>
      <c r="AD307" s="458" t="str">
        <f t="shared" si="542"/>
        <v>0</v>
      </c>
      <c r="AE307" s="458" t="str">
        <f t="shared" si="10"/>
        <v>1</v>
      </c>
      <c r="AF307" s="459" t="str">
        <f t="shared" si="583"/>
        <v>0</v>
      </c>
      <c r="AG307" s="460"/>
      <c r="AH307" s="14"/>
      <c r="AI307" s="14"/>
      <c r="AJ307" s="14"/>
      <c r="AK307" s="14"/>
      <c r="AL307" s="14"/>
      <c r="AM307" s="14"/>
      <c r="AN307" s="14"/>
      <c r="AO307" s="14"/>
      <c r="AP307" s="14"/>
      <c r="AQ307" s="14"/>
      <c r="AR307" s="14"/>
      <c r="AS307" s="14"/>
      <c r="AT307" s="14"/>
    </row>
    <row r="308">
      <c r="A308" s="442"/>
      <c r="B308" s="618">
        <v>3.0</v>
      </c>
      <c r="C308" s="619" t="s">
        <v>799</v>
      </c>
      <c r="D308" s="620" t="s">
        <v>22</v>
      </c>
      <c r="E308" s="621" t="s">
        <v>36</v>
      </c>
      <c r="F308" s="620" t="s">
        <v>72</v>
      </c>
      <c r="G308" s="622">
        <v>2.0</v>
      </c>
      <c r="H308" s="622">
        <v>0.0</v>
      </c>
      <c r="I308" s="623">
        <v>1.0</v>
      </c>
      <c r="J308" s="623">
        <v>1.0</v>
      </c>
      <c r="K308" s="621" t="s">
        <v>162</v>
      </c>
      <c r="L308" s="621"/>
      <c r="M308" s="621"/>
      <c r="N308" s="621"/>
      <c r="O308" s="624" t="s">
        <v>800</v>
      </c>
      <c r="P308" s="14"/>
      <c r="Q308" s="452" t="str">
        <f>MATCH($D308,Reference!$J$5:$J$9,0)</f>
        <v>4</v>
      </c>
      <c r="R308" s="452" t="str">
        <f>MATCH($E308,Reference!$J$26:$J$32,0)</f>
        <v>7</v>
      </c>
      <c r="S308" s="452" t="str">
        <f>MATCH($F308,Reference!$J$45:$J$54,0)</f>
        <v>7</v>
      </c>
      <c r="T308" s="453" t="str">
        <f>MATCH($K308,Reference!$J$37:$J$39,0)</f>
        <v>2</v>
      </c>
      <c r="U308" s="454" t="str">
        <f t="shared" si="539"/>
        <v>2</v>
      </c>
      <c r="V308" s="454" t="str">
        <f t="shared" si="3"/>
        <v>1</v>
      </c>
      <c r="W308" s="454" t="str">
        <f t="shared" ref="W308:W314" si="596">(MIN(G308,2)+H308-U308)*400</f>
        <v>0</v>
      </c>
      <c r="X308" s="454" t="str">
        <f t="shared" si="540"/>
        <v>2</v>
      </c>
      <c r="Y308" s="456" t="str">
        <f t="shared" si="5"/>
        <v>FALSE</v>
      </c>
      <c r="Z308" s="456" t="str">
        <f t="shared" si="6"/>
        <v>FALSE</v>
      </c>
      <c r="AA308" s="457" t="str">
        <f t="shared" ref="AA308:AB308" si="595">1-I308</f>
        <v>0%</v>
      </c>
      <c r="AB308" s="457" t="str">
        <f t="shared" si="595"/>
        <v>0%</v>
      </c>
      <c r="AC308" s="456" t="str">
        <f t="shared" si="8"/>
        <v>2</v>
      </c>
      <c r="AD308" s="458" t="str">
        <f t="shared" si="542"/>
        <v>0</v>
      </c>
      <c r="AE308" s="458" t="str">
        <f t="shared" si="10"/>
        <v>1</v>
      </c>
      <c r="AF308" s="459" t="str">
        <f t="shared" ref="AF308:AF314" si="598">(MIN(H308,2)+G308-U308)*100</f>
        <v>0</v>
      </c>
      <c r="AG308" s="460"/>
      <c r="AH308" s="14"/>
      <c r="AI308" s="14"/>
      <c r="AJ308" s="14"/>
      <c r="AK308" s="14"/>
      <c r="AL308" s="14"/>
      <c r="AM308" s="14"/>
      <c r="AN308" s="14"/>
      <c r="AO308" s="14"/>
      <c r="AP308" s="14"/>
      <c r="AQ308" s="14"/>
      <c r="AR308" s="14"/>
      <c r="AS308" s="14"/>
      <c r="AT308" s="14"/>
    </row>
    <row r="309">
      <c r="A309" s="466"/>
      <c r="B309" s="634">
        <v>3.0</v>
      </c>
      <c r="C309" s="635" t="s">
        <v>801</v>
      </c>
      <c r="D309" s="636" t="s">
        <v>22</v>
      </c>
      <c r="E309" s="636" t="s">
        <v>33</v>
      </c>
      <c r="F309" s="637" t="s">
        <v>72</v>
      </c>
      <c r="G309" s="639">
        <v>0.0</v>
      </c>
      <c r="H309" s="638">
        <v>0.0</v>
      </c>
      <c r="I309" s="640">
        <v>1.0</v>
      </c>
      <c r="J309" s="640">
        <v>1.0</v>
      </c>
      <c r="K309" s="641" t="s">
        <v>162</v>
      </c>
      <c r="L309" s="641"/>
      <c r="M309" s="641"/>
      <c r="N309" s="641"/>
      <c r="O309" s="642" t="s">
        <v>802</v>
      </c>
      <c r="P309" s="14"/>
      <c r="Q309" s="452" t="str">
        <f>MATCH($D309,Reference!$J$5:$J$9,0)</f>
        <v>4</v>
      </c>
      <c r="R309" s="452" t="str">
        <f>MATCH($E309,Reference!$J$26:$J$32,0)</f>
        <v>2</v>
      </c>
      <c r="S309" s="452" t="str">
        <f>MATCH($F309,Reference!$J$45:$J$54,0)</f>
        <v>7</v>
      </c>
      <c r="T309" s="453" t="str">
        <f>MATCH($K309,Reference!$J$37:$J$39,0)</f>
        <v>2</v>
      </c>
      <c r="U309" s="454" t="str">
        <f t="shared" si="539"/>
        <v>0</v>
      </c>
      <c r="V309" s="454" t="str">
        <f t="shared" si="3"/>
        <v>0</v>
      </c>
      <c r="W309" s="454" t="str">
        <f t="shared" si="596"/>
        <v>0</v>
      </c>
      <c r="X309" s="454" t="str">
        <f t="shared" si="540"/>
        <v>0</v>
      </c>
      <c r="Y309" s="456" t="str">
        <f t="shared" si="5"/>
        <v>TRUE</v>
      </c>
      <c r="Z309" s="456" t="str">
        <f t="shared" si="6"/>
        <v>FALSE</v>
      </c>
      <c r="AA309" s="457" t="str">
        <f t="shared" ref="AA309:AB309" si="597">1-I309</f>
        <v>0%</v>
      </c>
      <c r="AB309" s="457" t="str">
        <f t="shared" si="597"/>
        <v>0%</v>
      </c>
      <c r="AC309" s="456" t="str">
        <f t="shared" si="8"/>
        <v>0</v>
      </c>
      <c r="AD309" s="458" t="str">
        <f t="shared" si="542"/>
        <v>0</v>
      </c>
      <c r="AE309" s="458" t="str">
        <f t="shared" si="10"/>
        <v>0</v>
      </c>
      <c r="AF309" s="459" t="str">
        <f t="shared" si="598"/>
        <v>0</v>
      </c>
      <c r="AG309" s="460"/>
      <c r="AH309" s="14"/>
      <c r="AI309" s="14"/>
      <c r="AJ309" s="14"/>
      <c r="AK309" s="14"/>
      <c r="AL309" s="14"/>
      <c r="AM309" s="14"/>
      <c r="AN309" s="14"/>
      <c r="AO309" s="14"/>
      <c r="AP309" s="14"/>
      <c r="AQ309" s="14"/>
      <c r="AR309" s="14"/>
      <c r="AS309" s="14"/>
      <c r="AT309" s="14"/>
    </row>
    <row r="310">
      <c r="A310" s="442"/>
      <c r="B310" s="625">
        <v>4.0</v>
      </c>
      <c r="C310" s="646" t="s">
        <v>803</v>
      </c>
      <c r="D310" s="627" t="s">
        <v>22</v>
      </c>
      <c r="E310" s="627" t="s">
        <v>35</v>
      </c>
      <c r="F310" s="628" t="s">
        <v>72</v>
      </c>
      <c r="G310" s="629">
        <v>0.0</v>
      </c>
      <c r="H310" s="630">
        <v>0.0</v>
      </c>
      <c r="I310" s="631">
        <v>1.0</v>
      </c>
      <c r="J310" s="631">
        <v>1.0</v>
      </c>
      <c r="K310" s="632" t="s">
        <v>162</v>
      </c>
      <c r="L310" s="632"/>
      <c r="M310" s="632"/>
      <c r="N310" s="632"/>
      <c r="O310" s="633" t="s">
        <v>804</v>
      </c>
      <c r="P310" s="14"/>
      <c r="Q310" s="452" t="str">
        <f>MATCH($D310,Reference!$J$5:$J$9,0)</f>
        <v>4</v>
      </c>
      <c r="R310" s="452" t="str">
        <f>MATCH($E310,Reference!$J$26:$J$32,0)</f>
        <v>5</v>
      </c>
      <c r="S310" s="452" t="str">
        <f>MATCH($F310,Reference!$J$45:$J$54,0)</f>
        <v>7</v>
      </c>
      <c r="T310" s="453" t="str">
        <f>MATCH($K310,Reference!$J$37:$J$39,0)</f>
        <v>2</v>
      </c>
      <c r="U310" s="454" t="str">
        <f t="shared" si="539"/>
        <v>0</v>
      </c>
      <c r="V310" s="454" t="str">
        <f t="shared" si="3"/>
        <v>0</v>
      </c>
      <c r="W310" s="454" t="str">
        <f t="shared" si="596"/>
        <v>0</v>
      </c>
      <c r="X310" s="454" t="str">
        <f t="shared" si="540"/>
        <v>0</v>
      </c>
      <c r="Y310" s="456" t="str">
        <f t="shared" si="5"/>
        <v>TRUE</v>
      </c>
      <c r="Z310" s="456" t="str">
        <f t="shared" si="6"/>
        <v>FALSE</v>
      </c>
      <c r="AA310" s="457" t="str">
        <f t="shared" ref="AA310:AB310" si="599">1-I310</f>
        <v>0%</v>
      </c>
      <c r="AB310" s="457" t="str">
        <f t="shared" si="599"/>
        <v>0%</v>
      </c>
      <c r="AC310" s="456" t="str">
        <f t="shared" si="8"/>
        <v>0</v>
      </c>
      <c r="AD310" s="458" t="str">
        <f t="shared" si="542"/>
        <v>0</v>
      </c>
      <c r="AE310" s="458" t="str">
        <f t="shared" si="10"/>
        <v>0</v>
      </c>
      <c r="AF310" s="459" t="str">
        <f t="shared" si="598"/>
        <v>0</v>
      </c>
      <c r="AG310" s="460"/>
      <c r="AH310" s="14"/>
      <c r="AI310" s="14"/>
      <c r="AJ310" s="14"/>
      <c r="AK310" s="14"/>
      <c r="AL310" s="14"/>
      <c r="AM310" s="14"/>
      <c r="AN310" s="14"/>
      <c r="AO310" s="14"/>
      <c r="AP310" s="14"/>
      <c r="AQ310" s="14"/>
      <c r="AR310" s="14"/>
      <c r="AS310" s="14"/>
      <c r="AT310" s="14"/>
    </row>
    <row r="311">
      <c r="A311" s="509"/>
      <c r="B311" s="618">
        <v>4.0</v>
      </c>
      <c r="C311" s="619" t="s">
        <v>805</v>
      </c>
      <c r="D311" s="620" t="s">
        <v>22</v>
      </c>
      <c r="E311" s="621" t="s">
        <v>36</v>
      </c>
      <c r="F311" s="620" t="s">
        <v>72</v>
      </c>
      <c r="G311" s="622">
        <v>0.0</v>
      </c>
      <c r="H311" s="622">
        <v>0.0</v>
      </c>
      <c r="I311" s="623">
        <v>1.0</v>
      </c>
      <c r="J311" s="623">
        <v>1.0</v>
      </c>
      <c r="K311" s="621" t="s">
        <v>304</v>
      </c>
      <c r="L311" s="621"/>
      <c r="M311" s="621">
        <v>2.0</v>
      </c>
      <c r="N311" s="621">
        <v>4.0</v>
      </c>
      <c r="O311" s="624" t="s">
        <v>806</v>
      </c>
      <c r="P311" s="14"/>
      <c r="Q311" s="452" t="str">
        <f>MATCH($D311,Reference!$J$5:$J$9,0)</f>
        <v>4</v>
      </c>
      <c r="R311" s="452" t="str">
        <f>MATCH($E311,Reference!$J$26:$J$32,0)</f>
        <v>7</v>
      </c>
      <c r="S311" s="452" t="str">
        <f>MATCH($F311,Reference!$J$45:$J$54,0)</f>
        <v>7</v>
      </c>
      <c r="T311" s="453" t="str">
        <f>MATCH($K311,Reference!$J$37:$J$39,0)</f>
        <v>1</v>
      </c>
      <c r="U311" s="454" t="str">
        <f t="shared" si="539"/>
        <v>0</v>
      </c>
      <c r="V311" s="454" t="str">
        <f t="shared" si="3"/>
        <v>0</v>
      </c>
      <c r="W311" s="454" t="str">
        <f t="shared" si="596"/>
        <v>0</v>
      </c>
      <c r="X311" s="454" t="str">
        <f t="shared" si="540"/>
        <v>0</v>
      </c>
      <c r="Y311" s="456" t="str">
        <f t="shared" si="5"/>
        <v>TRUE</v>
      </c>
      <c r="Z311" s="456" t="str">
        <f t="shared" si="6"/>
        <v>FALSE</v>
      </c>
      <c r="AA311" s="457" t="str">
        <f t="shared" ref="AA311:AB311" si="600">1-I311</f>
        <v>0%</v>
      </c>
      <c r="AB311" s="457" t="str">
        <f t="shared" si="600"/>
        <v>0%</v>
      </c>
      <c r="AC311" s="456" t="str">
        <f t="shared" si="8"/>
        <v>0</v>
      </c>
      <c r="AD311" s="458" t="str">
        <f t="shared" si="542"/>
        <v>0</v>
      </c>
      <c r="AE311" s="458" t="str">
        <f t="shared" si="10"/>
        <v>0</v>
      </c>
      <c r="AF311" s="459" t="str">
        <f t="shared" si="598"/>
        <v>0</v>
      </c>
      <c r="AG311" s="460"/>
      <c r="AH311" s="14"/>
      <c r="AI311" s="14"/>
      <c r="AJ311" s="14"/>
      <c r="AK311" s="14"/>
      <c r="AL311" s="14"/>
      <c r="AM311" s="14"/>
      <c r="AN311" s="14"/>
      <c r="AO311" s="14"/>
      <c r="AP311" s="14"/>
      <c r="AQ311" s="14"/>
      <c r="AR311" s="14"/>
      <c r="AS311" s="14"/>
      <c r="AT311" s="14"/>
    </row>
    <row r="312">
      <c r="A312" s="463"/>
      <c r="B312" s="625">
        <v>4.0</v>
      </c>
      <c r="C312" s="646" t="s">
        <v>807</v>
      </c>
      <c r="D312" s="627" t="s">
        <v>22</v>
      </c>
      <c r="E312" s="627" t="s">
        <v>35</v>
      </c>
      <c r="F312" s="628" t="s">
        <v>72</v>
      </c>
      <c r="G312" s="629">
        <v>0.0</v>
      </c>
      <c r="H312" s="630">
        <v>0.0</v>
      </c>
      <c r="I312" s="631">
        <v>1.0</v>
      </c>
      <c r="J312" s="631">
        <v>1.0</v>
      </c>
      <c r="K312" s="632" t="s">
        <v>188</v>
      </c>
      <c r="L312" s="632" t="s">
        <v>498</v>
      </c>
      <c r="M312" s="632">
        <v>2.0</v>
      </c>
      <c r="N312" s="632">
        <v>5.0</v>
      </c>
      <c r="O312" s="633" t="s">
        <v>808</v>
      </c>
      <c r="P312" s="14"/>
      <c r="Q312" s="452" t="str">
        <f>MATCH($D312,Reference!$J$5:$J$9,0)</f>
        <v>4</v>
      </c>
      <c r="R312" s="452" t="str">
        <f>MATCH($E312,Reference!$J$26:$J$32,0)</f>
        <v>5</v>
      </c>
      <c r="S312" s="452" t="str">
        <f>MATCH($F312,Reference!$J$45:$J$54,0)</f>
        <v>7</v>
      </c>
      <c r="T312" s="453" t="str">
        <f>MATCH($K312,Reference!$J$37:$J$39,0)</f>
        <v>3</v>
      </c>
      <c r="U312" s="454" t="str">
        <f t="shared" si="539"/>
        <v>0</v>
      </c>
      <c r="V312" s="454" t="str">
        <f t="shared" si="3"/>
        <v>0</v>
      </c>
      <c r="W312" s="454" t="str">
        <f t="shared" si="596"/>
        <v>0</v>
      </c>
      <c r="X312" s="454" t="str">
        <f t="shared" si="540"/>
        <v>0</v>
      </c>
      <c r="Y312" s="456" t="str">
        <f t="shared" si="5"/>
        <v>TRUE</v>
      </c>
      <c r="Z312" s="456" t="str">
        <f t="shared" si="6"/>
        <v>FALSE</v>
      </c>
      <c r="AA312" s="457" t="str">
        <f t="shared" ref="AA312:AB312" si="601">1-I312</f>
        <v>0%</v>
      </c>
      <c r="AB312" s="457" t="str">
        <f t="shared" si="601"/>
        <v>0%</v>
      </c>
      <c r="AC312" s="456" t="str">
        <f t="shared" si="8"/>
        <v>0</v>
      </c>
      <c r="AD312" s="458" t="str">
        <f t="shared" si="542"/>
        <v>0</v>
      </c>
      <c r="AE312" s="458" t="str">
        <f t="shared" si="10"/>
        <v>0</v>
      </c>
      <c r="AF312" s="459" t="str">
        <f t="shared" si="598"/>
        <v>0</v>
      </c>
      <c r="AG312" s="460"/>
      <c r="AH312" s="14"/>
      <c r="AI312" s="14"/>
      <c r="AJ312" s="14"/>
      <c r="AK312" s="14"/>
      <c r="AL312" s="14"/>
      <c r="AM312" s="14"/>
      <c r="AN312" s="14"/>
      <c r="AO312" s="14"/>
      <c r="AP312" s="14"/>
      <c r="AQ312" s="14"/>
      <c r="AR312" s="14"/>
      <c r="AS312" s="14"/>
      <c r="AT312" s="14"/>
    </row>
    <row r="313">
      <c r="A313" s="469"/>
      <c r="B313" s="634">
        <v>5.0</v>
      </c>
      <c r="C313" s="635" t="s">
        <v>809</v>
      </c>
      <c r="D313" s="636" t="s">
        <v>22</v>
      </c>
      <c r="E313" s="636" t="s">
        <v>33</v>
      </c>
      <c r="F313" s="637" t="s">
        <v>72</v>
      </c>
      <c r="G313" s="639">
        <v>0.0</v>
      </c>
      <c r="H313" s="639">
        <v>0.0</v>
      </c>
      <c r="I313" s="640">
        <v>1.0</v>
      </c>
      <c r="J313" s="640">
        <v>1.0</v>
      </c>
      <c r="K313" s="641" t="s">
        <v>304</v>
      </c>
      <c r="L313" s="641"/>
      <c r="M313" s="641">
        <v>2.0</v>
      </c>
      <c r="N313" s="641">
        <v>8.0</v>
      </c>
      <c r="O313" s="642" t="s">
        <v>810</v>
      </c>
      <c r="P313" s="14"/>
      <c r="Q313" s="452" t="str">
        <f>MATCH($D313,Reference!$J$5:$J$9,0)</f>
        <v>4</v>
      </c>
      <c r="R313" s="452" t="str">
        <f>MATCH($E313,Reference!$J$26:$J$32,0)</f>
        <v>2</v>
      </c>
      <c r="S313" s="452" t="str">
        <f>MATCH($F313,Reference!$J$45:$J$54,0)</f>
        <v>7</v>
      </c>
      <c r="T313" s="453" t="str">
        <f>MATCH($K313,Reference!$J$37:$J$39,0)</f>
        <v>1</v>
      </c>
      <c r="U313" s="454" t="str">
        <f t="shared" si="539"/>
        <v>0</v>
      </c>
      <c r="V313" s="454" t="str">
        <f t="shared" si="3"/>
        <v>0</v>
      </c>
      <c r="W313" s="454" t="str">
        <f t="shared" si="596"/>
        <v>0</v>
      </c>
      <c r="X313" s="454" t="str">
        <f t="shared" si="540"/>
        <v>0</v>
      </c>
      <c r="Y313" s="456" t="str">
        <f t="shared" si="5"/>
        <v>TRUE</v>
      </c>
      <c r="Z313" s="456" t="str">
        <f t="shared" si="6"/>
        <v>FALSE</v>
      </c>
      <c r="AA313" s="457" t="str">
        <f t="shared" ref="AA313:AB313" si="602">1-I313</f>
        <v>0%</v>
      </c>
      <c r="AB313" s="457" t="str">
        <f t="shared" si="602"/>
        <v>0%</v>
      </c>
      <c r="AC313" s="456" t="str">
        <f t="shared" si="8"/>
        <v>0</v>
      </c>
      <c r="AD313" s="458" t="str">
        <f t="shared" si="542"/>
        <v>0</v>
      </c>
      <c r="AE313" s="458" t="str">
        <f t="shared" si="10"/>
        <v>0</v>
      </c>
      <c r="AF313" s="459" t="str">
        <f t="shared" si="598"/>
        <v>0</v>
      </c>
      <c r="AG313" s="460"/>
      <c r="AH313" s="14"/>
      <c r="AI313" s="14"/>
      <c r="AJ313" s="14"/>
      <c r="AK313" s="14"/>
      <c r="AL313" s="14"/>
      <c r="AM313" s="14"/>
      <c r="AN313" s="14"/>
      <c r="AO313" s="14"/>
      <c r="AP313" s="14"/>
      <c r="AQ313" s="14"/>
      <c r="AR313" s="14"/>
      <c r="AS313" s="14"/>
      <c r="AT313" s="14"/>
    </row>
    <row r="314">
      <c r="A314" s="682"/>
      <c r="B314" s="634">
        <v>5.0</v>
      </c>
      <c r="C314" s="635" t="s">
        <v>811</v>
      </c>
      <c r="D314" s="636" t="s">
        <v>22</v>
      </c>
      <c r="E314" s="636" t="s">
        <v>33</v>
      </c>
      <c r="F314" s="637" t="s">
        <v>72</v>
      </c>
      <c r="G314" s="639">
        <v>0.0</v>
      </c>
      <c r="H314" s="638">
        <v>0.0</v>
      </c>
      <c r="I314" s="640">
        <v>1.0</v>
      </c>
      <c r="J314" s="640">
        <v>1.0</v>
      </c>
      <c r="K314" s="641" t="s">
        <v>188</v>
      </c>
      <c r="L314" s="641"/>
      <c r="M314" s="641">
        <v>7.0</v>
      </c>
      <c r="N314" s="641">
        <v>8.0</v>
      </c>
      <c r="O314" s="642" t="s">
        <v>812</v>
      </c>
      <c r="P314" s="14"/>
      <c r="Q314" s="452" t="str">
        <f>MATCH($D314,Reference!$J$5:$J$9,0)</f>
        <v>4</v>
      </c>
      <c r="R314" s="452" t="str">
        <f>MATCH($E314,Reference!$J$26:$J$32,0)</f>
        <v>2</v>
      </c>
      <c r="S314" s="452" t="str">
        <f>MATCH($F314,Reference!$J$45:$J$54,0)</f>
        <v>7</v>
      </c>
      <c r="T314" s="453" t="str">
        <f>MATCH($K314,Reference!$J$37:$J$39,0)</f>
        <v>3</v>
      </c>
      <c r="U314" s="454" t="str">
        <f t="shared" si="539"/>
        <v>0</v>
      </c>
      <c r="V314" s="454" t="str">
        <f t="shared" si="3"/>
        <v>0</v>
      </c>
      <c r="W314" s="454" t="str">
        <f t="shared" si="596"/>
        <v>0</v>
      </c>
      <c r="X314" s="454" t="str">
        <f t="shared" si="540"/>
        <v>0</v>
      </c>
      <c r="Y314" s="456" t="str">
        <f t="shared" si="5"/>
        <v>TRUE</v>
      </c>
      <c r="Z314" s="456" t="str">
        <f t="shared" si="6"/>
        <v>FALSE</v>
      </c>
      <c r="AA314" s="457" t="str">
        <f t="shared" ref="AA314:AB314" si="603">1-I314</f>
        <v>0%</v>
      </c>
      <c r="AB314" s="457" t="str">
        <f t="shared" si="603"/>
        <v>0%</v>
      </c>
      <c r="AC314" s="456" t="str">
        <f t="shared" si="8"/>
        <v>0</v>
      </c>
      <c r="AD314" s="458" t="str">
        <f t="shared" si="542"/>
        <v>0</v>
      </c>
      <c r="AE314" s="458" t="str">
        <f t="shared" si="10"/>
        <v>0</v>
      </c>
      <c r="AF314" s="459" t="str">
        <f t="shared" si="598"/>
        <v>0</v>
      </c>
      <c r="AG314" s="460"/>
      <c r="AH314" s="14"/>
      <c r="AI314" s="14"/>
      <c r="AJ314" s="14"/>
      <c r="AK314" s="14"/>
      <c r="AL314" s="14"/>
      <c r="AM314" s="14"/>
      <c r="AN314" s="14"/>
      <c r="AO314" s="14"/>
      <c r="AP314" s="14"/>
      <c r="AQ314" s="14"/>
      <c r="AR314" s="14"/>
      <c r="AS314" s="14"/>
      <c r="AT314" s="14"/>
    </row>
    <row r="315">
      <c r="A315" s="442"/>
      <c r="B315" s="659">
        <v>6.0</v>
      </c>
      <c r="C315" s="660" t="s">
        <v>813</v>
      </c>
      <c r="D315" s="661" t="s">
        <v>23</v>
      </c>
      <c r="E315" s="662" t="s">
        <v>36</v>
      </c>
      <c r="F315" s="661" t="s">
        <v>72</v>
      </c>
      <c r="G315" s="663">
        <v>0.0</v>
      </c>
      <c r="H315" s="663">
        <v>0.0</v>
      </c>
      <c r="I315" s="664">
        <v>1.0</v>
      </c>
      <c r="J315" s="664">
        <v>1.0</v>
      </c>
      <c r="K315" s="662" t="s">
        <v>188</v>
      </c>
      <c r="L315" s="662"/>
      <c r="M315" s="662">
        <v>4.0</v>
      </c>
      <c r="N315" s="662">
        <v>4.0</v>
      </c>
      <c r="O315" s="665" t="s">
        <v>814</v>
      </c>
      <c r="P315" s="14"/>
      <c r="Q315" s="452" t="str">
        <f>MATCH($D315,Reference!$J$5:$J$9,0)</f>
        <v>5</v>
      </c>
      <c r="R315" s="452" t="str">
        <f>MATCH($E315,Reference!$J$26:$J$32,0)</f>
        <v>7</v>
      </c>
      <c r="S315" s="452" t="str">
        <f>MATCH($F315,Reference!$J$45:$J$54,0)</f>
        <v>7</v>
      </c>
      <c r="T315" s="453" t="str">
        <f>MATCH($K315,Reference!$J$37:$J$39,0)</f>
        <v>3</v>
      </c>
      <c r="U315" s="454" t="str">
        <f t="shared" ref="U315:U317" si="605">MIN((G315+H315),1)</f>
        <v>0</v>
      </c>
      <c r="V315" s="454" t="str">
        <f t="shared" si="3"/>
        <v>0</v>
      </c>
      <c r="W315" s="454" t="str">
        <f t="shared" ref="W315:W317" si="606">(MIN(G315,2)+H315-U315)*1600</f>
        <v>0</v>
      </c>
      <c r="X315" s="454" t="str">
        <f t="shared" ref="X315:X317" si="607">MIN((G315+H315+1),2)</f>
        <v>1</v>
      </c>
      <c r="Y315" s="456" t="str">
        <f t="shared" si="5"/>
        <v>TRUE</v>
      </c>
      <c r="Z315" s="456" t="str">
        <f t="shared" si="6"/>
        <v>TRUE</v>
      </c>
      <c r="AA315" s="457" t="str">
        <f t="shared" ref="AA315:AB315" si="604">1-I315</f>
        <v>0%</v>
      </c>
      <c r="AB315" s="457" t="str">
        <f t="shared" si="604"/>
        <v>0%</v>
      </c>
      <c r="AC315" s="456" t="str">
        <f t="shared" si="8"/>
        <v>0</v>
      </c>
      <c r="AD315" s="458" t="str">
        <f t="shared" ref="AD315:AD317" si="609">MIN((H315),1)</f>
        <v>0</v>
      </c>
      <c r="AE315" s="458" t="str">
        <f t="shared" si="10"/>
        <v>0</v>
      </c>
      <c r="AF315" s="459" t="str">
        <f t="shared" ref="AF315:AF317" si="610">(MIN(H315,2)+G315-U315)*400</f>
        <v>0</v>
      </c>
      <c r="AG315" s="460"/>
      <c r="AH315" s="14"/>
      <c r="AI315" s="14"/>
      <c r="AJ315" s="14"/>
      <c r="AK315" s="14"/>
      <c r="AL315" s="14"/>
      <c r="AM315" s="14"/>
      <c r="AN315" s="14"/>
      <c r="AO315" s="14"/>
      <c r="AP315" s="14"/>
      <c r="AQ315" s="14"/>
      <c r="AR315" s="14"/>
      <c r="AS315" s="14"/>
      <c r="AT315" s="14"/>
    </row>
    <row r="316">
      <c r="A316" s="442"/>
      <c r="B316" s="648">
        <v>7.0</v>
      </c>
      <c r="C316" s="649" t="s">
        <v>815</v>
      </c>
      <c r="D316" s="650" t="s">
        <v>23</v>
      </c>
      <c r="E316" s="650" t="s">
        <v>35</v>
      </c>
      <c r="F316" s="651" t="s">
        <v>72</v>
      </c>
      <c r="G316" s="653">
        <v>0.0</v>
      </c>
      <c r="H316" s="652">
        <v>0.0</v>
      </c>
      <c r="I316" s="654">
        <v>1.0</v>
      </c>
      <c r="J316" s="654"/>
      <c r="K316" s="650" t="s">
        <v>188</v>
      </c>
      <c r="L316" s="650"/>
      <c r="M316" s="651">
        <v>7.0</v>
      </c>
      <c r="N316" s="653">
        <v>7.0</v>
      </c>
      <c r="O316" s="655" t="s">
        <v>816</v>
      </c>
      <c r="P316" s="14"/>
      <c r="Q316" s="452" t="str">
        <f>MATCH($D316,Reference!$J$5:$J$9,0)</f>
        <v>5</v>
      </c>
      <c r="R316" s="452" t="str">
        <f>MATCH($E316,Reference!$J$26:$J$32,0)</f>
        <v>5</v>
      </c>
      <c r="S316" s="452" t="str">
        <f>MATCH($F316,Reference!$J$45:$J$54,0)</f>
        <v>7</v>
      </c>
      <c r="T316" s="453" t="str">
        <f>MATCH($K316,Reference!$J$37:$J$39,0)</f>
        <v>3</v>
      </c>
      <c r="U316" s="454" t="str">
        <f t="shared" si="605"/>
        <v>0</v>
      </c>
      <c r="V316" s="454" t="str">
        <f t="shared" si="3"/>
        <v>0</v>
      </c>
      <c r="W316" s="454" t="str">
        <f t="shared" si="606"/>
        <v>0</v>
      </c>
      <c r="X316" s="454" t="str">
        <f t="shared" si="607"/>
        <v>1</v>
      </c>
      <c r="Y316" s="456" t="str">
        <f t="shared" si="5"/>
        <v>TRUE</v>
      </c>
      <c r="Z316" s="456" t="str">
        <f t="shared" si="6"/>
        <v>TRUE</v>
      </c>
      <c r="AA316" s="457" t="str">
        <f t="shared" ref="AA316:AB316" si="608">1-I316</f>
        <v>0%</v>
      </c>
      <c r="AB316" s="457" t="str">
        <f t="shared" si="608"/>
        <v>100%</v>
      </c>
      <c r="AC316" s="456" t="str">
        <f t="shared" si="8"/>
        <v>1</v>
      </c>
      <c r="AD316" s="458" t="str">
        <f t="shared" si="609"/>
        <v>0</v>
      </c>
      <c r="AE316" s="458" t="str">
        <f t="shared" si="10"/>
        <v>0</v>
      </c>
      <c r="AF316" s="459" t="str">
        <f t="shared" si="610"/>
        <v>0</v>
      </c>
      <c r="AG316" s="460"/>
      <c r="AH316" s="14"/>
      <c r="AI316" s="14"/>
      <c r="AJ316" s="14"/>
      <c r="AK316" s="14"/>
      <c r="AL316" s="14"/>
      <c r="AM316" s="14"/>
      <c r="AN316" s="14"/>
      <c r="AO316" s="14"/>
      <c r="AP316" s="14"/>
      <c r="AQ316" s="14"/>
      <c r="AR316" s="14"/>
      <c r="AS316" s="14"/>
      <c r="AT316" s="14"/>
    </row>
    <row r="317">
      <c r="A317" s="442"/>
      <c r="B317" s="669">
        <v>8.0</v>
      </c>
      <c r="C317" s="670" t="s">
        <v>817</v>
      </c>
      <c r="D317" s="671" t="s">
        <v>23</v>
      </c>
      <c r="E317" s="671" t="s">
        <v>33</v>
      </c>
      <c r="F317" s="672" t="s">
        <v>72</v>
      </c>
      <c r="G317" s="673">
        <v>0.0</v>
      </c>
      <c r="H317" s="673">
        <v>0.0</v>
      </c>
      <c r="I317" s="728">
        <v>1.33</v>
      </c>
      <c r="J317" s="674"/>
      <c r="K317" s="675" t="s">
        <v>188</v>
      </c>
      <c r="L317" s="675"/>
      <c r="M317" s="675">
        <v>3.0</v>
      </c>
      <c r="N317" s="675">
        <v>5.0</v>
      </c>
      <c r="O317" s="676" t="s">
        <v>818</v>
      </c>
      <c r="P317" s="14"/>
      <c r="Q317" s="452" t="str">
        <f>MATCH($D317,Reference!$J$5:$J$9,0)</f>
        <v>5</v>
      </c>
      <c r="R317" s="452" t="str">
        <f>MATCH($E317,Reference!$J$26:$J$32,0)</f>
        <v>2</v>
      </c>
      <c r="S317" s="452" t="str">
        <f>MATCH($F317,Reference!$J$45:$J$54,0)</f>
        <v>7</v>
      </c>
      <c r="T317" s="453" t="str">
        <f>MATCH($K317,Reference!$J$37:$J$39,0)</f>
        <v>3</v>
      </c>
      <c r="U317" s="454" t="str">
        <f t="shared" si="605"/>
        <v>0</v>
      </c>
      <c r="V317" s="454" t="str">
        <f t="shared" si="3"/>
        <v>0</v>
      </c>
      <c r="W317" s="454" t="str">
        <f t="shared" si="606"/>
        <v>0</v>
      </c>
      <c r="X317" s="454" t="str">
        <f t="shared" si="607"/>
        <v>1</v>
      </c>
      <c r="Y317" s="456" t="str">
        <f t="shared" si="5"/>
        <v>TRUE</v>
      </c>
      <c r="Z317" s="456" t="str">
        <f t="shared" si="6"/>
        <v>TRUE</v>
      </c>
      <c r="AA317" s="457" t="str">
        <f t="shared" ref="AA317:AB317" si="611">1-I317</f>
        <v>-33%</v>
      </c>
      <c r="AB317" s="457" t="str">
        <f t="shared" si="611"/>
        <v>100%</v>
      </c>
      <c r="AC317" s="456" t="str">
        <f t="shared" si="8"/>
        <v>0.67</v>
      </c>
      <c r="AD317" s="458" t="str">
        <f t="shared" si="609"/>
        <v>0</v>
      </c>
      <c r="AE317" s="458" t="str">
        <f t="shared" si="10"/>
        <v>0</v>
      </c>
      <c r="AF317" s="459" t="str">
        <f t="shared" si="610"/>
        <v>0</v>
      </c>
      <c r="AG317" s="460"/>
      <c r="AH317" s="14"/>
      <c r="AI317" s="14"/>
      <c r="AJ317" s="14"/>
      <c r="AK317" s="14"/>
      <c r="AL317" s="14"/>
      <c r="AM317" s="14"/>
      <c r="AN317" s="14"/>
      <c r="AO317" s="14"/>
      <c r="AP317" s="14"/>
      <c r="AQ317" s="14"/>
      <c r="AR317" s="14"/>
      <c r="AS317" s="14"/>
      <c r="AT317" s="14"/>
    </row>
    <row r="318">
      <c r="A318" s="463"/>
      <c r="B318" s="443">
        <v>0.0</v>
      </c>
      <c r="C318" s="444" t="s">
        <v>819</v>
      </c>
      <c r="D318" s="445" t="s">
        <v>10</v>
      </c>
      <c r="E318" s="445" t="s">
        <v>10</v>
      </c>
      <c r="F318" s="445" t="s">
        <v>73</v>
      </c>
      <c r="G318" s="446" t="str">
        <f>COUNTIFS(Reference!F:F,C318,Reference!G:G,"&lt;="&amp;VLOOKUP($F318,Summary!$N$25:$O$33,2,0))</f>
        <v>2</v>
      </c>
      <c r="H318" s="447">
        <v>2.0</v>
      </c>
      <c r="I318" s="448">
        <v>1.0</v>
      </c>
      <c r="J318" s="448">
        <v>1.0</v>
      </c>
      <c r="K318" s="449" t="s">
        <v>162</v>
      </c>
      <c r="L318" s="449"/>
      <c r="M318" s="449"/>
      <c r="N318" s="449"/>
      <c r="O318" s="450" t="s">
        <v>820</v>
      </c>
      <c r="P318" s="14"/>
      <c r="Q318" s="452" t="str">
        <f>MATCH($D318,Reference!$J$5:$J$9,0)</f>
        <v>1</v>
      </c>
      <c r="R318" s="452" t="str">
        <f>MATCH($E318,Reference!$J$26:$J$32,0)</f>
        <v>1</v>
      </c>
      <c r="S318" s="452" t="str">
        <f>MATCH($F318,Reference!$J$45:$J$54,0)</f>
        <v>8</v>
      </c>
      <c r="T318" s="453" t="str">
        <f>MATCH($K318,Reference!$J$37:$J$39,0)</f>
        <v>2</v>
      </c>
      <c r="U318" s="454" t="str">
        <f t="shared" ref="U318:U359" si="613">MIN((G318+H318),2)</f>
        <v>2</v>
      </c>
      <c r="V318" s="454" t="str">
        <f t="shared" si="3"/>
        <v>1</v>
      </c>
      <c r="W318" s="455">
        <v>0.0</v>
      </c>
      <c r="X318" s="454" t="str">
        <f t="shared" ref="X318:X359" si="614">MIN((G318+H318),2)</f>
        <v>2</v>
      </c>
      <c r="Y318" s="456" t="str">
        <f t="shared" si="5"/>
        <v>FALSE</v>
      </c>
      <c r="Z318" s="456" t="str">
        <f t="shared" si="6"/>
        <v>FALSE</v>
      </c>
      <c r="AA318" s="457" t="str">
        <f t="shared" ref="AA318:AB318" si="612">1-I318</f>
        <v>0%</v>
      </c>
      <c r="AB318" s="457" t="str">
        <f t="shared" si="612"/>
        <v>0%</v>
      </c>
      <c r="AC318" s="456" t="str">
        <f t="shared" si="8"/>
        <v>2</v>
      </c>
      <c r="AD318" s="458" t="str">
        <f t="shared" ref="AD318:AD359" si="616">MIN((H318),2)</f>
        <v>2</v>
      </c>
      <c r="AE318" s="458" t="str">
        <f t="shared" si="10"/>
        <v>1</v>
      </c>
      <c r="AF318" s="459" t="str">
        <f t="shared" ref="AF318:AF327" si="617">(MIN(H318,2)+G318-U318)*0</f>
        <v>0</v>
      </c>
      <c r="AG318" s="460"/>
      <c r="AH318" s="14"/>
      <c r="AI318" s="14"/>
      <c r="AJ318" s="14"/>
      <c r="AK318" s="14"/>
      <c r="AL318" s="14"/>
      <c r="AM318" s="14"/>
      <c r="AN318" s="14"/>
      <c r="AO318" s="14"/>
      <c r="AP318" s="14"/>
      <c r="AQ318" s="14"/>
      <c r="AR318" s="14"/>
      <c r="AS318" s="14"/>
      <c r="AT318" s="14"/>
    </row>
    <row r="319">
      <c r="A319" s="463"/>
      <c r="B319" s="443">
        <v>1.0</v>
      </c>
      <c r="C319" s="444" t="s">
        <v>821</v>
      </c>
      <c r="D319" s="445" t="s">
        <v>10</v>
      </c>
      <c r="E319" s="445" t="s">
        <v>10</v>
      </c>
      <c r="F319" s="445" t="s">
        <v>73</v>
      </c>
      <c r="G319" s="446" t="str">
        <f>COUNTIFS(Reference!F:F,C319,Reference!G:G,"&lt;="&amp;VLOOKUP($F319,Summary!$N$25:$O$33,2,0))</f>
        <v>2</v>
      </c>
      <c r="H319" s="447">
        <v>0.0</v>
      </c>
      <c r="I319" s="448">
        <v>1.0</v>
      </c>
      <c r="J319" s="448">
        <v>1.0</v>
      </c>
      <c r="K319" s="449" t="s">
        <v>162</v>
      </c>
      <c r="L319" s="449"/>
      <c r="M319" s="449"/>
      <c r="N319" s="449"/>
      <c r="O319" s="450" t="s">
        <v>822</v>
      </c>
      <c r="P319" s="14"/>
      <c r="Q319" s="452" t="str">
        <f>MATCH($D319,Reference!$J$5:$J$9,0)</f>
        <v>1</v>
      </c>
      <c r="R319" s="452" t="str">
        <f>MATCH($E319,Reference!$J$26:$J$32,0)</f>
        <v>1</v>
      </c>
      <c r="S319" s="452" t="str">
        <f>MATCH($F319,Reference!$J$45:$J$54,0)</f>
        <v>8</v>
      </c>
      <c r="T319" s="453" t="str">
        <f>MATCH($K319,Reference!$J$37:$J$39,0)</f>
        <v>2</v>
      </c>
      <c r="U319" s="454" t="str">
        <f t="shared" si="613"/>
        <v>2</v>
      </c>
      <c r="V319" s="454" t="str">
        <f t="shared" si="3"/>
        <v>1</v>
      </c>
      <c r="W319" s="455">
        <v>0.0</v>
      </c>
      <c r="X319" s="454" t="str">
        <f t="shared" si="614"/>
        <v>2</v>
      </c>
      <c r="Y319" s="456" t="str">
        <f t="shared" si="5"/>
        <v>FALSE</v>
      </c>
      <c r="Z319" s="456" t="str">
        <f t="shared" si="6"/>
        <v>FALSE</v>
      </c>
      <c r="AA319" s="457" t="str">
        <f t="shared" ref="AA319:AB319" si="615">1-I319</f>
        <v>0%</v>
      </c>
      <c r="AB319" s="457" t="str">
        <f t="shared" si="615"/>
        <v>0%</v>
      </c>
      <c r="AC319" s="456" t="str">
        <f t="shared" si="8"/>
        <v>2</v>
      </c>
      <c r="AD319" s="458" t="str">
        <f t="shared" si="616"/>
        <v>0</v>
      </c>
      <c r="AE319" s="458" t="str">
        <f t="shared" si="10"/>
        <v>1</v>
      </c>
      <c r="AF319" s="459" t="str">
        <f t="shared" si="617"/>
        <v>0</v>
      </c>
      <c r="AG319" s="460"/>
      <c r="AH319" s="14"/>
      <c r="AI319" s="14"/>
      <c r="AJ319" s="14"/>
      <c r="AK319" s="14"/>
      <c r="AL319" s="14"/>
      <c r="AM319" s="14"/>
      <c r="AN319" s="14"/>
      <c r="AO319" s="14"/>
      <c r="AP319" s="14"/>
      <c r="AQ319" s="14"/>
      <c r="AR319" s="14"/>
      <c r="AS319" s="14"/>
      <c r="AT319" s="14"/>
    </row>
    <row r="320">
      <c r="A320" s="466"/>
      <c r="B320" s="467">
        <v>1.0</v>
      </c>
      <c r="C320" s="468" t="s">
        <v>823</v>
      </c>
      <c r="D320" s="445" t="s">
        <v>10</v>
      </c>
      <c r="E320" s="445" t="s">
        <v>10</v>
      </c>
      <c r="F320" s="445" t="s">
        <v>73</v>
      </c>
      <c r="G320" s="446" t="str">
        <f>COUNTIFS(Reference!F:F,C320,Reference!G:G,"&lt;="&amp;VLOOKUP($F320,Summary!$N$25:$O$33,2,0))</f>
        <v>2</v>
      </c>
      <c r="H320" s="447">
        <v>0.0</v>
      </c>
      <c r="I320" s="448">
        <v>1.0</v>
      </c>
      <c r="J320" s="448">
        <v>1.0</v>
      </c>
      <c r="K320" s="445" t="s">
        <v>162</v>
      </c>
      <c r="L320" s="445"/>
      <c r="M320" s="445"/>
      <c r="N320" s="446"/>
      <c r="O320" s="450" t="s">
        <v>824</v>
      </c>
      <c r="P320" s="14"/>
      <c r="Q320" s="452" t="str">
        <f>MATCH($D320,Reference!$J$5:$J$9,0)</f>
        <v>1</v>
      </c>
      <c r="R320" s="452" t="str">
        <f>MATCH($E320,Reference!$J$26:$J$32,0)</f>
        <v>1</v>
      </c>
      <c r="S320" s="452" t="str">
        <f>MATCH($F320,Reference!$J$45:$J$54,0)</f>
        <v>8</v>
      </c>
      <c r="T320" s="453" t="str">
        <f>MATCH($K320,Reference!$J$37:$J$39,0)</f>
        <v>2</v>
      </c>
      <c r="U320" s="454" t="str">
        <f t="shared" si="613"/>
        <v>2</v>
      </c>
      <c r="V320" s="454" t="str">
        <f t="shared" si="3"/>
        <v>1</v>
      </c>
      <c r="W320" s="455">
        <v>0.0</v>
      </c>
      <c r="X320" s="454" t="str">
        <f t="shared" si="614"/>
        <v>2</v>
      </c>
      <c r="Y320" s="456" t="str">
        <f t="shared" si="5"/>
        <v>FALSE</v>
      </c>
      <c r="Z320" s="456" t="str">
        <f t="shared" si="6"/>
        <v>FALSE</v>
      </c>
      <c r="AA320" s="457" t="str">
        <f t="shared" ref="AA320:AB320" si="618">1-I320</f>
        <v>0%</v>
      </c>
      <c r="AB320" s="457" t="str">
        <f t="shared" si="618"/>
        <v>0%</v>
      </c>
      <c r="AC320" s="456" t="str">
        <f t="shared" si="8"/>
        <v>2</v>
      </c>
      <c r="AD320" s="458" t="str">
        <f t="shared" si="616"/>
        <v>0</v>
      </c>
      <c r="AE320" s="458" t="str">
        <f t="shared" si="10"/>
        <v>1</v>
      </c>
      <c r="AF320" s="459" t="str">
        <f t="shared" si="617"/>
        <v>0</v>
      </c>
      <c r="AG320" s="460"/>
      <c r="AH320" s="14"/>
      <c r="AI320" s="14"/>
      <c r="AJ320" s="14"/>
      <c r="AK320" s="14"/>
      <c r="AL320" s="14"/>
      <c r="AM320" s="14"/>
      <c r="AN320" s="14"/>
      <c r="AO320" s="14"/>
      <c r="AP320" s="14"/>
      <c r="AQ320" s="14"/>
      <c r="AR320" s="14"/>
      <c r="AS320" s="14"/>
      <c r="AT320" s="14"/>
    </row>
    <row r="321">
      <c r="A321" s="442"/>
      <c r="B321" s="443">
        <v>1.0</v>
      </c>
      <c r="C321" s="444" t="s">
        <v>825</v>
      </c>
      <c r="D321" s="445" t="s">
        <v>10</v>
      </c>
      <c r="E321" s="445" t="s">
        <v>10</v>
      </c>
      <c r="F321" s="445" t="s">
        <v>73</v>
      </c>
      <c r="G321" s="446" t="str">
        <f>COUNTIFS(Reference!F:F,C321,Reference!G:G,"&lt;="&amp;VLOOKUP($F321,Summary!$N$25:$O$33,2,0))</f>
        <v>2</v>
      </c>
      <c r="H321" s="447">
        <v>2.0</v>
      </c>
      <c r="I321" s="448">
        <v>1.0</v>
      </c>
      <c r="J321" s="448">
        <v>1.0</v>
      </c>
      <c r="K321" s="449" t="s">
        <v>162</v>
      </c>
      <c r="L321" s="449"/>
      <c r="M321" s="449"/>
      <c r="N321" s="449"/>
      <c r="O321" s="450" t="s">
        <v>826</v>
      </c>
      <c r="P321" s="14"/>
      <c r="Q321" s="452" t="str">
        <f>MATCH($D321,Reference!$J$5:$J$9,0)</f>
        <v>1</v>
      </c>
      <c r="R321" s="452" t="str">
        <f>MATCH($E321,Reference!$J$26:$J$32,0)</f>
        <v>1</v>
      </c>
      <c r="S321" s="452" t="str">
        <f>MATCH($F321,Reference!$J$45:$J$54,0)</f>
        <v>8</v>
      </c>
      <c r="T321" s="453" t="str">
        <f>MATCH($K321,Reference!$J$37:$J$39,0)</f>
        <v>2</v>
      </c>
      <c r="U321" s="454" t="str">
        <f t="shared" si="613"/>
        <v>2</v>
      </c>
      <c r="V321" s="454" t="str">
        <f t="shared" si="3"/>
        <v>1</v>
      </c>
      <c r="W321" s="455">
        <v>0.0</v>
      </c>
      <c r="X321" s="454" t="str">
        <f t="shared" si="614"/>
        <v>2</v>
      </c>
      <c r="Y321" s="456" t="str">
        <f t="shared" si="5"/>
        <v>FALSE</v>
      </c>
      <c r="Z321" s="456" t="str">
        <f t="shared" si="6"/>
        <v>FALSE</v>
      </c>
      <c r="AA321" s="457" t="str">
        <f t="shared" ref="AA321:AB321" si="619">1-I321</f>
        <v>0%</v>
      </c>
      <c r="AB321" s="457" t="str">
        <f t="shared" si="619"/>
        <v>0%</v>
      </c>
      <c r="AC321" s="456" t="str">
        <f t="shared" si="8"/>
        <v>2</v>
      </c>
      <c r="AD321" s="458" t="str">
        <f t="shared" si="616"/>
        <v>2</v>
      </c>
      <c r="AE321" s="458" t="str">
        <f t="shared" si="10"/>
        <v>1</v>
      </c>
      <c r="AF321" s="459" t="str">
        <f t="shared" si="617"/>
        <v>0</v>
      </c>
      <c r="AG321" s="460"/>
      <c r="AH321" s="14"/>
      <c r="AI321" s="14"/>
      <c r="AJ321" s="14"/>
      <c r="AK321" s="14"/>
      <c r="AL321" s="14"/>
      <c r="AM321" s="14"/>
      <c r="AN321" s="14"/>
      <c r="AO321" s="14"/>
      <c r="AP321" s="14"/>
      <c r="AQ321" s="14"/>
      <c r="AR321" s="14"/>
      <c r="AS321" s="14"/>
      <c r="AT321" s="14"/>
    </row>
    <row r="322">
      <c r="A322" s="463"/>
      <c r="B322" s="443">
        <v>1.0</v>
      </c>
      <c r="C322" s="444" t="s">
        <v>827</v>
      </c>
      <c r="D322" s="445" t="s">
        <v>10</v>
      </c>
      <c r="E322" s="445" t="s">
        <v>10</v>
      </c>
      <c r="F322" s="445" t="s">
        <v>73</v>
      </c>
      <c r="G322" s="446" t="str">
        <f>COUNTIFS(Reference!F:F,C322,Reference!G:G,"&lt;="&amp;VLOOKUP($F322,Summary!$N$25:$O$33,2,0))</f>
        <v>2</v>
      </c>
      <c r="H322" s="447">
        <v>0.0</v>
      </c>
      <c r="I322" s="448">
        <v>1.0</v>
      </c>
      <c r="J322" s="448">
        <v>1.0</v>
      </c>
      <c r="K322" s="449" t="s">
        <v>188</v>
      </c>
      <c r="L322" s="449" t="s">
        <v>828</v>
      </c>
      <c r="M322" s="449">
        <v>1.0</v>
      </c>
      <c r="N322" s="449">
        <v>3.0</v>
      </c>
      <c r="O322" s="450" t="s">
        <v>189</v>
      </c>
      <c r="P322" s="14"/>
      <c r="Q322" s="452" t="str">
        <f>MATCH($D322,Reference!$J$5:$J$9,0)</f>
        <v>1</v>
      </c>
      <c r="R322" s="452" t="str">
        <f>MATCH($E322,Reference!$J$26:$J$32,0)</f>
        <v>1</v>
      </c>
      <c r="S322" s="452" t="str">
        <f>MATCH($F322,Reference!$J$45:$J$54,0)</f>
        <v>8</v>
      </c>
      <c r="T322" s="453" t="str">
        <f>MATCH($K322,Reference!$J$37:$J$39,0)</f>
        <v>3</v>
      </c>
      <c r="U322" s="454" t="str">
        <f t="shared" si="613"/>
        <v>2</v>
      </c>
      <c r="V322" s="454" t="str">
        <f t="shared" si="3"/>
        <v>1</v>
      </c>
      <c r="W322" s="455">
        <v>0.0</v>
      </c>
      <c r="X322" s="454" t="str">
        <f t="shared" si="614"/>
        <v>2</v>
      </c>
      <c r="Y322" s="456" t="str">
        <f t="shared" si="5"/>
        <v>FALSE</v>
      </c>
      <c r="Z322" s="456" t="str">
        <f t="shared" si="6"/>
        <v>FALSE</v>
      </c>
      <c r="AA322" s="457" t="str">
        <f t="shared" ref="AA322:AB322" si="620">1-I322</f>
        <v>0%</v>
      </c>
      <c r="AB322" s="457" t="str">
        <f t="shared" si="620"/>
        <v>0%</v>
      </c>
      <c r="AC322" s="456" t="str">
        <f t="shared" si="8"/>
        <v>2</v>
      </c>
      <c r="AD322" s="458" t="str">
        <f t="shared" si="616"/>
        <v>0</v>
      </c>
      <c r="AE322" s="458" t="str">
        <f t="shared" si="10"/>
        <v>1</v>
      </c>
      <c r="AF322" s="459" t="str">
        <f t="shared" si="617"/>
        <v>0</v>
      </c>
      <c r="AG322" s="460"/>
      <c r="AH322" s="14"/>
      <c r="AI322" s="14"/>
      <c r="AJ322" s="14"/>
      <c r="AK322" s="14"/>
      <c r="AL322" s="14"/>
      <c r="AM322" s="14"/>
      <c r="AN322" s="14"/>
      <c r="AO322" s="14"/>
      <c r="AP322" s="14"/>
      <c r="AQ322" s="14"/>
      <c r="AR322" s="14"/>
      <c r="AS322" s="14"/>
      <c r="AT322" s="14"/>
    </row>
    <row r="323">
      <c r="A323" s="442"/>
      <c r="B323" s="443">
        <v>2.0</v>
      </c>
      <c r="C323" s="444" t="s">
        <v>829</v>
      </c>
      <c r="D323" s="445" t="s">
        <v>10</v>
      </c>
      <c r="E323" s="445" t="s">
        <v>10</v>
      </c>
      <c r="F323" s="445" t="s">
        <v>73</v>
      </c>
      <c r="G323" s="446" t="str">
        <f>COUNTIFS(Reference!F:F,C323,Reference!G:G,"&lt;="&amp;VLOOKUP($F323,Summary!$N$25:$O$33,2,0))</f>
        <v>2</v>
      </c>
      <c r="H323" s="447">
        <v>0.0</v>
      </c>
      <c r="I323" s="448">
        <v>1.0</v>
      </c>
      <c r="J323" s="448">
        <v>1.0</v>
      </c>
      <c r="K323" s="449" t="s">
        <v>188</v>
      </c>
      <c r="L323" s="449" t="s">
        <v>828</v>
      </c>
      <c r="M323" s="449">
        <v>4.0</v>
      </c>
      <c r="N323" s="449">
        <v>3.0</v>
      </c>
      <c r="O323" s="450" t="s">
        <v>830</v>
      </c>
      <c r="P323" s="14"/>
      <c r="Q323" s="452" t="str">
        <f>MATCH($D323,Reference!$J$5:$J$9,0)</f>
        <v>1</v>
      </c>
      <c r="R323" s="452" t="str">
        <f>MATCH($E323,Reference!$J$26:$J$32,0)</f>
        <v>1</v>
      </c>
      <c r="S323" s="452" t="str">
        <f>MATCH($F323,Reference!$J$45:$J$54,0)</f>
        <v>8</v>
      </c>
      <c r="T323" s="453" t="str">
        <f>MATCH($K323,Reference!$J$37:$J$39,0)</f>
        <v>3</v>
      </c>
      <c r="U323" s="454" t="str">
        <f t="shared" si="613"/>
        <v>2</v>
      </c>
      <c r="V323" s="454" t="str">
        <f t="shared" si="3"/>
        <v>1</v>
      </c>
      <c r="W323" s="455">
        <v>0.0</v>
      </c>
      <c r="X323" s="454" t="str">
        <f t="shared" si="614"/>
        <v>2</v>
      </c>
      <c r="Y323" s="456" t="str">
        <f t="shared" si="5"/>
        <v>FALSE</v>
      </c>
      <c r="Z323" s="456" t="str">
        <f t="shared" si="6"/>
        <v>FALSE</v>
      </c>
      <c r="AA323" s="457" t="str">
        <f t="shared" ref="AA323:AB323" si="621">1-I323</f>
        <v>0%</v>
      </c>
      <c r="AB323" s="457" t="str">
        <f t="shared" si="621"/>
        <v>0%</v>
      </c>
      <c r="AC323" s="456" t="str">
        <f t="shared" si="8"/>
        <v>2</v>
      </c>
      <c r="AD323" s="458" t="str">
        <f t="shared" si="616"/>
        <v>0</v>
      </c>
      <c r="AE323" s="458" t="str">
        <f t="shared" si="10"/>
        <v>1</v>
      </c>
      <c r="AF323" s="459" t="str">
        <f t="shared" si="617"/>
        <v>0</v>
      </c>
      <c r="AG323" s="460"/>
      <c r="AH323" s="14"/>
      <c r="AI323" s="14"/>
      <c r="AJ323" s="14"/>
      <c r="AK323" s="14"/>
      <c r="AL323" s="14"/>
      <c r="AM323" s="14"/>
      <c r="AN323" s="14"/>
      <c r="AO323" s="14"/>
      <c r="AP323" s="14"/>
      <c r="AQ323" s="14"/>
      <c r="AR323" s="14"/>
      <c r="AS323" s="14"/>
      <c r="AT323" s="14"/>
    </row>
    <row r="324">
      <c r="A324" s="463"/>
      <c r="B324" s="467">
        <v>3.0</v>
      </c>
      <c r="C324" s="468" t="s">
        <v>831</v>
      </c>
      <c r="D324" s="445" t="s">
        <v>10</v>
      </c>
      <c r="E324" s="445" t="s">
        <v>10</v>
      </c>
      <c r="F324" s="445" t="s">
        <v>73</v>
      </c>
      <c r="G324" s="446" t="str">
        <f>COUNTIFS(Reference!F:F,C324,Reference!G:G,"&lt;="&amp;VLOOKUP($F324,Summary!$N$25:$O$33,2,0))</f>
        <v>2</v>
      </c>
      <c r="H324" s="447">
        <v>0.0</v>
      </c>
      <c r="I324" s="448">
        <v>1.0</v>
      </c>
      <c r="J324" s="448">
        <v>1.0</v>
      </c>
      <c r="K324" s="449" t="s">
        <v>162</v>
      </c>
      <c r="L324" s="449"/>
      <c r="M324" s="449"/>
      <c r="N324" s="449"/>
      <c r="O324" s="450" t="s">
        <v>832</v>
      </c>
      <c r="P324" s="14"/>
      <c r="Q324" s="452" t="str">
        <f>MATCH($D324,Reference!$J$5:$J$9,0)</f>
        <v>1</v>
      </c>
      <c r="R324" s="452" t="str">
        <f>MATCH($E324,Reference!$J$26:$J$32,0)</f>
        <v>1</v>
      </c>
      <c r="S324" s="452" t="str">
        <f>MATCH($F324,Reference!$J$45:$J$54,0)</f>
        <v>8</v>
      </c>
      <c r="T324" s="453" t="str">
        <f>MATCH($K324,Reference!$J$37:$J$39,0)</f>
        <v>2</v>
      </c>
      <c r="U324" s="454" t="str">
        <f t="shared" si="613"/>
        <v>2</v>
      </c>
      <c r="V324" s="454" t="str">
        <f t="shared" si="3"/>
        <v>1</v>
      </c>
      <c r="W324" s="455">
        <v>0.0</v>
      </c>
      <c r="X324" s="454" t="str">
        <f t="shared" si="614"/>
        <v>2</v>
      </c>
      <c r="Y324" s="456" t="str">
        <f t="shared" si="5"/>
        <v>FALSE</v>
      </c>
      <c r="Z324" s="456" t="str">
        <f t="shared" si="6"/>
        <v>FALSE</v>
      </c>
      <c r="AA324" s="457" t="str">
        <f t="shared" ref="AA324:AB324" si="622">1-I324</f>
        <v>0%</v>
      </c>
      <c r="AB324" s="457" t="str">
        <f t="shared" si="622"/>
        <v>0%</v>
      </c>
      <c r="AC324" s="456" t="str">
        <f t="shared" si="8"/>
        <v>2</v>
      </c>
      <c r="AD324" s="458" t="str">
        <f t="shared" si="616"/>
        <v>0</v>
      </c>
      <c r="AE324" s="458" t="str">
        <f t="shared" si="10"/>
        <v>1</v>
      </c>
      <c r="AF324" s="459" t="str">
        <f t="shared" si="617"/>
        <v>0</v>
      </c>
      <c r="AG324" s="460"/>
      <c r="AH324" s="14"/>
      <c r="AI324" s="14"/>
      <c r="AJ324" s="14"/>
      <c r="AK324" s="14"/>
      <c r="AL324" s="14"/>
      <c r="AM324" s="14"/>
      <c r="AN324" s="14"/>
      <c r="AO324" s="14"/>
      <c r="AP324" s="14"/>
      <c r="AQ324" s="14"/>
      <c r="AR324" s="14"/>
      <c r="AS324" s="14"/>
      <c r="AT324" s="14"/>
    </row>
    <row r="325">
      <c r="A325" s="463"/>
      <c r="B325" s="467">
        <v>3.0</v>
      </c>
      <c r="C325" s="468" t="s">
        <v>833</v>
      </c>
      <c r="D325" s="445" t="s">
        <v>10</v>
      </c>
      <c r="E325" s="445" t="s">
        <v>10</v>
      </c>
      <c r="F325" s="445" t="s">
        <v>73</v>
      </c>
      <c r="G325" s="446" t="str">
        <f>COUNTIFS(Reference!F:F,C325,Reference!G:G,"&lt;="&amp;VLOOKUP($F325,Summary!$N$25:$O$33,2,0))</f>
        <v>2</v>
      </c>
      <c r="H325" s="447">
        <v>0.0</v>
      </c>
      <c r="I325" s="448">
        <v>1.0</v>
      </c>
      <c r="J325" s="448">
        <v>1.0</v>
      </c>
      <c r="K325" s="449" t="s">
        <v>162</v>
      </c>
      <c r="L325" s="449"/>
      <c r="M325" s="449"/>
      <c r="N325" s="449"/>
      <c r="O325" s="450" t="s">
        <v>834</v>
      </c>
      <c r="P325" s="14"/>
      <c r="Q325" s="452" t="str">
        <f>MATCH($D325,Reference!$J$5:$J$9,0)</f>
        <v>1</v>
      </c>
      <c r="R325" s="452" t="str">
        <f>MATCH($E325,Reference!$J$26:$J$32,0)</f>
        <v>1</v>
      </c>
      <c r="S325" s="452" t="str">
        <f>MATCH($F325,Reference!$J$45:$J$54,0)</f>
        <v>8</v>
      </c>
      <c r="T325" s="453" t="str">
        <f>MATCH($K325,Reference!$J$37:$J$39,0)</f>
        <v>2</v>
      </c>
      <c r="U325" s="454" t="str">
        <f t="shared" si="613"/>
        <v>2</v>
      </c>
      <c r="V325" s="454" t="str">
        <f t="shared" si="3"/>
        <v>1</v>
      </c>
      <c r="W325" s="455">
        <v>0.0</v>
      </c>
      <c r="X325" s="454" t="str">
        <f t="shared" si="614"/>
        <v>2</v>
      </c>
      <c r="Y325" s="456" t="str">
        <f t="shared" si="5"/>
        <v>FALSE</v>
      </c>
      <c r="Z325" s="456" t="str">
        <f t="shared" si="6"/>
        <v>FALSE</v>
      </c>
      <c r="AA325" s="457" t="str">
        <f t="shared" ref="AA325:AB325" si="623">1-I325</f>
        <v>0%</v>
      </c>
      <c r="AB325" s="457" t="str">
        <f t="shared" si="623"/>
        <v>0%</v>
      </c>
      <c r="AC325" s="456" t="str">
        <f t="shared" si="8"/>
        <v>2</v>
      </c>
      <c r="AD325" s="458" t="str">
        <f t="shared" si="616"/>
        <v>0</v>
      </c>
      <c r="AE325" s="458" t="str">
        <f t="shared" si="10"/>
        <v>1</v>
      </c>
      <c r="AF325" s="459" t="str">
        <f t="shared" si="617"/>
        <v>0</v>
      </c>
      <c r="AG325" s="460"/>
      <c r="AH325" s="14"/>
      <c r="AI325" s="14"/>
      <c r="AJ325" s="14"/>
      <c r="AK325" s="14"/>
      <c r="AL325" s="14"/>
      <c r="AM325" s="14"/>
      <c r="AN325" s="14"/>
      <c r="AO325" s="14"/>
      <c r="AP325" s="14"/>
      <c r="AQ325" s="14"/>
      <c r="AR325" s="14"/>
      <c r="AS325" s="14"/>
      <c r="AT325" s="14"/>
    </row>
    <row r="326">
      <c r="A326" s="442"/>
      <c r="B326" s="467">
        <v>4.0</v>
      </c>
      <c r="C326" s="468" t="s">
        <v>835</v>
      </c>
      <c r="D326" s="445" t="s">
        <v>10</v>
      </c>
      <c r="E326" s="445" t="s">
        <v>10</v>
      </c>
      <c r="F326" s="445" t="s">
        <v>73</v>
      </c>
      <c r="G326" s="446" t="str">
        <f>COUNTIFS(Reference!F:F,C326,Reference!G:G,"&lt;="&amp;VLOOKUP($F326,Summary!$N$25:$O$33,2,0))</f>
        <v>2</v>
      </c>
      <c r="H326" s="447">
        <v>0.0</v>
      </c>
      <c r="I326" s="448">
        <v>1.0</v>
      </c>
      <c r="J326" s="448">
        <v>1.0</v>
      </c>
      <c r="K326" s="449" t="s">
        <v>162</v>
      </c>
      <c r="L326" s="449"/>
      <c r="M326" s="449"/>
      <c r="N326" s="449"/>
      <c r="O326" s="450" t="s">
        <v>836</v>
      </c>
      <c r="P326" s="14"/>
      <c r="Q326" s="452" t="str">
        <f>MATCH($D326,Reference!$J$5:$J$9,0)</f>
        <v>1</v>
      </c>
      <c r="R326" s="452" t="str">
        <f>MATCH($E326,Reference!$J$26:$J$32,0)</f>
        <v>1</v>
      </c>
      <c r="S326" s="452" t="str">
        <f>MATCH($F326,Reference!$J$45:$J$54,0)</f>
        <v>8</v>
      </c>
      <c r="T326" s="453" t="str">
        <f>MATCH($K326,Reference!$J$37:$J$39,0)</f>
        <v>2</v>
      </c>
      <c r="U326" s="454" t="str">
        <f t="shared" si="613"/>
        <v>2</v>
      </c>
      <c r="V326" s="454" t="str">
        <f t="shared" si="3"/>
        <v>1</v>
      </c>
      <c r="W326" s="455">
        <v>0.0</v>
      </c>
      <c r="X326" s="454" t="str">
        <f t="shared" si="614"/>
        <v>2</v>
      </c>
      <c r="Y326" s="456" t="str">
        <f t="shared" si="5"/>
        <v>FALSE</v>
      </c>
      <c r="Z326" s="456" t="str">
        <f t="shared" si="6"/>
        <v>FALSE</v>
      </c>
      <c r="AA326" s="457" t="str">
        <f t="shared" ref="AA326:AB326" si="624">1-I326</f>
        <v>0%</v>
      </c>
      <c r="AB326" s="457" t="str">
        <f t="shared" si="624"/>
        <v>0%</v>
      </c>
      <c r="AC326" s="456" t="str">
        <f t="shared" si="8"/>
        <v>2</v>
      </c>
      <c r="AD326" s="458" t="str">
        <f t="shared" si="616"/>
        <v>0</v>
      </c>
      <c r="AE326" s="458" t="str">
        <f t="shared" si="10"/>
        <v>1</v>
      </c>
      <c r="AF326" s="459" t="str">
        <f t="shared" si="617"/>
        <v>0</v>
      </c>
      <c r="AG326" s="460"/>
      <c r="AH326" s="14"/>
      <c r="AI326" s="14"/>
      <c r="AJ326" s="14"/>
      <c r="AK326" s="14"/>
      <c r="AL326" s="14"/>
      <c r="AM326" s="14"/>
      <c r="AN326" s="14"/>
      <c r="AO326" s="14"/>
      <c r="AP326" s="14"/>
      <c r="AQ326" s="14"/>
      <c r="AR326" s="14"/>
      <c r="AS326" s="14"/>
      <c r="AT326" s="14"/>
    </row>
    <row r="327">
      <c r="A327" s="466"/>
      <c r="B327" s="443">
        <v>6.0</v>
      </c>
      <c r="C327" s="444" t="s">
        <v>837</v>
      </c>
      <c r="D327" s="445" t="s">
        <v>10</v>
      </c>
      <c r="E327" s="445" t="s">
        <v>10</v>
      </c>
      <c r="F327" s="445" t="s">
        <v>73</v>
      </c>
      <c r="G327" s="446" t="str">
        <f>COUNTIFS(Reference!F:F,C327,Reference!G:G,"&lt;="&amp;VLOOKUP($F327,Summary!$N$25:$O$33,2,0))</f>
        <v>2</v>
      </c>
      <c r="H327" s="447">
        <v>2.0</v>
      </c>
      <c r="I327" s="448">
        <v>1.0</v>
      </c>
      <c r="J327" s="448">
        <v>1.0</v>
      </c>
      <c r="K327" s="449" t="s">
        <v>188</v>
      </c>
      <c r="L327" s="449" t="s">
        <v>828</v>
      </c>
      <c r="M327" s="449">
        <v>6.0</v>
      </c>
      <c r="N327" s="449">
        <v>6.0</v>
      </c>
      <c r="O327" s="450" t="s">
        <v>838</v>
      </c>
      <c r="P327" s="14"/>
      <c r="Q327" s="452" t="str">
        <f>MATCH($D327,Reference!$J$5:$J$9,0)</f>
        <v>1</v>
      </c>
      <c r="R327" s="452" t="str">
        <f>MATCH($E327,Reference!$J$26:$J$32,0)</f>
        <v>1</v>
      </c>
      <c r="S327" s="452" t="str">
        <f>MATCH($F327,Reference!$J$45:$J$54,0)</f>
        <v>8</v>
      </c>
      <c r="T327" s="453" t="str">
        <f>MATCH($K327,Reference!$J$37:$J$39,0)</f>
        <v>3</v>
      </c>
      <c r="U327" s="454" t="str">
        <f t="shared" si="613"/>
        <v>2</v>
      </c>
      <c r="V327" s="454" t="str">
        <f t="shared" si="3"/>
        <v>1</v>
      </c>
      <c r="W327" s="455">
        <v>0.0</v>
      </c>
      <c r="X327" s="454" t="str">
        <f t="shared" si="614"/>
        <v>2</v>
      </c>
      <c r="Y327" s="456" t="str">
        <f t="shared" si="5"/>
        <v>FALSE</v>
      </c>
      <c r="Z327" s="456" t="str">
        <f t="shared" si="6"/>
        <v>FALSE</v>
      </c>
      <c r="AA327" s="457" t="str">
        <f t="shared" ref="AA327:AB327" si="625">1-I327</f>
        <v>0%</v>
      </c>
      <c r="AB327" s="457" t="str">
        <f t="shared" si="625"/>
        <v>0%</v>
      </c>
      <c r="AC327" s="456" t="str">
        <f t="shared" si="8"/>
        <v>2</v>
      </c>
      <c r="AD327" s="458" t="str">
        <f t="shared" si="616"/>
        <v>2</v>
      </c>
      <c r="AE327" s="458" t="str">
        <f t="shared" si="10"/>
        <v>1</v>
      </c>
      <c r="AF327" s="459" t="str">
        <f t="shared" si="617"/>
        <v>0</v>
      </c>
      <c r="AG327" s="460"/>
      <c r="AH327" s="14"/>
      <c r="AI327" s="14"/>
      <c r="AJ327" s="14"/>
      <c r="AK327" s="14"/>
      <c r="AL327" s="14"/>
      <c r="AM327" s="14"/>
      <c r="AN327" s="14"/>
      <c r="AO327" s="14"/>
      <c r="AP327" s="14"/>
      <c r="AQ327" s="14"/>
      <c r="AR327" s="14"/>
      <c r="AS327" s="14"/>
      <c r="AT327" s="14"/>
    </row>
    <row r="328">
      <c r="A328" s="463"/>
      <c r="B328" s="509">
        <v>1.0</v>
      </c>
      <c r="C328" s="510" t="s">
        <v>839</v>
      </c>
      <c r="D328" s="511" t="s">
        <v>15</v>
      </c>
      <c r="E328" s="511" t="s">
        <v>33</v>
      </c>
      <c r="F328" s="512" t="s">
        <v>73</v>
      </c>
      <c r="G328" s="508">
        <v>2.0</v>
      </c>
      <c r="H328" s="508">
        <v>0.0</v>
      </c>
      <c r="I328" s="486">
        <v>1.0</v>
      </c>
      <c r="J328" s="486">
        <v>1.0</v>
      </c>
      <c r="K328" s="522" t="s">
        <v>188</v>
      </c>
      <c r="L328" s="522" t="s">
        <v>828</v>
      </c>
      <c r="M328" s="522">
        <v>0.0</v>
      </c>
      <c r="N328" s="522">
        <v>1.0</v>
      </c>
      <c r="O328" s="224" t="s">
        <v>840</v>
      </c>
      <c r="P328" s="14"/>
      <c r="Q328" s="452" t="str">
        <f>MATCH($D328,Reference!$J$5:$J$9,0)</f>
        <v>2</v>
      </c>
      <c r="R328" s="452" t="str">
        <f>MATCH($E328,Reference!$J$26:$J$32,0)</f>
        <v>2</v>
      </c>
      <c r="S328" s="452" t="str">
        <f>MATCH($F328,Reference!$J$45:$J$54,0)</f>
        <v>8</v>
      </c>
      <c r="T328" s="453" t="str">
        <f>MATCH($K328,Reference!$J$37:$J$39,0)</f>
        <v>3</v>
      </c>
      <c r="U328" s="454" t="str">
        <f t="shared" si="613"/>
        <v>2</v>
      </c>
      <c r="V328" s="454" t="str">
        <f t="shared" si="3"/>
        <v>1</v>
      </c>
      <c r="W328" s="454" t="str">
        <f t="shared" ref="W328:W340" si="627">(MIN(G328,2)+H328-U328)*50</f>
        <v>0</v>
      </c>
      <c r="X328" s="454" t="str">
        <f t="shared" si="614"/>
        <v>2</v>
      </c>
      <c r="Y328" s="456" t="str">
        <f t="shared" si="5"/>
        <v>FALSE</v>
      </c>
      <c r="Z328" s="456" t="str">
        <f t="shared" si="6"/>
        <v>FALSE</v>
      </c>
      <c r="AA328" s="457" t="str">
        <f t="shared" ref="AA328:AB328" si="626">1-I328</f>
        <v>0%</v>
      </c>
      <c r="AB328" s="457" t="str">
        <f t="shared" si="626"/>
        <v>0%</v>
      </c>
      <c r="AC328" s="456" t="str">
        <f t="shared" si="8"/>
        <v>2</v>
      </c>
      <c r="AD328" s="458" t="str">
        <f t="shared" si="616"/>
        <v>0</v>
      </c>
      <c r="AE328" s="458" t="str">
        <f t="shared" si="10"/>
        <v>1</v>
      </c>
      <c r="AF328" s="459" t="str">
        <f t="shared" ref="AF328:AF340" si="629">(MIN(H328,2)+G328-U328)*5</f>
        <v>0</v>
      </c>
      <c r="AG328" s="460"/>
      <c r="AH328" s="14"/>
      <c r="AI328" s="14"/>
      <c r="AJ328" s="14"/>
      <c r="AK328" s="14"/>
      <c r="AL328" s="14"/>
      <c r="AM328" s="14"/>
      <c r="AN328" s="14"/>
      <c r="AO328" s="14"/>
      <c r="AP328" s="14"/>
      <c r="AQ328" s="14"/>
      <c r="AR328" s="14"/>
      <c r="AS328" s="14"/>
      <c r="AT328" s="14"/>
    </row>
    <row r="329">
      <c r="A329" s="513"/>
      <c r="B329" s="509">
        <v>1.0</v>
      </c>
      <c r="C329" s="510" t="s">
        <v>841</v>
      </c>
      <c r="D329" s="511" t="s">
        <v>15</v>
      </c>
      <c r="E329" s="511" t="s">
        <v>33</v>
      </c>
      <c r="F329" s="512" t="s">
        <v>73</v>
      </c>
      <c r="G329" s="508">
        <v>2.0</v>
      </c>
      <c r="H329" s="485">
        <v>0.0</v>
      </c>
      <c r="I329" s="486">
        <v>1.0</v>
      </c>
      <c r="J329" s="486">
        <v>1.0</v>
      </c>
      <c r="K329" s="522" t="s">
        <v>188</v>
      </c>
      <c r="L329" s="522" t="s">
        <v>828</v>
      </c>
      <c r="M329" s="522">
        <v>3.0</v>
      </c>
      <c r="N329" s="522">
        <v>2.0</v>
      </c>
      <c r="O329" s="224" t="s">
        <v>842</v>
      </c>
      <c r="P329" s="14"/>
      <c r="Q329" s="452" t="str">
        <f>MATCH($D329,Reference!$J$5:$J$9,0)</f>
        <v>2</v>
      </c>
      <c r="R329" s="452" t="str">
        <f>MATCH($E329,Reference!$J$26:$J$32,0)</f>
        <v>2</v>
      </c>
      <c r="S329" s="452" t="str">
        <f>MATCH($F329,Reference!$J$45:$J$54,0)</f>
        <v>8</v>
      </c>
      <c r="T329" s="453" t="str">
        <f>MATCH($K329,Reference!$J$37:$J$39,0)</f>
        <v>3</v>
      </c>
      <c r="U329" s="454" t="str">
        <f t="shared" si="613"/>
        <v>2</v>
      </c>
      <c r="V329" s="454" t="str">
        <f t="shared" si="3"/>
        <v>1</v>
      </c>
      <c r="W329" s="454" t="str">
        <f t="shared" si="627"/>
        <v>0</v>
      </c>
      <c r="X329" s="454" t="str">
        <f t="shared" si="614"/>
        <v>2</v>
      </c>
      <c r="Y329" s="456" t="str">
        <f t="shared" si="5"/>
        <v>FALSE</v>
      </c>
      <c r="Z329" s="456" t="str">
        <f t="shared" si="6"/>
        <v>FALSE</v>
      </c>
      <c r="AA329" s="457" t="str">
        <f t="shared" ref="AA329:AB329" si="628">1-I329</f>
        <v>0%</v>
      </c>
      <c r="AB329" s="457" t="str">
        <f t="shared" si="628"/>
        <v>0%</v>
      </c>
      <c r="AC329" s="456" t="str">
        <f t="shared" si="8"/>
        <v>2</v>
      </c>
      <c r="AD329" s="458" t="str">
        <f t="shared" si="616"/>
        <v>0</v>
      </c>
      <c r="AE329" s="458" t="str">
        <f t="shared" si="10"/>
        <v>1</v>
      </c>
      <c r="AF329" s="459" t="str">
        <f t="shared" si="629"/>
        <v>0</v>
      </c>
      <c r="AG329" s="460"/>
      <c r="AH329" s="14"/>
      <c r="AI329" s="14"/>
      <c r="AJ329" s="14"/>
      <c r="AK329" s="14"/>
      <c r="AL329" s="14"/>
      <c r="AM329" s="14"/>
      <c r="AN329" s="14"/>
      <c r="AO329" s="14"/>
      <c r="AP329" s="14"/>
      <c r="AQ329" s="14"/>
      <c r="AR329" s="14"/>
      <c r="AS329" s="14"/>
      <c r="AT329" s="14"/>
    </row>
    <row r="330">
      <c r="A330" s="442"/>
      <c r="B330" s="442">
        <v>1.0</v>
      </c>
      <c r="C330" s="482" t="s">
        <v>843</v>
      </c>
      <c r="D330" s="483" t="s">
        <v>15</v>
      </c>
      <c r="E330" s="483" t="s">
        <v>33</v>
      </c>
      <c r="F330" s="484" t="s">
        <v>73</v>
      </c>
      <c r="G330" s="471">
        <v>2.0</v>
      </c>
      <c r="H330" s="485">
        <v>0.0</v>
      </c>
      <c r="I330" s="486">
        <v>1.0</v>
      </c>
      <c r="J330" s="486">
        <v>1.0</v>
      </c>
      <c r="K330" s="499" t="s">
        <v>162</v>
      </c>
      <c r="L330" s="499"/>
      <c r="M330" s="499"/>
      <c r="N330" s="499"/>
      <c r="O330" s="223" t="s">
        <v>844</v>
      </c>
      <c r="P330" s="14"/>
      <c r="Q330" s="452" t="str">
        <f>MATCH($D330,Reference!$J$5:$J$9,0)</f>
        <v>2</v>
      </c>
      <c r="R330" s="452" t="str">
        <f>MATCH($E330,Reference!$J$26:$J$32,0)</f>
        <v>2</v>
      </c>
      <c r="S330" s="452" t="str">
        <f>MATCH($F330,Reference!$J$45:$J$54,0)</f>
        <v>8</v>
      </c>
      <c r="T330" s="453" t="str">
        <f>MATCH($K330,Reference!$J$37:$J$39,0)</f>
        <v>2</v>
      </c>
      <c r="U330" s="454" t="str">
        <f t="shared" si="613"/>
        <v>2</v>
      </c>
      <c r="V330" s="454" t="str">
        <f t="shared" si="3"/>
        <v>1</v>
      </c>
      <c r="W330" s="454" t="str">
        <f t="shared" si="627"/>
        <v>0</v>
      </c>
      <c r="X330" s="454" t="str">
        <f t="shared" si="614"/>
        <v>2</v>
      </c>
      <c r="Y330" s="456" t="str">
        <f t="shared" si="5"/>
        <v>FALSE</v>
      </c>
      <c r="Z330" s="456" t="str">
        <f t="shared" si="6"/>
        <v>FALSE</v>
      </c>
      <c r="AA330" s="457" t="str">
        <f t="shared" ref="AA330:AB330" si="630">1-I330</f>
        <v>0%</v>
      </c>
      <c r="AB330" s="457" t="str">
        <f t="shared" si="630"/>
        <v>0%</v>
      </c>
      <c r="AC330" s="456" t="str">
        <f t="shared" si="8"/>
        <v>2</v>
      </c>
      <c r="AD330" s="458" t="str">
        <f t="shared" si="616"/>
        <v>0</v>
      </c>
      <c r="AE330" s="458" t="str">
        <f t="shared" si="10"/>
        <v>1</v>
      </c>
      <c r="AF330" s="459" t="str">
        <f t="shared" si="629"/>
        <v>0</v>
      </c>
      <c r="AG330" s="460"/>
      <c r="AH330" s="14"/>
      <c r="AI330" s="14"/>
      <c r="AJ330" s="14"/>
      <c r="AK330" s="14"/>
      <c r="AL330" s="14"/>
      <c r="AM330" s="14"/>
      <c r="AN330" s="14"/>
      <c r="AO330" s="14"/>
      <c r="AP330" s="14"/>
      <c r="AQ330" s="14"/>
      <c r="AR330" s="14"/>
      <c r="AS330" s="14"/>
      <c r="AT330" s="14"/>
    </row>
    <row r="331">
      <c r="A331" s="442"/>
      <c r="B331" s="472">
        <v>2.0</v>
      </c>
      <c r="C331" s="489" t="s">
        <v>845</v>
      </c>
      <c r="D331" s="490" t="s">
        <v>15</v>
      </c>
      <c r="E331" s="490" t="s">
        <v>35</v>
      </c>
      <c r="F331" s="491" t="s">
        <v>73</v>
      </c>
      <c r="G331" s="492">
        <v>2.0</v>
      </c>
      <c r="H331" s="492">
        <v>0.0</v>
      </c>
      <c r="I331" s="494">
        <v>1.0</v>
      </c>
      <c r="J331" s="494">
        <v>1.0</v>
      </c>
      <c r="K331" s="495" t="s">
        <v>162</v>
      </c>
      <c r="L331" s="495"/>
      <c r="M331" s="495"/>
      <c r="N331" s="495"/>
      <c r="O331" s="496" t="s">
        <v>846</v>
      </c>
      <c r="P331" s="14"/>
      <c r="Q331" s="452" t="str">
        <f>MATCH($D331,Reference!$J$5:$J$9,0)</f>
        <v>2</v>
      </c>
      <c r="R331" s="452" t="str">
        <f>MATCH($E331,Reference!$J$26:$J$32,0)</f>
        <v>5</v>
      </c>
      <c r="S331" s="452" t="str">
        <f>MATCH($F331,Reference!$J$45:$J$54,0)</f>
        <v>8</v>
      </c>
      <c r="T331" s="453" t="str">
        <f>MATCH($K331,Reference!$J$37:$J$39,0)</f>
        <v>2</v>
      </c>
      <c r="U331" s="454" t="str">
        <f t="shared" si="613"/>
        <v>2</v>
      </c>
      <c r="V331" s="454" t="str">
        <f t="shared" si="3"/>
        <v>1</v>
      </c>
      <c r="W331" s="454" t="str">
        <f t="shared" si="627"/>
        <v>0</v>
      </c>
      <c r="X331" s="454" t="str">
        <f t="shared" si="614"/>
        <v>2</v>
      </c>
      <c r="Y331" s="456" t="str">
        <f t="shared" si="5"/>
        <v>FALSE</v>
      </c>
      <c r="Z331" s="456" t="str">
        <f t="shared" si="6"/>
        <v>FALSE</v>
      </c>
      <c r="AA331" s="457" t="str">
        <f t="shared" ref="AA331:AB331" si="631">1-I331</f>
        <v>0%</v>
      </c>
      <c r="AB331" s="457" t="str">
        <f t="shared" si="631"/>
        <v>0%</v>
      </c>
      <c r="AC331" s="456" t="str">
        <f t="shared" si="8"/>
        <v>2</v>
      </c>
      <c r="AD331" s="458" t="str">
        <f t="shared" si="616"/>
        <v>0</v>
      </c>
      <c r="AE331" s="458" t="str">
        <f t="shared" si="10"/>
        <v>1</v>
      </c>
      <c r="AF331" s="459" t="str">
        <f t="shared" si="629"/>
        <v>0</v>
      </c>
      <c r="AG331" s="460"/>
      <c r="AH331" s="14"/>
      <c r="AI331" s="14"/>
      <c r="AJ331" s="14"/>
      <c r="AK331" s="14"/>
      <c r="AL331" s="14"/>
      <c r="AM331" s="14"/>
      <c r="AN331" s="14"/>
      <c r="AO331" s="14"/>
      <c r="AP331" s="14"/>
      <c r="AQ331" s="14"/>
      <c r="AR331" s="14"/>
      <c r="AS331" s="14"/>
      <c r="AT331" s="14"/>
    </row>
    <row r="332">
      <c r="A332" s="463"/>
      <c r="B332" s="509">
        <v>2.0</v>
      </c>
      <c r="C332" s="510" t="s">
        <v>847</v>
      </c>
      <c r="D332" s="511" t="s">
        <v>15</v>
      </c>
      <c r="E332" s="511" t="s">
        <v>33</v>
      </c>
      <c r="F332" s="512" t="s">
        <v>73</v>
      </c>
      <c r="G332" s="508">
        <v>2.0</v>
      </c>
      <c r="H332" s="508">
        <v>0.0</v>
      </c>
      <c r="I332" s="486">
        <v>1.0</v>
      </c>
      <c r="J332" s="486">
        <v>1.0</v>
      </c>
      <c r="K332" s="522" t="s">
        <v>162</v>
      </c>
      <c r="L332" s="522"/>
      <c r="M332" s="522"/>
      <c r="N332" s="522"/>
      <c r="O332" s="224" t="s">
        <v>848</v>
      </c>
      <c r="P332" s="14"/>
      <c r="Q332" s="452" t="str">
        <f>MATCH($D332,Reference!$J$5:$J$9,0)</f>
        <v>2</v>
      </c>
      <c r="R332" s="452" t="str">
        <f>MATCH($E332,Reference!$J$26:$J$32,0)</f>
        <v>2</v>
      </c>
      <c r="S332" s="452" t="str">
        <f>MATCH($F332,Reference!$J$45:$J$54,0)</f>
        <v>8</v>
      </c>
      <c r="T332" s="453" t="str">
        <f>MATCH($K332,Reference!$J$37:$J$39,0)</f>
        <v>2</v>
      </c>
      <c r="U332" s="454" t="str">
        <f t="shared" si="613"/>
        <v>2</v>
      </c>
      <c r="V332" s="454" t="str">
        <f t="shared" si="3"/>
        <v>1</v>
      </c>
      <c r="W332" s="454" t="str">
        <f t="shared" si="627"/>
        <v>0</v>
      </c>
      <c r="X332" s="454" t="str">
        <f t="shared" si="614"/>
        <v>2</v>
      </c>
      <c r="Y332" s="456" t="str">
        <f t="shared" si="5"/>
        <v>FALSE</v>
      </c>
      <c r="Z332" s="456" t="str">
        <f t="shared" si="6"/>
        <v>FALSE</v>
      </c>
      <c r="AA332" s="457" t="str">
        <f t="shared" ref="AA332:AB332" si="632">1-I332</f>
        <v>0%</v>
      </c>
      <c r="AB332" s="457" t="str">
        <f t="shared" si="632"/>
        <v>0%</v>
      </c>
      <c r="AC332" s="456" t="str">
        <f t="shared" si="8"/>
        <v>2</v>
      </c>
      <c r="AD332" s="458" t="str">
        <f t="shared" si="616"/>
        <v>0</v>
      </c>
      <c r="AE332" s="458" t="str">
        <f t="shared" si="10"/>
        <v>1</v>
      </c>
      <c r="AF332" s="459" t="str">
        <f t="shared" si="629"/>
        <v>0</v>
      </c>
      <c r="AG332" s="460"/>
      <c r="AH332" s="14"/>
      <c r="AI332" s="14"/>
      <c r="AJ332" s="14"/>
      <c r="AK332" s="14"/>
      <c r="AL332" s="14"/>
      <c r="AM332" s="14"/>
      <c r="AN332" s="14"/>
      <c r="AO332" s="14"/>
      <c r="AP332" s="14"/>
      <c r="AQ332" s="14"/>
      <c r="AR332" s="14"/>
      <c r="AS332" s="14"/>
      <c r="AT332" s="14"/>
    </row>
    <row r="333">
      <c r="A333" s="466"/>
      <c r="B333" s="466">
        <v>2.0</v>
      </c>
      <c r="C333" s="475" t="s">
        <v>849</v>
      </c>
      <c r="D333" s="476" t="s">
        <v>15</v>
      </c>
      <c r="E333" s="477" t="s">
        <v>36</v>
      </c>
      <c r="F333" s="476" t="s">
        <v>73</v>
      </c>
      <c r="G333" s="478">
        <v>2.0</v>
      </c>
      <c r="H333" s="478">
        <v>0.0</v>
      </c>
      <c r="I333" s="479">
        <v>1.0</v>
      </c>
      <c r="J333" s="479">
        <v>1.0</v>
      </c>
      <c r="K333" s="477" t="s">
        <v>162</v>
      </c>
      <c r="L333" s="477"/>
      <c r="M333" s="477"/>
      <c r="N333" s="477"/>
      <c r="O333" s="480" t="s">
        <v>850</v>
      </c>
      <c r="P333" s="14"/>
      <c r="Q333" s="452" t="str">
        <f>MATCH($D333,Reference!$J$5:$J$9,0)</f>
        <v>2</v>
      </c>
      <c r="R333" s="452" t="str">
        <f>MATCH($E333,Reference!$J$26:$J$32,0)</f>
        <v>7</v>
      </c>
      <c r="S333" s="452" t="str">
        <f>MATCH($F333,Reference!$J$45:$J$54,0)</f>
        <v>8</v>
      </c>
      <c r="T333" s="453" t="str">
        <f>MATCH($K333,Reference!$J$37:$J$39,0)</f>
        <v>2</v>
      </c>
      <c r="U333" s="454" t="str">
        <f t="shared" si="613"/>
        <v>2</v>
      </c>
      <c r="V333" s="454" t="str">
        <f t="shared" si="3"/>
        <v>1</v>
      </c>
      <c r="W333" s="454" t="str">
        <f t="shared" si="627"/>
        <v>0</v>
      </c>
      <c r="X333" s="454" t="str">
        <f t="shared" si="614"/>
        <v>2</v>
      </c>
      <c r="Y333" s="456" t="str">
        <f t="shared" si="5"/>
        <v>FALSE</v>
      </c>
      <c r="Z333" s="456" t="str">
        <f t="shared" si="6"/>
        <v>FALSE</v>
      </c>
      <c r="AA333" s="457" t="str">
        <f t="shared" ref="AA333:AB333" si="633">1-I333</f>
        <v>0%</v>
      </c>
      <c r="AB333" s="457" t="str">
        <f t="shared" si="633"/>
        <v>0%</v>
      </c>
      <c r="AC333" s="456" t="str">
        <f t="shared" si="8"/>
        <v>2</v>
      </c>
      <c r="AD333" s="458" t="str">
        <f t="shared" si="616"/>
        <v>0</v>
      </c>
      <c r="AE333" s="458" t="str">
        <f t="shared" si="10"/>
        <v>1</v>
      </c>
      <c r="AF333" s="459" t="str">
        <f t="shared" si="629"/>
        <v>0</v>
      </c>
      <c r="AG333" s="460"/>
      <c r="AH333" s="14"/>
      <c r="AI333" s="14"/>
      <c r="AJ333" s="14"/>
      <c r="AK333" s="14"/>
      <c r="AL333" s="14"/>
      <c r="AM333" s="14"/>
      <c r="AN333" s="14"/>
      <c r="AO333" s="14"/>
      <c r="AP333" s="14"/>
      <c r="AQ333" s="14"/>
      <c r="AR333" s="14"/>
      <c r="AS333" s="14"/>
      <c r="AT333" s="14"/>
    </row>
    <row r="334">
      <c r="A334" s="466"/>
      <c r="B334" s="466">
        <v>2.0</v>
      </c>
      <c r="C334" s="475" t="s">
        <v>851</v>
      </c>
      <c r="D334" s="476" t="s">
        <v>15</v>
      </c>
      <c r="E334" s="477" t="s">
        <v>36</v>
      </c>
      <c r="F334" s="476" t="s">
        <v>73</v>
      </c>
      <c r="G334" s="478">
        <v>2.0</v>
      </c>
      <c r="H334" s="478">
        <v>0.0</v>
      </c>
      <c r="I334" s="479">
        <v>1.0</v>
      </c>
      <c r="J334" s="479">
        <v>1.0</v>
      </c>
      <c r="K334" s="477" t="s">
        <v>188</v>
      </c>
      <c r="L334" s="477" t="s">
        <v>828</v>
      </c>
      <c r="M334" s="477">
        <v>4.0</v>
      </c>
      <c r="N334" s="477">
        <v>3.0</v>
      </c>
      <c r="O334" s="480" t="s">
        <v>852</v>
      </c>
      <c r="P334" s="14"/>
      <c r="Q334" s="452" t="str">
        <f>MATCH($D334,Reference!$J$5:$J$9,0)</f>
        <v>2</v>
      </c>
      <c r="R334" s="452" t="str">
        <f>MATCH($E334,Reference!$J$26:$J$32,0)</f>
        <v>7</v>
      </c>
      <c r="S334" s="452" t="str">
        <f>MATCH($F334,Reference!$J$45:$J$54,0)</f>
        <v>8</v>
      </c>
      <c r="T334" s="453" t="str">
        <f>MATCH($K334,Reference!$J$37:$J$39,0)</f>
        <v>3</v>
      </c>
      <c r="U334" s="454" t="str">
        <f t="shared" si="613"/>
        <v>2</v>
      </c>
      <c r="V334" s="454" t="str">
        <f t="shared" si="3"/>
        <v>1</v>
      </c>
      <c r="W334" s="454" t="str">
        <f t="shared" si="627"/>
        <v>0</v>
      </c>
      <c r="X334" s="454" t="str">
        <f t="shared" si="614"/>
        <v>2</v>
      </c>
      <c r="Y334" s="456" t="str">
        <f t="shared" si="5"/>
        <v>FALSE</v>
      </c>
      <c r="Z334" s="456" t="str">
        <f t="shared" si="6"/>
        <v>FALSE</v>
      </c>
      <c r="AA334" s="457" t="str">
        <f t="shared" ref="AA334:AB334" si="634">1-I334</f>
        <v>0%</v>
      </c>
      <c r="AB334" s="457" t="str">
        <f t="shared" si="634"/>
        <v>0%</v>
      </c>
      <c r="AC334" s="456" t="str">
        <f t="shared" si="8"/>
        <v>2</v>
      </c>
      <c r="AD334" s="458" t="str">
        <f t="shared" si="616"/>
        <v>0</v>
      </c>
      <c r="AE334" s="458" t="str">
        <f t="shared" si="10"/>
        <v>1</v>
      </c>
      <c r="AF334" s="459" t="str">
        <f t="shared" si="629"/>
        <v>0</v>
      </c>
      <c r="AG334" s="460"/>
      <c r="AH334" s="14"/>
      <c r="AI334" s="14"/>
      <c r="AJ334" s="14"/>
      <c r="AK334" s="14"/>
      <c r="AL334" s="14"/>
      <c r="AM334" s="14"/>
      <c r="AN334" s="14"/>
      <c r="AO334" s="14"/>
      <c r="AP334" s="14"/>
      <c r="AQ334" s="14"/>
      <c r="AR334" s="14"/>
      <c r="AS334" s="14"/>
      <c r="AT334" s="14"/>
    </row>
    <row r="335">
      <c r="A335" s="472"/>
      <c r="B335" s="469">
        <v>3.0</v>
      </c>
      <c r="C335" s="501" t="s">
        <v>853</v>
      </c>
      <c r="D335" s="502" t="s">
        <v>15</v>
      </c>
      <c r="E335" s="502" t="s">
        <v>47</v>
      </c>
      <c r="F335" s="503" t="s">
        <v>73</v>
      </c>
      <c r="G335" s="504" t="str">
        <f>IF(Summary!$Y$27&gt;=VLOOKUP(C335,Reference!$N$6:$O$36,2,0),2,0)</f>
        <v>2</v>
      </c>
      <c r="H335" s="504">
        <v>0.0</v>
      </c>
      <c r="I335" s="505">
        <v>1.0</v>
      </c>
      <c r="J335" s="505"/>
      <c r="K335" s="506" t="s">
        <v>188</v>
      </c>
      <c r="L335" s="506" t="s">
        <v>828</v>
      </c>
      <c r="M335" s="506">
        <v>2.0</v>
      </c>
      <c r="N335" s="506">
        <v>4.0</v>
      </c>
      <c r="O335" s="507" t="s">
        <v>854</v>
      </c>
      <c r="P335" s="14"/>
      <c r="Q335" s="452" t="str">
        <f>MATCH($D335,Reference!$J$5:$J$9,0)</f>
        <v>2</v>
      </c>
      <c r="R335" s="452" t="str">
        <f>MATCH($E335,Reference!$J$26:$J$32,0)</f>
        <v>6</v>
      </c>
      <c r="S335" s="452" t="str">
        <f>MATCH($F335,Reference!$J$45:$J$54,0)</f>
        <v>8</v>
      </c>
      <c r="T335" s="453" t="str">
        <f>MATCH($K335,Reference!$J$37:$J$39,0)</f>
        <v>3</v>
      </c>
      <c r="U335" s="454" t="str">
        <f t="shared" si="613"/>
        <v>2</v>
      </c>
      <c r="V335" s="454" t="str">
        <f t="shared" si="3"/>
        <v>1</v>
      </c>
      <c r="W335" s="454" t="str">
        <f t="shared" si="627"/>
        <v>0</v>
      </c>
      <c r="X335" s="454" t="str">
        <f t="shared" si="614"/>
        <v>2</v>
      </c>
      <c r="Y335" s="456" t="str">
        <f t="shared" si="5"/>
        <v>FALSE</v>
      </c>
      <c r="Z335" s="456" t="str">
        <f t="shared" si="6"/>
        <v>FALSE</v>
      </c>
      <c r="AA335" s="457" t="str">
        <f t="shared" ref="AA335:AB335" si="635">1-I335</f>
        <v>0%</v>
      </c>
      <c r="AB335" s="457" t="str">
        <f t="shared" si="635"/>
        <v>100%</v>
      </c>
      <c r="AC335" s="456" t="str">
        <f t="shared" si="8"/>
        <v>2</v>
      </c>
      <c r="AD335" s="458" t="str">
        <f t="shared" si="616"/>
        <v>0</v>
      </c>
      <c r="AE335" s="458" t="str">
        <f t="shared" si="10"/>
        <v>1</v>
      </c>
      <c r="AF335" s="459" t="str">
        <f t="shared" si="629"/>
        <v>0</v>
      </c>
      <c r="AG335" s="460"/>
      <c r="AH335" s="14"/>
      <c r="AI335" s="14"/>
      <c r="AJ335" s="14"/>
      <c r="AK335" s="14"/>
      <c r="AL335" s="14"/>
      <c r="AM335" s="14"/>
      <c r="AN335" s="14"/>
      <c r="AO335" s="14"/>
      <c r="AP335" s="14"/>
      <c r="AQ335" s="14"/>
      <c r="AR335" s="14"/>
      <c r="AS335" s="14"/>
      <c r="AT335" s="14"/>
    </row>
    <row r="336">
      <c r="A336" s="442"/>
      <c r="B336" s="442">
        <v>3.0</v>
      </c>
      <c r="C336" s="482" t="s">
        <v>855</v>
      </c>
      <c r="D336" s="483" t="s">
        <v>15</v>
      </c>
      <c r="E336" s="483" t="s">
        <v>33</v>
      </c>
      <c r="F336" s="484" t="s">
        <v>73</v>
      </c>
      <c r="G336" s="471">
        <v>2.0</v>
      </c>
      <c r="H336" s="485">
        <v>0.0</v>
      </c>
      <c r="I336" s="486">
        <v>1.0</v>
      </c>
      <c r="J336" s="486">
        <v>1.0</v>
      </c>
      <c r="K336" s="499" t="s">
        <v>162</v>
      </c>
      <c r="L336" s="499"/>
      <c r="M336" s="499"/>
      <c r="N336" s="499"/>
      <c r="O336" s="223" t="s">
        <v>856</v>
      </c>
      <c r="P336" s="14"/>
      <c r="Q336" s="452" t="str">
        <f>MATCH($D336,Reference!$J$5:$J$9,0)</f>
        <v>2</v>
      </c>
      <c r="R336" s="452" t="str">
        <f>MATCH($E336,Reference!$J$26:$J$32,0)</f>
        <v>2</v>
      </c>
      <c r="S336" s="452" t="str">
        <f>MATCH($F336,Reference!$J$45:$J$54,0)</f>
        <v>8</v>
      </c>
      <c r="T336" s="453" t="str">
        <f>MATCH($K336,Reference!$J$37:$J$39,0)</f>
        <v>2</v>
      </c>
      <c r="U336" s="454" t="str">
        <f t="shared" si="613"/>
        <v>2</v>
      </c>
      <c r="V336" s="454" t="str">
        <f t="shared" si="3"/>
        <v>1</v>
      </c>
      <c r="W336" s="454" t="str">
        <f t="shared" si="627"/>
        <v>0</v>
      </c>
      <c r="X336" s="454" t="str">
        <f t="shared" si="614"/>
        <v>2</v>
      </c>
      <c r="Y336" s="456" t="str">
        <f t="shared" si="5"/>
        <v>FALSE</v>
      </c>
      <c r="Z336" s="456" t="str">
        <f t="shared" si="6"/>
        <v>FALSE</v>
      </c>
      <c r="AA336" s="457" t="str">
        <f t="shared" ref="AA336:AB336" si="636">1-I336</f>
        <v>0%</v>
      </c>
      <c r="AB336" s="457" t="str">
        <f t="shared" si="636"/>
        <v>0%</v>
      </c>
      <c r="AC336" s="456" t="str">
        <f t="shared" si="8"/>
        <v>2</v>
      </c>
      <c r="AD336" s="458" t="str">
        <f t="shared" si="616"/>
        <v>0</v>
      </c>
      <c r="AE336" s="458" t="str">
        <f t="shared" si="10"/>
        <v>1</v>
      </c>
      <c r="AF336" s="459" t="str">
        <f t="shared" si="629"/>
        <v>0</v>
      </c>
      <c r="AG336" s="460"/>
      <c r="AH336" s="14"/>
      <c r="AI336" s="14"/>
      <c r="AJ336" s="14"/>
      <c r="AK336" s="14"/>
      <c r="AL336" s="14"/>
      <c r="AM336" s="14"/>
      <c r="AN336" s="14"/>
      <c r="AO336" s="14"/>
      <c r="AP336" s="14"/>
      <c r="AQ336" s="14"/>
      <c r="AR336" s="14"/>
      <c r="AS336" s="14"/>
      <c r="AT336" s="14"/>
    </row>
    <row r="337">
      <c r="A337" s="463"/>
      <c r="B337" s="509">
        <v>4.0</v>
      </c>
      <c r="C337" s="510" t="s">
        <v>857</v>
      </c>
      <c r="D337" s="511" t="s">
        <v>15</v>
      </c>
      <c r="E337" s="511" t="s">
        <v>33</v>
      </c>
      <c r="F337" s="512" t="s">
        <v>73</v>
      </c>
      <c r="G337" s="508">
        <v>2.0</v>
      </c>
      <c r="H337" s="485">
        <v>0.0</v>
      </c>
      <c r="I337" s="486">
        <v>1.0</v>
      </c>
      <c r="J337" s="486">
        <v>1.0</v>
      </c>
      <c r="K337" s="522" t="s">
        <v>188</v>
      </c>
      <c r="L337" s="522"/>
      <c r="M337" s="522">
        <v>0.0</v>
      </c>
      <c r="N337" s="522">
        <v>4.0</v>
      </c>
      <c r="O337" s="224" t="s">
        <v>858</v>
      </c>
      <c r="P337" s="5"/>
      <c r="Q337" s="452" t="str">
        <f>MATCH($D337,Reference!$J$5:$J$9,0)</f>
        <v>2</v>
      </c>
      <c r="R337" s="452" t="str">
        <f>MATCH($E337,Reference!$J$26:$J$32,0)</f>
        <v>2</v>
      </c>
      <c r="S337" s="452" t="str">
        <f>MATCH($F337,Reference!$J$45:$J$54,0)</f>
        <v>8</v>
      </c>
      <c r="T337" s="453" t="str">
        <f>MATCH($K337,Reference!$J$37:$J$39,0)</f>
        <v>3</v>
      </c>
      <c r="U337" s="454" t="str">
        <f t="shared" si="613"/>
        <v>2</v>
      </c>
      <c r="V337" s="454" t="str">
        <f t="shared" si="3"/>
        <v>1</v>
      </c>
      <c r="W337" s="454" t="str">
        <f t="shared" si="627"/>
        <v>0</v>
      </c>
      <c r="X337" s="454" t="str">
        <f t="shared" si="614"/>
        <v>2</v>
      </c>
      <c r="Y337" s="456" t="str">
        <f t="shared" si="5"/>
        <v>FALSE</v>
      </c>
      <c r="Z337" s="456" t="str">
        <f t="shared" si="6"/>
        <v>FALSE</v>
      </c>
      <c r="AA337" s="457" t="str">
        <f t="shared" ref="AA337:AB337" si="637">1-I337</f>
        <v>0%</v>
      </c>
      <c r="AB337" s="457" t="str">
        <f t="shared" si="637"/>
        <v>0%</v>
      </c>
      <c r="AC337" s="456" t="str">
        <f t="shared" si="8"/>
        <v>2</v>
      </c>
      <c r="AD337" s="458" t="str">
        <f t="shared" si="616"/>
        <v>0</v>
      </c>
      <c r="AE337" s="458" t="str">
        <f t="shared" si="10"/>
        <v>1</v>
      </c>
      <c r="AF337" s="459" t="str">
        <f t="shared" si="629"/>
        <v>0</v>
      </c>
      <c r="AG337" s="460"/>
      <c r="AH337" s="14"/>
      <c r="AI337" s="14"/>
      <c r="AJ337" s="14"/>
      <c r="AK337" s="14"/>
      <c r="AL337" s="14"/>
      <c r="AM337" s="14"/>
      <c r="AN337" s="14"/>
      <c r="AO337" s="14"/>
      <c r="AP337" s="14"/>
      <c r="AQ337" s="14"/>
      <c r="AR337" s="14"/>
      <c r="AS337" s="14"/>
      <c r="AT337" s="14"/>
    </row>
    <row r="338">
      <c r="A338" s="442"/>
      <c r="B338" s="513">
        <v>4.0</v>
      </c>
      <c r="C338" s="514" t="s">
        <v>859</v>
      </c>
      <c r="D338" s="515" t="s">
        <v>15</v>
      </c>
      <c r="E338" s="515" t="s">
        <v>41</v>
      </c>
      <c r="F338" s="516" t="s">
        <v>73</v>
      </c>
      <c r="G338" s="517" t="str">
        <f>IF(Summary!$Y$25&gt;=VLOOKUP(C338,Reference!$N$41:$O$70,2,0),2,0)</f>
        <v>2</v>
      </c>
      <c r="H338" s="517">
        <v>0.0</v>
      </c>
      <c r="I338" s="518">
        <v>1.0</v>
      </c>
      <c r="J338" s="518"/>
      <c r="K338" s="519" t="s">
        <v>188</v>
      </c>
      <c r="L338" s="519" t="s">
        <v>828</v>
      </c>
      <c r="M338" s="519">
        <v>3.0</v>
      </c>
      <c r="N338" s="519">
        <v>4.0</v>
      </c>
      <c r="O338" s="520" t="s">
        <v>860</v>
      </c>
      <c r="P338" s="14"/>
      <c r="Q338" s="452" t="str">
        <f>MATCH($D338,Reference!$J$5:$J$9,0)</f>
        <v>2</v>
      </c>
      <c r="R338" s="452" t="str">
        <f>MATCH($E338,Reference!$J$26:$J$32,0)</f>
        <v>4</v>
      </c>
      <c r="S338" s="452" t="str">
        <f>MATCH($F338,Reference!$J$45:$J$54,0)</f>
        <v>8</v>
      </c>
      <c r="T338" s="453" t="str">
        <f>MATCH($K338,Reference!$J$37:$J$39,0)</f>
        <v>3</v>
      </c>
      <c r="U338" s="454" t="str">
        <f t="shared" si="613"/>
        <v>2</v>
      </c>
      <c r="V338" s="454" t="str">
        <f t="shared" si="3"/>
        <v>1</v>
      </c>
      <c r="W338" s="454" t="str">
        <f t="shared" si="627"/>
        <v>0</v>
      </c>
      <c r="X338" s="454" t="str">
        <f t="shared" si="614"/>
        <v>2</v>
      </c>
      <c r="Y338" s="456" t="str">
        <f t="shared" si="5"/>
        <v>FALSE</v>
      </c>
      <c r="Z338" s="456" t="str">
        <f t="shared" si="6"/>
        <v>FALSE</v>
      </c>
      <c r="AA338" s="457" t="str">
        <f t="shared" ref="AA338:AB338" si="638">1-I338</f>
        <v>0%</v>
      </c>
      <c r="AB338" s="457" t="str">
        <f t="shared" si="638"/>
        <v>100%</v>
      </c>
      <c r="AC338" s="456" t="str">
        <f t="shared" si="8"/>
        <v>2</v>
      </c>
      <c r="AD338" s="458" t="str">
        <f t="shared" si="616"/>
        <v>0</v>
      </c>
      <c r="AE338" s="458" t="str">
        <f t="shared" si="10"/>
        <v>1</v>
      </c>
      <c r="AF338" s="459" t="str">
        <f t="shared" si="629"/>
        <v>0</v>
      </c>
      <c r="AG338" s="460"/>
      <c r="AH338" s="14"/>
      <c r="AI338" s="14"/>
      <c r="AJ338" s="14"/>
      <c r="AK338" s="14"/>
      <c r="AL338" s="14"/>
      <c r="AM338" s="14"/>
      <c r="AN338" s="14"/>
      <c r="AO338" s="14"/>
      <c r="AP338" s="14"/>
      <c r="AQ338" s="14"/>
      <c r="AR338" s="14"/>
      <c r="AS338" s="14"/>
      <c r="AT338" s="14"/>
    </row>
    <row r="339">
      <c r="A339" s="463"/>
      <c r="B339" s="463">
        <v>5.0</v>
      </c>
      <c r="C339" s="538" t="s">
        <v>861</v>
      </c>
      <c r="D339" s="539" t="s">
        <v>15</v>
      </c>
      <c r="E339" s="539" t="s">
        <v>35</v>
      </c>
      <c r="F339" s="540" t="s">
        <v>73</v>
      </c>
      <c r="G339" s="493">
        <v>1.0</v>
      </c>
      <c r="H339" s="493">
        <v>0.0</v>
      </c>
      <c r="I339" s="494">
        <v>1.0</v>
      </c>
      <c r="J339" s="494">
        <v>1.0</v>
      </c>
      <c r="K339" s="542" t="s">
        <v>188</v>
      </c>
      <c r="L339" s="542" t="s">
        <v>828</v>
      </c>
      <c r="M339" s="542">
        <v>4.0</v>
      </c>
      <c r="N339" s="542">
        <v>4.0</v>
      </c>
      <c r="O339" s="543" t="s">
        <v>862</v>
      </c>
      <c r="P339" s="14"/>
      <c r="Q339" s="452" t="str">
        <f>MATCH($D339,Reference!$J$5:$J$9,0)</f>
        <v>2</v>
      </c>
      <c r="R339" s="452" t="str">
        <f>MATCH($E339,Reference!$J$26:$J$32,0)</f>
        <v>5</v>
      </c>
      <c r="S339" s="452" t="str">
        <f>MATCH($F339,Reference!$J$45:$J$54,0)</f>
        <v>8</v>
      </c>
      <c r="T339" s="453" t="str">
        <f>MATCH($K339,Reference!$J$37:$J$39,0)</f>
        <v>3</v>
      </c>
      <c r="U339" s="454" t="str">
        <f t="shared" si="613"/>
        <v>1</v>
      </c>
      <c r="V339" s="454" t="str">
        <f t="shared" si="3"/>
        <v>1</v>
      </c>
      <c r="W339" s="454" t="str">
        <f t="shared" si="627"/>
        <v>0</v>
      </c>
      <c r="X339" s="454" t="str">
        <f t="shared" si="614"/>
        <v>1</v>
      </c>
      <c r="Y339" s="456" t="str">
        <f t="shared" si="5"/>
        <v>FALSE</v>
      </c>
      <c r="Z339" s="456" t="str">
        <f t="shared" si="6"/>
        <v>TRUE</v>
      </c>
      <c r="AA339" s="457" t="str">
        <f t="shared" ref="AA339:AB339" si="639">1-I339</f>
        <v>0%</v>
      </c>
      <c r="AB339" s="457" t="str">
        <f t="shared" si="639"/>
        <v>0%</v>
      </c>
      <c r="AC339" s="456" t="str">
        <f t="shared" si="8"/>
        <v>1</v>
      </c>
      <c r="AD339" s="458" t="str">
        <f t="shared" si="616"/>
        <v>0</v>
      </c>
      <c r="AE339" s="458" t="str">
        <f t="shared" si="10"/>
        <v>1</v>
      </c>
      <c r="AF339" s="459" t="str">
        <f t="shared" si="629"/>
        <v>0</v>
      </c>
      <c r="AG339" s="460"/>
      <c r="AH339" s="14"/>
      <c r="AI339" s="14"/>
      <c r="AJ339" s="14"/>
      <c r="AK339" s="14"/>
      <c r="AL339" s="14"/>
      <c r="AM339" s="14"/>
      <c r="AN339" s="14"/>
      <c r="AO339" s="14"/>
      <c r="AP339" s="14"/>
      <c r="AQ339" s="14"/>
      <c r="AR339" s="14"/>
      <c r="AS339" s="14"/>
      <c r="AT339" s="14"/>
    </row>
    <row r="340">
      <c r="A340" s="442"/>
      <c r="B340" s="466">
        <v>7.0</v>
      </c>
      <c r="C340" s="475" t="s">
        <v>863</v>
      </c>
      <c r="D340" s="476" t="s">
        <v>15</v>
      </c>
      <c r="E340" s="477" t="s">
        <v>36</v>
      </c>
      <c r="F340" s="476" t="s">
        <v>73</v>
      </c>
      <c r="G340" s="478">
        <v>2.0</v>
      </c>
      <c r="H340" s="478">
        <v>0.0</v>
      </c>
      <c r="I340" s="479">
        <v>1.0</v>
      </c>
      <c r="J340" s="479">
        <v>1.0</v>
      </c>
      <c r="K340" s="477" t="s">
        <v>188</v>
      </c>
      <c r="L340" s="477" t="s">
        <v>828</v>
      </c>
      <c r="M340" s="477">
        <v>6.0</v>
      </c>
      <c r="N340" s="477">
        <v>8.0</v>
      </c>
      <c r="O340" s="480"/>
      <c r="P340" s="14"/>
      <c r="Q340" s="452" t="str">
        <f>MATCH($D340,Reference!$J$5:$J$9,0)</f>
        <v>2</v>
      </c>
      <c r="R340" s="452" t="str">
        <f>MATCH($E340,Reference!$J$26:$J$32,0)</f>
        <v>7</v>
      </c>
      <c r="S340" s="452" t="str">
        <f>MATCH($F340,Reference!$J$45:$J$54,0)</f>
        <v>8</v>
      </c>
      <c r="T340" s="453" t="str">
        <f>MATCH($K340,Reference!$J$37:$J$39,0)</f>
        <v>3</v>
      </c>
      <c r="U340" s="454" t="str">
        <f t="shared" si="613"/>
        <v>2</v>
      </c>
      <c r="V340" s="454" t="str">
        <f t="shared" si="3"/>
        <v>1</v>
      </c>
      <c r="W340" s="454" t="str">
        <f t="shared" si="627"/>
        <v>0</v>
      </c>
      <c r="X340" s="454" t="str">
        <f t="shared" si="614"/>
        <v>2</v>
      </c>
      <c r="Y340" s="456" t="str">
        <f t="shared" si="5"/>
        <v>FALSE</v>
      </c>
      <c r="Z340" s="456" t="str">
        <f t="shared" si="6"/>
        <v>FALSE</v>
      </c>
      <c r="AA340" s="457" t="str">
        <f t="shared" ref="AA340:AB340" si="640">1-I340</f>
        <v>0%</v>
      </c>
      <c r="AB340" s="457" t="str">
        <f t="shared" si="640"/>
        <v>0%</v>
      </c>
      <c r="AC340" s="456" t="str">
        <f t="shared" si="8"/>
        <v>2</v>
      </c>
      <c r="AD340" s="458" t="str">
        <f t="shared" si="616"/>
        <v>0</v>
      </c>
      <c r="AE340" s="458" t="str">
        <f t="shared" si="10"/>
        <v>1</v>
      </c>
      <c r="AF340" s="459" t="str">
        <f t="shared" si="629"/>
        <v>0</v>
      </c>
      <c r="AG340" s="460"/>
      <c r="AH340" s="14"/>
      <c r="AI340" s="14"/>
      <c r="AJ340" s="14"/>
      <c r="AK340" s="14"/>
      <c r="AL340" s="14"/>
      <c r="AM340" s="14"/>
      <c r="AN340" s="14"/>
      <c r="AO340" s="14"/>
      <c r="AP340" s="14"/>
      <c r="AQ340" s="14"/>
      <c r="AR340" s="14"/>
      <c r="AS340" s="14"/>
      <c r="AT340" s="14"/>
    </row>
    <row r="341">
      <c r="A341" s="682"/>
      <c r="B341" s="594">
        <v>2.0</v>
      </c>
      <c r="C341" s="595" t="s">
        <v>864</v>
      </c>
      <c r="D341" s="575" t="s">
        <v>21</v>
      </c>
      <c r="E341" s="575" t="s">
        <v>35</v>
      </c>
      <c r="F341" s="576" t="s">
        <v>73</v>
      </c>
      <c r="G341" s="597">
        <v>2.0</v>
      </c>
      <c r="H341" s="596">
        <v>0.0</v>
      </c>
      <c r="I341" s="598">
        <v>1.0</v>
      </c>
      <c r="J341" s="598">
        <v>1.0</v>
      </c>
      <c r="K341" s="575" t="s">
        <v>188</v>
      </c>
      <c r="L341" s="575" t="s">
        <v>828</v>
      </c>
      <c r="M341" s="576">
        <v>1.0</v>
      </c>
      <c r="N341" s="597">
        <v>4.0</v>
      </c>
      <c r="O341" s="710" t="s">
        <v>865</v>
      </c>
      <c r="P341" s="14"/>
      <c r="Q341" s="452" t="str">
        <f>MATCH($D341,Reference!$J$5:$J$9,0)</f>
        <v>3</v>
      </c>
      <c r="R341" s="452" t="str">
        <f>MATCH($E341,Reference!$J$26:$J$32,0)</f>
        <v>5</v>
      </c>
      <c r="S341" s="452" t="str">
        <f>MATCH($F341,Reference!$J$45:$J$54,0)</f>
        <v>8</v>
      </c>
      <c r="T341" s="453" t="str">
        <f>MATCH($K341,Reference!$J$37:$J$39,0)</f>
        <v>3</v>
      </c>
      <c r="U341" s="454" t="str">
        <f t="shared" si="613"/>
        <v>2</v>
      </c>
      <c r="V341" s="454" t="str">
        <f t="shared" si="3"/>
        <v>1</v>
      </c>
      <c r="W341" s="454" t="str">
        <f t="shared" ref="W341:W342" si="642">(MIN(G341,2)+H341-U341)*100</f>
        <v>0</v>
      </c>
      <c r="X341" s="454" t="str">
        <f t="shared" si="614"/>
        <v>2</v>
      </c>
      <c r="Y341" s="456" t="str">
        <f t="shared" si="5"/>
        <v>FALSE</v>
      </c>
      <c r="Z341" s="456" t="str">
        <f t="shared" si="6"/>
        <v>FALSE</v>
      </c>
      <c r="AA341" s="457" t="str">
        <f t="shared" ref="AA341:AB341" si="641">1-I341</f>
        <v>0%</v>
      </c>
      <c r="AB341" s="457" t="str">
        <f t="shared" si="641"/>
        <v>0%</v>
      </c>
      <c r="AC341" s="456" t="str">
        <f t="shared" si="8"/>
        <v>2</v>
      </c>
      <c r="AD341" s="458" t="str">
        <f t="shared" si="616"/>
        <v>0</v>
      </c>
      <c r="AE341" s="458" t="str">
        <f t="shared" si="10"/>
        <v>1</v>
      </c>
      <c r="AF341" s="459" t="str">
        <f>(MIN(H341,2)+G341-U341)*20</f>
        <v>0</v>
      </c>
      <c r="AG341" s="460"/>
      <c r="AH341" s="14"/>
      <c r="AI341" s="14"/>
      <c r="AJ341" s="14"/>
      <c r="AK341" s="14"/>
      <c r="AL341" s="14"/>
      <c r="AM341" s="14"/>
      <c r="AN341" s="14"/>
      <c r="AO341" s="14"/>
      <c r="AP341" s="14"/>
      <c r="AQ341" s="14"/>
      <c r="AR341" s="14"/>
      <c r="AS341" s="14"/>
      <c r="AT341" s="14"/>
    </row>
    <row r="342">
      <c r="A342" s="466"/>
      <c r="B342" s="729">
        <v>2.0</v>
      </c>
      <c r="C342" s="730" t="s">
        <v>866</v>
      </c>
      <c r="D342" s="731" t="s">
        <v>21</v>
      </c>
      <c r="E342" s="731" t="s">
        <v>36</v>
      </c>
      <c r="F342" s="732" t="s">
        <v>73</v>
      </c>
      <c r="G342" s="733">
        <v>2.0</v>
      </c>
      <c r="H342" s="733">
        <v>0.0</v>
      </c>
      <c r="I342" s="734">
        <v>1.0</v>
      </c>
      <c r="J342" s="734">
        <v>1.0</v>
      </c>
      <c r="K342" s="731" t="s">
        <v>188</v>
      </c>
      <c r="L342" s="731" t="s">
        <v>828</v>
      </c>
      <c r="M342" s="731">
        <v>3.0</v>
      </c>
      <c r="N342" s="731">
        <v>2.0</v>
      </c>
      <c r="O342" s="735" t="s">
        <v>867</v>
      </c>
      <c r="P342" s="14"/>
      <c r="Q342" s="452" t="str">
        <f>MATCH($D342,Reference!$J$5:$J$9,0)</f>
        <v>3</v>
      </c>
      <c r="R342" s="452" t="str">
        <f>MATCH($E342,Reference!$J$26:$J$32,0)</f>
        <v>7</v>
      </c>
      <c r="S342" s="452" t="str">
        <f>MATCH($F342,Reference!$J$45:$J$54,0)</f>
        <v>8</v>
      </c>
      <c r="T342" s="453" t="str">
        <f>MATCH($K342,Reference!$J$37:$J$39,0)</f>
        <v>3</v>
      </c>
      <c r="U342" s="454" t="str">
        <f t="shared" si="613"/>
        <v>2</v>
      </c>
      <c r="V342" s="454" t="str">
        <f t="shared" si="3"/>
        <v>1</v>
      </c>
      <c r="W342" s="454" t="str">
        <f t="shared" si="642"/>
        <v>0</v>
      </c>
      <c r="X342" s="454" t="str">
        <f t="shared" si="614"/>
        <v>2</v>
      </c>
      <c r="Y342" s="456" t="str">
        <f t="shared" si="5"/>
        <v>FALSE</v>
      </c>
      <c r="Z342" s="456" t="str">
        <f t="shared" si="6"/>
        <v>FALSE</v>
      </c>
      <c r="AA342" s="457" t="str">
        <f t="shared" ref="AA342:AB342" si="643">1-I342</f>
        <v>0%</v>
      </c>
      <c r="AB342" s="457" t="str">
        <f t="shared" si="643"/>
        <v>0%</v>
      </c>
      <c r="AC342" s="456" t="str">
        <f t="shared" si="8"/>
        <v>2</v>
      </c>
      <c r="AD342" s="458" t="str">
        <f t="shared" si="616"/>
        <v>0</v>
      </c>
      <c r="AE342" s="458" t="str">
        <f t="shared" si="10"/>
        <v>1</v>
      </c>
      <c r="AF342" s="459" t="str">
        <f>(MIN(H342,2)+G342-U342)*100</f>
        <v>0</v>
      </c>
      <c r="AG342" s="460"/>
      <c r="AH342" s="14"/>
      <c r="AI342" s="14"/>
      <c r="AJ342" s="14"/>
      <c r="AK342" s="14"/>
      <c r="AL342" s="14"/>
      <c r="AM342" s="14"/>
      <c r="AN342" s="14"/>
      <c r="AO342" s="14"/>
      <c r="AP342" s="14"/>
      <c r="AQ342" s="14"/>
      <c r="AR342" s="14"/>
      <c r="AS342" s="14"/>
      <c r="AT342" s="14"/>
    </row>
    <row r="343">
      <c r="A343" s="442"/>
      <c r="B343" s="607">
        <v>3.0</v>
      </c>
      <c r="C343" s="608" t="s">
        <v>868</v>
      </c>
      <c r="D343" s="609" t="s">
        <v>21</v>
      </c>
      <c r="E343" s="609" t="s">
        <v>47</v>
      </c>
      <c r="F343" s="610" t="s">
        <v>73</v>
      </c>
      <c r="G343" s="611" t="str">
        <f>IF(Summary!$Y$27&gt;=VLOOKUP(C343,Reference!$N$6:$O$36,2,0),2,0)</f>
        <v>2</v>
      </c>
      <c r="H343" s="611">
        <v>0.0</v>
      </c>
      <c r="I343" s="612">
        <v>1.0</v>
      </c>
      <c r="J343" s="612"/>
      <c r="K343" s="613" t="s">
        <v>162</v>
      </c>
      <c r="L343" s="613"/>
      <c r="M343" s="613"/>
      <c r="N343" s="613"/>
      <c r="O343" s="614" t="s">
        <v>869</v>
      </c>
      <c r="P343" s="14"/>
      <c r="Q343" s="452" t="str">
        <f>MATCH($D343,Reference!$J$5:$J$9,0)</f>
        <v>3</v>
      </c>
      <c r="R343" s="452" t="str">
        <f>MATCH($E343,Reference!$J$26:$J$32,0)</f>
        <v>6</v>
      </c>
      <c r="S343" s="452" t="str">
        <f>MATCH($F343,Reference!$J$45:$J$54,0)</f>
        <v>8</v>
      </c>
      <c r="T343" s="453" t="str">
        <f>MATCH($K343,Reference!$J$37:$J$39,0)</f>
        <v>2</v>
      </c>
      <c r="U343" s="454" t="str">
        <f t="shared" si="613"/>
        <v>2</v>
      </c>
      <c r="V343" s="454" t="str">
        <f t="shared" si="3"/>
        <v>1</v>
      </c>
      <c r="W343" s="455">
        <v>0.0</v>
      </c>
      <c r="X343" s="454" t="str">
        <f t="shared" si="614"/>
        <v>2</v>
      </c>
      <c r="Y343" s="456" t="str">
        <f t="shared" si="5"/>
        <v>FALSE</v>
      </c>
      <c r="Z343" s="456" t="str">
        <f t="shared" si="6"/>
        <v>FALSE</v>
      </c>
      <c r="AA343" s="457" t="str">
        <f t="shared" ref="AA343:AB343" si="644">1-I343</f>
        <v>0%</v>
      </c>
      <c r="AB343" s="457" t="str">
        <f t="shared" si="644"/>
        <v>100%</v>
      </c>
      <c r="AC343" s="456" t="str">
        <f t="shared" si="8"/>
        <v>2</v>
      </c>
      <c r="AD343" s="458" t="str">
        <f t="shared" si="616"/>
        <v>0</v>
      </c>
      <c r="AE343" s="458" t="str">
        <f t="shared" si="10"/>
        <v>1</v>
      </c>
      <c r="AF343" s="459" t="str">
        <f t="shared" ref="AF343:AF352" si="646">(MIN(H343,2)+G343-U343)*20</f>
        <v>0</v>
      </c>
      <c r="AG343" s="460"/>
      <c r="AH343" s="14"/>
      <c r="AI343" s="14"/>
      <c r="AJ343" s="14"/>
      <c r="AK343" s="14"/>
      <c r="AL343" s="14"/>
      <c r="AM343" s="14"/>
      <c r="AN343" s="14"/>
      <c r="AO343" s="14"/>
      <c r="AP343" s="14"/>
      <c r="AQ343" s="14"/>
      <c r="AR343" s="14"/>
      <c r="AS343" s="14"/>
      <c r="AT343" s="14"/>
    </row>
    <row r="344">
      <c r="A344" s="442"/>
      <c r="B344" s="547">
        <v>3.0</v>
      </c>
      <c r="C344" s="548" t="s">
        <v>870</v>
      </c>
      <c r="D344" s="549" t="s">
        <v>21</v>
      </c>
      <c r="E344" s="549" t="s">
        <v>33</v>
      </c>
      <c r="F344" s="550" t="s">
        <v>73</v>
      </c>
      <c r="G344" s="552">
        <v>0.0</v>
      </c>
      <c r="H344" s="551">
        <v>0.0</v>
      </c>
      <c r="I344" s="553">
        <v>1.0</v>
      </c>
      <c r="J344" s="553">
        <v>1.0</v>
      </c>
      <c r="K344" s="554" t="s">
        <v>188</v>
      </c>
      <c r="L344" s="554" t="s">
        <v>828</v>
      </c>
      <c r="M344" s="554">
        <v>3.0</v>
      </c>
      <c r="N344" s="554">
        <v>5.0</v>
      </c>
      <c r="O344" s="555" t="s">
        <v>871</v>
      </c>
      <c r="P344" s="14"/>
      <c r="Q344" s="452" t="str">
        <f>MATCH($D344,Reference!$J$5:$J$9,0)</f>
        <v>3</v>
      </c>
      <c r="R344" s="452" t="str">
        <f>MATCH($E344,Reference!$J$26:$J$32,0)</f>
        <v>2</v>
      </c>
      <c r="S344" s="452" t="str">
        <f>MATCH($F344,Reference!$J$45:$J$54,0)</f>
        <v>8</v>
      </c>
      <c r="T344" s="453" t="str">
        <f>MATCH($K344,Reference!$J$37:$J$39,0)</f>
        <v>3</v>
      </c>
      <c r="U344" s="454" t="str">
        <f t="shared" si="613"/>
        <v>0</v>
      </c>
      <c r="V344" s="454" t="str">
        <f t="shared" si="3"/>
        <v>0</v>
      </c>
      <c r="W344" s="454" t="str">
        <f t="shared" ref="W344:W352" si="647">(MIN(G344,2)+H344-U344)*100</f>
        <v>0</v>
      </c>
      <c r="X344" s="454" t="str">
        <f t="shared" si="614"/>
        <v>0</v>
      </c>
      <c r="Y344" s="456" t="str">
        <f t="shared" si="5"/>
        <v>TRUE</v>
      </c>
      <c r="Z344" s="456" t="str">
        <f t="shared" si="6"/>
        <v>TRUE</v>
      </c>
      <c r="AA344" s="457" t="str">
        <f t="shared" ref="AA344:AB344" si="645">1-I344</f>
        <v>0%</v>
      </c>
      <c r="AB344" s="457" t="str">
        <f t="shared" si="645"/>
        <v>0%</v>
      </c>
      <c r="AC344" s="456" t="str">
        <f t="shared" si="8"/>
        <v>0</v>
      </c>
      <c r="AD344" s="458" t="str">
        <f t="shared" si="616"/>
        <v>0</v>
      </c>
      <c r="AE344" s="458" t="str">
        <f t="shared" si="10"/>
        <v>0</v>
      </c>
      <c r="AF344" s="459" t="str">
        <f t="shared" si="646"/>
        <v>0</v>
      </c>
      <c r="AG344" s="460"/>
      <c r="AH344" s="14"/>
      <c r="AI344" s="14"/>
      <c r="AJ344" s="14"/>
      <c r="AK344" s="14"/>
      <c r="AL344" s="14"/>
      <c r="AM344" s="14"/>
      <c r="AN344" s="14"/>
      <c r="AO344" s="14"/>
      <c r="AP344" s="14"/>
      <c r="AQ344" s="14"/>
      <c r="AR344" s="14"/>
      <c r="AS344" s="14"/>
      <c r="AT344" s="14"/>
    </row>
    <row r="345">
      <c r="A345" s="472"/>
      <c r="B345" s="547">
        <v>3.0</v>
      </c>
      <c r="C345" s="548" t="s">
        <v>872</v>
      </c>
      <c r="D345" s="549" t="s">
        <v>21</v>
      </c>
      <c r="E345" s="549" t="s">
        <v>33</v>
      </c>
      <c r="F345" s="550" t="s">
        <v>73</v>
      </c>
      <c r="G345" s="551">
        <v>2.0</v>
      </c>
      <c r="H345" s="551">
        <v>0.0</v>
      </c>
      <c r="I345" s="553">
        <v>1.0</v>
      </c>
      <c r="J345" s="553">
        <v>1.0</v>
      </c>
      <c r="K345" s="554" t="s">
        <v>188</v>
      </c>
      <c r="L345" s="554" t="s">
        <v>828</v>
      </c>
      <c r="M345" s="554">
        <v>3.0</v>
      </c>
      <c r="N345" s="554">
        <v>3.0</v>
      </c>
      <c r="O345" s="555" t="s">
        <v>873</v>
      </c>
      <c r="P345" s="14"/>
      <c r="Q345" s="452" t="str">
        <f>MATCH($D345,Reference!$J$5:$J$9,0)</f>
        <v>3</v>
      </c>
      <c r="R345" s="452" t="str">
        <f>MATCH($E345,Reference!$J$26:$J$32,0)</f>
        <v>2</v>
      </c>
      <c r="S345" s="452" t="str">
        <f>MATCH($F345,Reference!$J$45:$J$54,0)</f>
        <v>8</v>
      </c>
      <c r="T345" s="453" t="str">
        <f>MATCH($K345,Reference!$J$37:$J$39,0)</f>
        <v>3</v>
      </c>
      <c r="U345" s="454" t="str">
        <f t="shared" si="613"/>
        <v>2</v>
      </c>
      <c r="V345" s="454" t="str">
        <f t="shared" si="3"/>
        <v>1</v>
      </c>
      <c r="W345" s="454" t="str">
        <f t="shared" si="647"/>
        <v>0</v>
      </c>
      <c r="X345" s="454" t="str">
        <f t="shared" si="614"/>
        <v>2</v>
      </c>
      <c r="Y345" s="456" t="str">
        <f t="shared" si="5"/>
        <v>FALSE</v>
      </c>
      <c r="Z345" s="456" t="str">
        <f t="shared" si="6"/>
        <v>FALSE</v>
      </c>
      <c r="AA345" s="457" t="str">
        <f t="shared" ref="AA345:AB345" si="648">1-I345</f>
        <v>0%</v>
      </c>
      <c r="AB345" s="457" t="str">
        <f t="shared" si="648"/>
        <v>0%</v>
      </c>
      <c r="AC345" s="456" t="str">
        <f t="shared" si="8"/>
        <v>2</v>
      </c>
      <c r="AD345" s="458" t="str">
        <f t="shared" si="616"/>
        <v>0</v>
      </c>
      <c r="AE345" s="458" t="str">
        <f t="shared" si="10"/>
        <v>1</v>
      </c>
      <c r="AF345" s="459" t="str">
        <f t="shared" si="646"/>
        <v>0</v>
      </c>
      <c r="AG345" s="460"/>
      <c r="AH345" s="14"/>
      <c r="AI345" s="14"/>
      <c r="AJ345" s="14"/>
      <c r="AK345" s="14"/>
      <c r="AL345" s="14"/>
      <c r="AM345" s="14"/>
      <c r="AN345" s="14"/>
      <c r="AO345" s="14"/>
      <c r="AP345" s="14"/>
      <c r="AQ345" s="14"/>
      <c r="AR345" s="14"/>
      <c r="AS345" s="14"/>
      <c r="AT345" s="14"/>
    </row>
    <row r="346">
      <c r="A346" s="466"/>
      <c r="B346" s="594">
        <v>4.0</v>
      </c>
      <c r="C346" s="595" t="s">
        <v>874</v>
      </c>
      <c r="D346" s="575" t="s">
        <v>21</v>
      </c>
      <c r="E346" s="575" t="s">
        <v>35</v>
      </c>
      <c r="F346" s="576" t="s">
        <v>73</v>
      </c>
      <c r="G346" s="597">
        <v>2.0</v>
      </c>
      <c r="H346" s="596">
        <v>0.0</v>
      </c>
      <c r="I346" s="598">
        <v>1.0</v>
      </c>
      <c r="J346" s="598">
        <v>1.0</v>
      </c>
      <c r="K346" s="600" t="s">
        <v>188</v>
      </c>
      <c r="L346" s="600" t="s">
        <v>198</v>
      </c>
      <c r="M346" s="600">
        <v>3.0</v>
      </c>
      <c r="N346" s="600">
        <v>5.0</v>
      </c>
      <c r="O346" s="599" t="s">
        <v>875</v>
      </c>
      <c r="P346" s="14"/>
      <c r="Q346" s="452" t="str">
        <f>MATCH($D346,Reference!$J$5:$J$9,0)</f>
        <v>3</v>
      </c>
      <c r="R346" s="452" t="str">
        <f>MATCH($E346,Reference!$J$26:$J$32,0)</f>
        <v>5</v>
      </c>
      <c r="S346" s="452" t="str">
        <f>MATCH($F346,Reference!$J$45:$J$54,0)</f>
        <v>8</v>
      </c>
      <c r="T346" s="453" t="str">
        <f>MATCH($K346,Reference!$J$37:$J$39,0)</f>
        <v>3</v>
      </c>
      <c r="U346" s="454" t="str">
        <f t="shared" si="613"/>
        <v>2</v>
      </c>
      <c r="V346" s="454" t="str">
        <f t="shared" si="3"/>
        <v>1</v>
      </c>
      <c r="W346" s="454" t="str">
        <f t="shared" si="647"/>
        <v>0</v>
      </c>
      <c r="X346" s="454" t="str">
        <f t="shared" si="614"/>
        <v>2</v>
      </c>
      <c r="Y346" s="456" t="str">
        <f t="shared" si="5"/>
        <v>FALSE</v>
      </c>
      <c r="Z346" s="456" t="str">
        <f t="shared" si="6"/>
        <v>FALSE</v>
      </c>
      <c r="AA346" s="457" t="str">
        <f t="shared" ref="AA346:AB346" si="649">1-I346</f>
        <v>0%</v>
      </c>
      <c r="AB346" s="457" t="str">
        <f t="shared" si="649"/>
        <v>0%</v>
      </c>
      <c r="AC346" s="456" t="str">
        <f t="shared" si="8"/>
        <v>2</v>
      </c>
      <c r="AD346" s="458" t="str">
        <f t="shared" si="616"/>
        <v>0</v>
      </c>
      <c r="AE346" s="458" t="str">
        <f t="shared" si="10"/>
        <v>1</v>
      </c>
      <c r="AF346" s="459" t="str">
        <f t="shared" si="646"/>
        <v>0</v>
      </c>
      <c r="AG346" s="460"/>
      <c r="AH346" s="14"/>
      <c r="AI346" s="14"/>
      <c r="AJ346" s="14"/>
      <c r="AK346" s="14"/>
      <c r="AL346" s="14"/>
      <c r="AM346" s="14"/>
      <c r="AN346" s="14"/>
      <c r="AO346" s="14"/>
      <c r="AP346" s="14"/>
      <c r="AQ346" s="14"/>
      <c r="AR346" s="14"/>
      <c r="AS346" s="14"/>
      <c r="AT346" s="14"/>
    </row>
    <row r="347">
      <c r="A347" s="466"/>
      <c r="B347" s="560">
        <v>4.0</v>
      </c>
      <c r="C347" s="561" t="s">
        <v>876</v>
      </c>
      <c r="D347" s="562" t="s">
        <v>21</v>
      </c>
      <c r="E347" s="563" t="s">
        <v>36</v>
      </c>
      <c r="F347" s="562" t="s">
        <v>73</v>
      </c>
      <c r="G347" s="564">
        <v>2.0</v>
      </c>
      <c r="H347" s="564">
        <v>0.0</v>
      </c>
      <c r="I347" s="565">
        <v>1.0</v>
      </c>
      <c r="J347" s="565">
        <v>1.0</v>
      </c>
      <c r="K347" s="563" t="s">
        <v>162</v>
      </c>
      <c r="L347" s="563"/>
      <c r="M347" s="563"/>
      <c r="N347" s="563"/>
      <c r="O347" s="566" t="s">
        <v>877</v>
      </c>
      <c r="P347" s="14"/>
      <c r="Q347" s="452" t="str">
        <f>MATCH($D347,Reference!$J$5:$J$9,0)</f>
        <v>3</v>
      </c>
      <c r="R347" s="452" t="str">
        <f>MATCH($E347,Reference!$J$26:$J$32,0)</f>
        <v>7</v>
      </c>
      <c r="S347" s="452" t="str">
        <f>MATCH($F347,Reference!$J$45:$J$54,0)</f>
        <v>8</v>
      </c>
      <c r="T347" s="453" t="str">
        <f>MATCH($K347,Reference!$J$37:$J$39,0)</f>
        <v>2</v>
      </c>
      <c r="U347" s="454" t="str">
        <f t="shared" si="613"/>
        <v>2</v>
      </c>
      <c r="V347" s="454" t="str">
        <f t="shared" si="3"/>
        <v>1</v>
      </c>
      <c r="W347" s="454" t="str">
        <f t="shared" si="647"/>
        <v>0</v>
      </c>
      <c r="X347" s="454" t="str">
        <f t="shared" si="614"/>
        <v>2</v>
      </c>
      <c r="Y347" s="456" t="str">
        <f t="shared" si="5"/>
        <v>FALSE</v>
      </c>
      <c r="Z347" s="456" t="str">
        <f t="shared" si="6"/>
        <v>FALSE</v>
      </c>
      <c r="AA347" s="457" t="str">
        <f t="shared" ref="AA347:AB347" si="650">1-I347</f>
        <v>0%</v>
      </c>
      <c r="AB347" s="457" t="str">
        <f t="shared" si="650"/>
        <v>0%</v>
      </c>
      <c r="AC347" s="456" t="str">
        <f t="shared" si="8"/>
        <v>2</v>
      </c>
      <c r="AD347" s="458" t="str">
        <f t="shared" si="616"/>
        <v>0</v>
      </c>
      <c r="AE347" s="458" t="str">
        <f t="shared" si="10"/>
        <v>1</v>
      </c>
      <c r="AF347" s="459" t="str">
        <f t="shared" si="646"/>
        <v>0</v>
      </c>
      <c r="AG347" s="460"/>
      <c r="AH347" s="14"/>
      <c r="AI347" s="14"/>
      <c r="AJ347" s="14"/>
      <c r="AK347" s="14"/>
      <c r="AL347" s="14"/>
      <c r="AM347" s="14"/>
      <c r="AN347" s="14"/>
      <c r="AO347" s="14"/>
      <c r="AP347" s="14"/>
      <c r="AQ347" s="14"/>
      <c r="AR347" s="14"/>
      <c r="AS347" s="14"/>
      <c r="AT347" s="14"/>
    </row>
    <row r="348">
      <c r="A348" s="442"/>
      <c r="B348" s="594">
        <v>4.0</v>
      </c>
      <c r="C348" s="595" t="s">
        <v>878</v>
      </c>
      <c r="D348" s="575" t="s">
        <v>21</v>
      </c>
      <c r="E348" s="575" t="s">
        <v>35</v>
      </c>
      <c r="F348" s="576" t="s">
        <v>73</v>
      </c>
      <c r="G348" s="597">
        <v>2.0</v>
      </c>
      <c r="H348" s="596">
        <v>1.0</v>
      </c>
      <c r="I348" s="598">
        <v>1.0</v>
      </c>
      <c r="J348" s="598">
        <v>1.0</v>
      </c>
      <c r="K348" s="600" t="s">
        <v>162</v>
      </c>
      <c r="L348" s="600"/>
      <c r="M348" s="600"/>
      <c r="N348" s="600"/>
      <c r="O348" s="599" t="s">
        <v>879</v>
      </c>
      <c r="P348" s="14"/>
      <c r="Q348" s="452" t="str">
        <f>MATCH($D348,Reference!$J$5:$J$9,0)</f>
        <v>3</v>
      </c>
      <c r="R348" s="452" t="str">
        <f>MATCH($E348,Reference!$J$26:$J$32,0)</f>
        <v>5</v>
      </c>
      <c r="S348" s="452" t="str">
        <f>MATCH($F348,Reference!$J$45:$J$54,0)</f>
        <v>8</v>
      </c>
      <c r="T348" s="453" t="str">
        <f>MATCH($K348,Reference!$J$37:$J$39,0)</f>
        <v>2</v>
      </c>
      <c r="U348" s="454" t="str">
        <f t="shared" si="613"/>
        <v>2</v>
      </c>
      <c r="V348" s="454" t="str">
        <f t="shared" si="3"/>
        <v>1</v>
      </c>
      <c r="W348" s="454" t="str">
        <f t="shared" si="647"/>
        <v>100</v>
      </c>
      <c r="X348" s="454" t="str">
        <f t="shared" si="614"/>
        <v>2</v>
      </c>
      <c r="Y348" s="456" t="str">
        <f t="shared" si="5"/>
        <v>FALSE</v>
      </c>
      <c r="Z348" s="456" t="str">
        <f t="shared" si="6"/>
        <v>FALSE</v>
      </c>
      <c r="AA348" s="457" t="str">
        <f t="shared" ref="AA348:AB348" si="651">1-I348</f>
        <v>0%</v>
      </c>
      <c r="AB348" s="457" t="str">
        <f t="shared" si="651"/>
        <v>0%</v>
      </c>
      <c r="AC348" s="456" t="str">
        <f t="shared" si="8"/>
        <v>2</v>
      </c>
      <c r="AD348" s="458" t="str">
        <f t="shared" si="616"/>
        <v>1</v>
      </c>
      <c r="AE348" s="458" t="str">
        <f t="shared" si="10"/>
        <v>1</v>
      </c>
      <c r="AF348" s="459" t="str">
        <f t="shared" si="646"/>
        <v>20</v>
      </c>
      <c r="AG348" s="460"/>
      <c r="AH348" s="14"/>
      <c r="AI348" s="14"/>
      <c r="AJ348" s="14"/>
      <c r="AK348" s="14"/>
      <c r="AL348" s="14"/>
      <c r="AM348" s="14"/>
      <c r="AN348" s="14"/>
      <c r="AO348" s="14"/>
      <c r="AP348" s="14"/>
      <c r="AQ348" s="14"/>
      <c r="AR348" s="14"/>
      <c r="AS348" s="14"/>
      <c r="AT348" s="14"/>
    </row>
    <row r="349">
      <c r="A349" s="513"/>
      <c r="B349" s="547">
        <v>4.0</v>
      </c>
      <c r="C349" s="548" t="s">
        <v>880</v>
      </c>
      <c r="D349" s="549" t="s">
        <v>21</v>
      </c>
      <c r="E349" s="549" t="s">
        <v>33</v>
      </c>
      <c r="F349" s="550" t="s">
        <v>73</v>
      </c>
      <c r="G349" s="551">
        <v>2.0</v>
      </c>
      <c r="H349" s="552">
        <v>0.0</v>
      </c>
      <c r="I349" s="553">
        <v>1.0</v>
      </c>
      <c r="J349" s="553">
        <v>1.0</v>
      </c>
      <c r="K349" s="554" t="s">
        <v>162</v>
      </c>
      <c r="L349" s="554"/>
      <c r="M349" s="554"/>
      <c r="N349" s="554"/>
      <c r="O349" s="555" t="s">
        <v>881</v>
      </c>
      <c r="P349" s="14"/>
      <c r="Q349" s="452" t="str">
        <f>MATCH($D349,Reference!$J$5:$J$9,0)</f>
        <v>3</v>
      </c>
      <c r="R349" s="452" t="str">
        <f>MATCH($E349,Reference!$J$26:$J$32,0)</f>
        <v>2</v>
      </c>
      <c r="S349" s="452" t="str">
        <f>MATCH($F349,Reference!$J$45:$J$54,0)</f>
        <v>8</v>
      </c>
      <c r="T349" s="453" t="str">
        <f>MATCH($K349,Reference!$J$37:$J$39,0)</f>
        <v>2</v>
      </c>
      <c r="U349" s="454" t="str">
        <f t="shared" si="613"/>
        <v>2</v>
      </c>
      <c r="V349" s="454" t="str">
        <f t="shared" si="3"/>
        <v>1</v>
      </c>
      <c r="W349" s="454" t="str">
        <f t="shared" si="647"/>
        <v>0</v>
      </c>
      <c r="X349" s="454" t="str">
        <f t="shared" si="614"/>
        <v>2</v>
      </c>
      <c r="Y349" s="456" t="str">
        <f t="shared" si="5"/>
        <v>FALSE</v>
      </c>
      <c r="Z349" s="456" t="str">
        <f t="shared" si="6"/>
        <v>FALSE</v>
      </c>
      <c r="AA349" s="457" t="str">
        <f t="shared" ref="AA349:AB349" si="652">1-I349</f>
        <v>0%</v>
      </c>
      <c r="AB349" s="457" t="str">
        <f t="shared" si="652"/>
        <v>0%</v>
      </c>
      <c r="AC349" s="456" t="str">
        <f t="shared" si="8"/>
        <v>2</v>
      </c>
      <c r="AD349" s="458" t="str">
        <f t="shared" si="616"/>
        <v>0</v>
      </c>
      <c r="AE349" s="458" t="str">
        <f t="shared" si="10"/>
        <v>1</v>
      </c>
      <c r="AF349" s="459" t="str">
        <f t="shared" si="646"/>
        <v>0</v>
      </c>
      <c r="AG349" s="460"/>
      <c r="AH349" s="14"/>
      <c r="AI349" s="14"/>
      <c r="AJ349" s="14"/>
      <c r="AK349" s="14"/>
      <c r="AL349" s="14"/>
      <c r="AM349" s="14"/>
      <c r="AN349" s="14"/>
      <c r="AO349" s="14"/>
      <c r="AP349" s="14"/>
      <c r="AQ349" s="14"/>
      <c r="AR349" s="14"/>
      <c r="AS349" s="14"/>
      <c r="AT349" s="14"/>
    </row>
    <row r="350">
      <c r="A350" s="466"/>
      <c r="B350" s="547">
        <v>5.0</v>
      </c>
      <c r="C350" s="548" t="s">
        <v>882</v>
      </c>
      <c r="D350" s="549" t="s">
        <v>21</v>
      </c>
      <c r="E350" s="549" t="s">
        <v>33</v>
      </c>
      <c r="F350" s="550" t="s">
        <v>73</v>
      </c>
      <c r="G350" s="551">
        <v>2.0</v>
      </c>
      <c r="H350" s="551">
        <v>0.0</v>
      </c>
      <c r="I350" s="553">
        <v>1.0</v>
      </c>
      <c r="J350" s="553">
        <v>1.0</v>
      </c>
      <c r="K350" s="554" t="s">
        <v>188</v>
      </c>
      <c r="L350" s="554" t="s">
        <v>828</v>
      </c>
      <c r="M350" s="554">
        <v>5.0</v>
      </c>
      <c r="N350" s="554">
        <v>7.0</v>
      </c>
      <c r="O350" s="555" t="s">
        <v>883</v>
      </c>
      <c r="P350" s="14"/>
      <c r="Q350" s="452" t="str">
        <f>MATCH($D350,Reference!$J$5:$J$9,0)</f>
        <v>3</v>
      </c>
      <c r="R350" s="452" t="str">
        <f>MATCH($E350,Reference!$J$26:$J$32,0)</f>
        <v>2</v>
      </c>
      <c r="S350" s="452" t="str">
        <f>MATCH($F350,Reference!$J$45:$J$54,0)</f>
        <v>8</v>
      </c>
      <c r="T350" s="453" t="str">
        <f>MATCH($K350,Reference!$J$37:$J$39,0)</f>
        <v>3</v>
      </c>
      <c r="U350" s="454" t="str">
        <f t="shared" si="613"/>
        <v>2</v>
      </c>
      <c r="V350" s="454" t="str">
        <f t="shared" si="3"/>
        <v>1</v>
      </c>
      <c r="W350" s="454" t="str">
        <f t="shared" si="647"/>
        <v>0</v>
      </c>
      <c r="X350" s="454" t="str">
        <f t="shared" si="614"/>
        <v>2</v>
      </c>
      <c r="Y350" s="456" t="str">
        <f t="shared" si="5"/>
        <v>FALSE</v>
      </c>
      <c r="Z350" s="456" t="str">
        <f t="shared" si="6"/>
        <v>FALSE</v>
      </c>
      <c r="AA350" s="457" t="str">
        <f t="shared" ref="AA350:AB350" si="653">1-I350</f>
        <v>0%</v>
      </c>
      <c r="AB350" s="457" t="str">
        <f t="shared" si="653"/>
        <v>0%</v>
      </c>
      <c r="AC350" s="456" t="str">
        <f t="shared" si="8"/>
        <v>2</v>
      </c>
      <c r="AD350" s="458" t="str">
        <f t="shared" si="616"/>
        <v>0</v>
      </c>
      <c r="AE350" s="458" t="str">
        <f t="shared" si="10"/>
        <v>1</v>
      </c>
      <c r="AF350" s="459" t="str">
        <f t="shared" si="646"/>
        <v>0</v>
      </c>
      <c r="AG350" s="460"/>
      <c r="AH350" s="14"/>
      <c r="AI350" s="14"/>
      <c r="AJ350" s="14"/>
      <c r="AK350" s="14"/>
      <c r="AL350" s="14"/>
      <c r="AM350" s="14"/>
      <c r="AN350" s="14"/>
      <c r="AO350" s="14"/>
      <c r="AP350" s="14"/>
      <c r="AQ350" s="14"/>
      <c r="AR350" s="14"/>
      <c r="AS350" s="14"/>
      <c r="AT350" s="14"/>
    </row>
    <row r="351">
      <c r="A351" s="442"/>
      <c r="B351" s="547">
        <v>6.0</v>
      </c>
      <c r="C351" s="548" t="s">
        <v>884</v>
      </c>
      <c r="D351" s="549" t="s">
        <v>21</v>
      </c>
      <c r="E351" s="549" t="s">
        <v>33</v>
      </c>
      <c r="F351" s="550" t="s">
        <v>73</v>
      </c>
      <c r="G351" s="551">
        <v>2.0</v>
      </c>
      <c r="H351" s="552">
        <v>0.0</v>
      </c>
      <c r="I351" s="553">
        <v>1.0</v>
      </c>
      <c r="J351" s="553">
        <v>1.0</v>
      </c>
      <c r="K351" s="554" t="s">
        <v>162</v>
      </c>
      <c r="L351" s="554"/>
      <c r="M351" s="554"/>
      <c r="N351" s="554"/>
      <c r="O351" s="555" t="s">
        <v>885</v>
      </c>
      <c r="P351" s="14"/>
      <c r="Q351" s="452" t="str">
        <f>MATCH($D351,Reference!$J$5:$J$9,0)</f>
        <v>3</v>
      </c>
      <c r="R351" s="452" t="str">
        <f>MATCH($E351,Reference!$J$26:$J$32,0)</f>
        <v>2</v>
      </c>
      <c r="S351" s="452" t="str">
        <f>MATCH($F351,Reference!$J$45:$J$54,0)</f>
        <v>8</v>
      </c>
      <c r="T351" s="453" t="str">
        <f>MATCH($K351,Reference!$J$37:$J$39,0)</f>
        <v>2</v>
      </c>
      <c r="U351" s="454" t="str">
        <f t="shared" si="613"/>
        <v>2</v>
      </c>
      <c r="V351" s="454" t="str">
        <f t="shared" si="3"/>
        <v>1</v>
      </c>
      <c r="W351" s="454" t="str">
        <f t="shared" si="647"/>
        <v>0</v>
      </c>
      <c r="X351" s="454" t="str">
        <f t="shared" si="614"/>
        <v>2</v>
      </c>
      <c r="Y351" s="456" t="str">
        <f t="shared" si="5"/>
        <v>FALSE</v>
      </c>
      <c r="Z351" s="456" t="str">
        <f t="shared" si="6"/>
        <v>FALSE</v>
      </c>
      <c r="AA351" s="457" t="str">
        <f t="shared" ref="AA351:AB351" si="654">1-I351</f>
        <v>0%</v>
      </c>
      <c r="AB351" s="457" t="str">
        <f t="shared" si="654"/>
        <v>0%</v>
      </c>
      <c r="AC351" s="456" t="str">
        <f t="shared" si="8"/>
        <v>2</v>
      </c>
      <c r="AD351" s="458" t="str">
        <f t="shared" si="616"/>
        <v>0</v>
      </c>
      <c r="AE351" s="458" t="str">
        <f t="shared" si="10"/>
        <v>1</v>
      </c>
      <c r="AF351" s="459" t="str">
        <f t="shared" si="646"/>
        <v>0</v>
      </c>
      <c r="AG351" s="460"/>
      <c r="AH351" s="14"/>
      <c r="AI351" s="14"/>
      <c r="AJ351" s="14"/>
      <c r="AK351" s="14"/>
      <c r="AL351" s="14"/>
      <c r="AM351" s="14"/>
      <c r="AN351" s="14"/>
      <c r="AO351" s="14"/>
      <c r="AP351" s="14"/>
      <c r="AQ351" s="14"/>
      <c r="AR351" s="14"/>
      <c r="AS351" s="14"/>
      <c r="AT351" s="14"/>
    </row>
    <row r="352">
      <c r="A352" s="466"/>
      <c r="B352" s="560">
        <v>6.0</v>
      </c>
      <c r="C352" s="561" t="s">
        <v>886</v>
      </c>
      <c r="D352" s="562" t="s">
        <v>21</v>
      </c>
      <c r="E352" s="563" t="s">
        <v>36</v>
      </c>
      <c r="F352" s="562" t="s">
        <v>73</v>
      </c>
      <c r="G352" s="564">
        <v>1.0</v>
      </c>
      <c r="H352" s="564">
        <v>0.0</v>
      </c>
      <c r="I352" s="565">
        <v>1.0</v>
      </c>
      <c r="J352" s="565">
        <v>1.0</v>
      </c>
      <c r="K352" s="563" t="s">
        <v>188</v>
      </c>
      <c r="L352" s="563" t="s">
        <v>828</v>
      </c>
      <c r="M352" s="563">
        <v>5.0</v>
      </c>
      <c r="N352" s="563">
        <v>4.0</v>
      </c>
      <c r="O352" s="566" t="s">
        <v>887</v>
      </c>
      <c r="P352" s="14"/>
      <c r="Q352" s="452" t="str">
        <f>MATCH($D352,Reference!$J$5:$J$9,0)</f>
        <v>3</v>
      </c>
      <c r="R352" s="452" t="str">
        <f>MATCH($E352,Reference!$J$26:$J$32,0)</f>
        <v>7</v>
      </c>
      <c r="S352" s="452" t="str">
        <f>MATCH($F352,Reference!$J$45:$J$54,0)</f>
        <v>8</v>
      </c>
      <c r="T352" s="453" t="str">
        <f>MATCH($K352,Reference!$J$37:$J$39,0)</f>
        <v>3</v>
      </c>
      <c r="U352" s="454" t="str">
        <f t="shared" si="613"/>
        <v>1</v>
      </c>
      <c r="V352" s="454" t="str">
        <f t="shared" si="3"/>
        <v>1</v>
      </c>
      <c r="W352" s="454" t="str">
        <f t="shared" si="647"/>
        <v>0</v>
      </c>
      <c r="X352" s="454" t="str">
        <f t="shared" si="614"/>
        <v>1</v>
      </c>
      <c r="Y352" s="456" t="str">
        <f t="shared" si="5"/>
        <v>FALSE</v>
      </c>
      <c r="Z352" s="456" t="str">
        <f t="shared" si="6"/>
        <v>TRUE</v>
      </c>
      <c r="AA352" s="457" t="str">
        <f t="shared" ref="AA352:AB352" si="655">1-I352</f>
        <v>0%</v>
      </c>
      <c r="AB352" s="457" t="str">
        <f t="shared" si="655"/>
        <v>0%</v>
      </c>
      <c r="AC352" s="456" t="str">
        <f t="shared" si="8"/>
        <v>1</v>
      </c>
      <c r="AD352" s="458" t="str">
        <f t="shared" si="616"/>
        <v>0</v>
      </c>
      <c r="AE352" s="458" t="str">
        <f t="shared" si="10"/>
        <v>1</v>
      </c>
      <c r="AF352" s="459" t="str">
        <f t="shared" si="646"/>
        <v>0</v>
      </c>
      <c r="AG352" s="460"/>
      <c r="AH352" s="14"/>
      <c r="AI352" s="14"/>
      <c r="AJ352" s="14"/>
      <c r="AK352" s="14"/>
      <c r="AL352" s="14"/>
      <c r="AM352" s="14"/>
      <c r="AN352" s="14"/>
      <c r="AO352" s="14"/>
      <c r="AP352" s="14"/>
      <c r="AQ352" s="14"/>
      <c r="AR352" s="14"/>
      <c r="AS352" s="14"/>
      <c r="AT352" s="14"/>
    </row>
    <row r="353">
      <c r="A353" s="472"/>
      <c r="B353" s="618">
        <v>4.0</v>
      </c>
      <c r="C353" s="619" t="s">
        <v>888</v>
      </c>
      <c r="D353" s="620" t="s">
        <v>22</v>
      </c>
      <c r="E353" s="621" t="s">
        <v>36</v>
      </c>
      <c r="F353" s="620" t="s">
        <v>73</v>
      </c>
      <c r="G353" s="622">
        <v>1.0</v>
      </c>
      <c r="H353" s="622">
        <v>0.0</v>
      </c>
      <c r="I353" s="623">
        <v>1.0</v>
      </c>
      <c r="J353" s="623">
        <v>1.0</v>
      </c>
      <c r="K353" s="621" t="s">
        <v>188</v>
      </c>
      <c r="L353" s="621" t="s">
        <v>828</v>
      </c>
      <c r="M353" s="621">
        <v>1.0</v>
      </c>
      <c r="N353" s="621">
        <v>1.0</v>
      </c>
      <c r="O353" s="624" t="s">
        <v>889</v>
      </c>
      <c r="P353" s="14"/>
      <c r="Q353" s="452" t="str">
        <f>MATCH($D353,Reference!$J$5:$J$9,0)</f>
        <v>4</v>
      </c>
      <c r="R353" s="452" t="str">
        <f>MATCH($E353,Reference!$J$26:$J$32,0)</f>
        <v>7</v>
      </c>
      <c r="S353" s="452" t="str">
        <f>MATCH($F353,Reference!$J$45:$J$54,0)</f>
        <v>8</v>
      </c>
      <c r="T353" s="453" t="str">
        <f>MATCH($K353,Reference!$J$37:$J$39,0)</f>
        <v>3</v>
      </c>
      <c r="U353" s="454" t="str">
        <f t="shared" si="613"/>
        <v>1</v>
      </c>
      <c r="V353" s="454" t="str">
        <f t="shared" si="3"/>
        <v>1</v>
      </c>
      <c r="W353" s="454" t="str">
        <f t="shared" ref="W353:W359" si="657">(MIN(G353,2)+H353-U353)*400</f>
        <v>0</v>
      </c>
      <c r="X353" s="454" t="str">
        <f t="shared" si="614"/>
        <v>1</v>
      </c>
      <c r="Y353" s="456" t="str">
        <f t="shared" si="5"/>
        <v>FALSE</v>
      </c>
      <c r="Z353" s="456" t="str">
        <f t="shared" si="6"/>
        <v>FALSE</v>
      </c>
      <c r="AA353" s="457" t="str">
        <f t="shared" ref="AA353:AB353" si="656">1-I353</f>
        <v>0%</v>
      </c>
      <c r="AB353" s="457" t="str">
        <f t="shared" si="656"/>
        <v>0%</v>
      </c>
      <c r="AC353" s="456" t="str">
        <f t="shared" si="8"/>
        <v>1</v>
      </c>
      <c r="AD353" s="458" t="str">
        <f t="shared" si="616"/>
        <v>0</v>
      </c>
      <c r="AE353" s="458" t="str">
        <f t="shared" si="10"/>
        <v>1</v>
      </c>
      <c r="AF353" s="459" t="str">
        <f t="shared" ref="AF353:AF359" si="659">(MIN(H353,2)+G353-U353)*100</f>
        <v>0</v>
      </c>
      <c r="AG353" s="460"/>
      <c r="AH353" s="14"/>
      <c r="AI353" s="14"/>
      <c r="AJ353" s="14"/>
      <c r="AK353" s="14"/>
      <c r="AL353" s="14"/>
      <c r="AM353" s="14"/>
      <c r="AN353" s="14"/>
      <c r="AO353" s="14"/>
      <c r="AP353" s="14"/>
      <c r="AQ353" s="14"/>
      <c r="AR353" s="14"/>
      <c r="AS353" s="14"/>
      <c r="AT353" s="14"/>
    </row>
    <row r="354">
      <c r="A354" s="509"/>
      <c r="B354" s="634">
        <v>4.0</v>
      </c>
      <c r="C354" s="635" t="s">
        <v>890</v>
      </c>
      <c r="D354" s="636" t="s">
        <v>22</v>
      </c>
      <c r="E354" s="636" t="s">
        <v>33</v>
      </c>
      <c r="F354" s="637" t="s">
        <v>73</v>
      </c>
      <c r="G354" s="639">
        <v>1.0</v>
      </c>
      <c r="H354" s="638">
        <v>0.0</v>
      </c>
      <c r="I354" s="640">
        <v>1.0</v>
      </c>
      <c r="J354" s="640">
        <v>1.0</v>
      </c>
      <c r="K354" s="568" t="s">
        <v>188</v>
      </c>
      <c r="L354" s="641" t="s">
        <v>828</v>
      </c>
      <c r="M354" s="568">
        <v>5.0</v>
      </c>
      <c r="N354" s="568">
        <v>6.0</v>
      </c>
      <c r="O354" s="642" t="s">
        <v>891</v>
      </c>
      <c r="P354" s="14"/>
      <c r="Q354" s="452" t="str">
        <f>MATCH($D354,Reference!$J$5:$J$9,0)</f>
        <v>4</v>
      </c>
      <c r="R354" s="452" t="str">
        <f>MATCH($E354,Reference!$J$26:$J$32,0)</f>
        <v>2</v>
      </c>
      <c r="S354" s="452" t="str">
        <f>MATCH($F354,Reference!$J$45:$J$54,0)</f>
        <v>8</v>
      </c>
      <c r="T354" s="453" t="str">
        <f>MATCH($K354,Reference!$J$37:$J$39,0)</f>
        <v>3</v>
      </c>
      <c r="U354" s="454" t="str">
        <f t="shared" si="613"/>
        <v>1</v>
      </c>
      <c r="V354" s="454" t="str">
        <f t="shared" si="3"/>
        <v>1</v>
      </c>
      <c r="W354" s="454" t="str">
        <f t="shared" si="657"/>
        <v>0</v>
      </c>
      <c r="X354" s="454" t="str">
        <f t="shared" si="614"/>
        <v>1</v>
      </c>
      <c r="Y354" s="456" t="str">
        <f t="shared" si="5"/>
        <v>FALSE</v>
      </c>
      <c r="Z354" s="456" t="str">
        <f t="shared" si="6"/>
        <v>FALSE</v>
      </c>
      <c r="AA354" s="457" t="str">
        <f t="shared" ref="AA354:AB354" si="658">1-I354</f>
        <v>0%</v>
      </c>
      <c r="AB354" s="457" t="str">
        <f t="shared" si="658"/>
        <v>0%</v>
      </c>
      <c r="AC354" s="456" t="str">
        <f t="shared" si="8"/>
        <v>1</v>
      </c>
      <c r="AD354" s="458" t="str">
        <f t="shared" si="616"/>
        <v>0</v>
      </c>
      <c r="AE354" s="458" t="str">
        <f t="shared" si="10"/>
        <v>1</v>
      </c>
      <c r="AF354" s="459" t="str">
        <f t="shared" si="659"/>
        <v>0</v>
      </c>
      <c r="AG354" s="460"/>
      <c r="AH354" s="14"/>
      <c r="AI354" s="14"/>
      <c r="AJ354" s="14"/>
      <c r="AK354" s="14"/>
      <c r="AL354" s="14"/>
      <c r="AM354" s="14"/>
      <c r="AN354" s="14"/>
      <c r="AO354" s="14"/>
      <c r="AP354" s="14"/>
      <c r="AQ354" s="14"/>
      <c r="AR354" s="14"/>
      <c r="AS354" s="14"/>
      <c r="AT354" s="14"/>
    </row>
    <row r="355">
      <c r="A355" s="442"/>
      <c r="B355" s="634">
        <v>5.0</v>
      </c>
      <c r="C355" s="635" t="s">
        <v>892</v>
      </c>
      <c r="D355" s="636" t="s">
        <v>22</v>
      </c>
      <c r="E355" s="636" t="s">
        <v>33</v>
      </c>
      <c r="F355" s="637" t="s">
        <v>73</v>
      </c>
      <c r="G355" s="638">
        <v>2.0</v>
      </c>
      <c r="H355" s="638">
        <v>0.0</v>
      </c>
      <c r="I355" s="640">
        <v>1.0</v>
      </c>
      <c r="J355" s="640">
        <v>1.0</v>
      </c>
      <c r="K355" s="641" t="s">
        <v>162</v>
      </c>
      <c r="L355" s="641"/>
      <c r="M355" s="641"/>
      <c r="N355" s="641"/>
      <c r="O355" s="642" t="s">
        <v>893</v>
      </c>
      <c r="P355" s="14"/>
      <c r="Q355" s="452" t="str">
        <f>MATCH($D355,Reference!$J$5:$J$9,0)</f>
        <v>4</v>
      </c>
      <c r="R355" s="452" t="str">
        <f>MATCH($E355,Reference!$J$26:$J$32,0)</f>
        <v>2</v>
      </c>
      <c r="S355" s="452" t="str">
        <f>MATCH($F355,Reference!$J$45:$J$54,0)</f>
        <v>8</v>
      </c>
      <c r="T355" s="453" t="str">
        <f>MATCH($K355,Reference!$J$37:$J$39,0)</f>
        <v>2</v>
      </c>
      <c r="U355" s="454" t="str">
        <f t="shared" si="613"/>
        <v>2</v>
      </c>
      <c r="V355" s="454" t="str">
        <f t="shared" si="3"/>
        <v>1</v>
      </c>
      <c r="W355" s="454" t="str">
        <f t="shared" si="657"/>
        <v>0</v>
      </c>
      <c r="X355" s="454" t="str">
        <f t="shared" si="614"/>
        <v>2</v>
      </c>
      <c r="Y355" s="456" t="str">
        <f t="shared" si="5"/>
        <v>FALSE</v>
      </c>
      <c r="Z355" s="456" t="str">
        <f t="shared" si="6"/>
        <v>FALSE</v>
      </c>
      <c r="AA355" s="457" t="str">
        <f t="shared" ref="AA355:AB355" si="660">1-I355</f>
        <v>0%</v>
      </c>
      <c r="AB355" s="457" t="str">
        <f t="shared" si="660"/>
        <v>0%</v>
      </c>
      <c r="AC355" s="456" t="str">
        <f t="shared" si="8"/>
        <v>2</v>
      </c>
      <c r="AD355" s="458" t="str">
        <f t="shared" si="616"/>
        <v>0</v>
      </c>
      <c r="AE355" s="458" t="str">
        <f t="shared" si="10"/>
        <v>1</v>
      </c>
      <c r="AF355" s="459" t="str">
        <f t="shared" si="659"/>
        <v>0</v>
      </c>
      <c r="AG355" s="460"/>
      <c r="AH355" s="14"/>
      <c r="AI355" s="14"/>
      <c r="AJ355" s="14"/>
      <c r="AK355" s="14"/>
      <c r="AL355" s="14"/>
      <c r="AM355" s="14"/>
      <c r="AN355" s="14"/>
      <c r="AO355" s="14"/>
      <c r="AP355" s="14"/>
      <c r="AQ355" s="14"/>
      <c r="AR355" s="14"/>
      <c r="AS355" s="14"/>
      <c r="AT355" s="14"/>
    </row>
    <row r="356">
      <c r="A356" s="442"/>
      <c r="B356" s="625">
        <v>5.0</v>
      </c>
      <c r="C356" s="646" t="s">
        <v>894</v>
      </c>
      <c r="D356" s="627" t="s">
        <v>22</v>
      </c>
      <c r="E356" s="627" t="s">
        <v>35</v>
      </c>
      <c r="F356" s="628" t="s">
        <v>73</v>
      </c>
      <c r="G356" s="630">
        <v>1.0</v>
      </c>
      <c r="H356" s="630">
        <v>0.0</v>
      </c>
      <c r="I356" s="631">
        <v>1.0</v>
      </c>
      <c r="J356" s="631">
        <v>1.0</v>
      </c>
      <c r="K356" s="632" t="s">
        <v>162</v>
      </c>
      <c r="L356" s="632"/>
      <c r="M356" s="632"/>
      <c r="N356" s="632"/>
      <c r="O356" s="633" t="s">
        <v>895</v>
      </c>
      <c r="P356" s="14"/>
      <c r="Q356" s="452" t="str">
        <f>MATCH($D356,Reference!$J$5:$J$9,0)</f>
        <v>4</v>
      </c>
      <c r="R356" s="452" t="str">
        <f>MATCH($E356,Reference!$J$26:$J$32,0)</f>
        <v>5</v>
      </c>
      <c r="S356" s="452" t="str">
        <f>MATCH($F356,Reference!$J$45:$J$54,0)</f>
        <v>8</v>
      </c>
      <c r="T356" s="453" t="str">
        <f>MATCH($K356,Reference!$J$37:$J$39,0)</f>
        <v>2</v>
      </c>
      <c r="U356" s="454" t="str">
        <f t="shared" si="613"/>
        <v>1</v>
      </c>
      <c r="V356" s="454" t="str">
        <f t="shared" si="3"/>
        <v>1</v>
      </c>
      <c r="W356" s="454" t="str">
        <f t="shared" si="657"/>
        <v>0</v>
      </c>
      <c r="X356" s="454" t="str">
        <f t="shared" si="614"/>
        <v>1</v>
      </c>
      <c r="Y356" s="456" t="str">
        <f t="shared" si="5"/>
        <v>FALSE</v>
      </c>
      <c r="Z356" s="456" t="str">
        <f t="shared" si="6"/>
        <v>FALSE</v>
      </c>
      <c r="AA356" s="457" t="str">
        <f t="shared" ref="AA356:AB356" si="661">1-I356</f>
        <v>0%</v>
      </c>
      <c r="AB356" s="457" t="str">
        <f t="shared" si="661"/>
        <v>0%</v>
      </c>
      <c r="AC356" s="456" t="str">
        <f t="shared" si="8"/>
        <v>1</v>
      </c>
      <c r="AD356" s="458" t="str">
        <f t="shared" si="616"/>
        <v>0</v>
      </c>
      <c r="AE356" s="458" t="str">
        <f t="shared" si="10"/>
        <v>1</v>
      </c>
      <c r="AF356" s="459" t="str">
        <f t="shared" si="659"/>
        <v>0</v>
      </c>
      <c r="AG356" s="460"/>
      <c r="AH356" s="14"/>
      <c r="AI356" s="14"/>
      <c r="AJ356" s="14"/>
      <c r="AK356" s="14"/>
      <c r="AL356" s="14"/>
      <c r="AM356" s="14"/>
      <c r="AN356" s="14"/>
      <c r="AO356" s="14"/>
      <c r="AP356" s="14"/>
      <c r="AQ356" s="14"/>
      <c r="AR356" s="14"/>
      <c r="AS356" s="14"/>
      <c r="AT356" s="14"/>
    </row>
    <row r="357">
      <c r="A357" s="442"/>
      <c r="B357" s="625">
        <v>6.0</v>
      </c>
      <c r="C357" s="646" t="s">
        <v>896</v>
      </c>
      <c r="D357" s="627" t="s">
        <v>22</v>
      </c>
      <c r="E357" s="627" t="s">
        <v>35</v>
      </c>
      <c r="F357" s="628" t="s">
        <v>73</v>
      </c>
      <c r="G357" s="629">
        <v>1.0</v>
      </c>
      <c r="H357" s="630">
        <v>0.0</v>
      </c>
      <c r="I357" s="631">
        <v>1.0</v>
      </c>
      <c r="J357" s="631">
        <v>1.0</v>
      </c>
      <c r="K357" s="632" t="s">
        <v>188</v>
      </c>
      <c r="L357" s="632" t="s">
        <v>198</v>
      </c>
      <c r="M357" s="632">
        <v>9.0</v>
      </c>
      <c r="N357" s="632">
        <v>9.0</v>
      </c>
      <c r="O357" s="633" t="s">
        <v>897</v>
      </c>
      <c r="P357" s="14"/>
      <c r="Q357" s="452" t="str">
        <f>MATCH($D357,Reference!$J$5:$J$9,0)</f>
        <v>4</v>
      </c>
      <c r="R357" s="452" t="str">
        <f>MATCH($E357,Reference!$J$26:$J$32,0)</f>
        <v>5</v>
      </c>
      <c r="S357" s="452" t="str">
        <f>MATCH($F357,Reference!$J$45:$J$54,0)</f>
        <v>8</v>
      </c>
      <c r="T357" s="453" t="str">
        <f>MATCH($K357,Reference!$J$37:$J$39,0)</f>
        <v>3</v>
      </c>
      <c r="U357" s="454" t="str">
        <f t="shared" si="613"/>
        <v>1</v>
      </c>
      <c r="V357" s="454" t="str">
        <f t="shared" si="3"/>
        <v>1</v>
      </c>
      <c r="W357" s="454" t="str">
        <f t="shared" si="657"/>
        <v>0</v>
      </c>
      <c r="X357" s="454" t="str">
        <f t="shared" si="614"/>
        <v>1</v>
      </c>
      <c r="Y357" s="456" t="str">
        <f t="shared" si="5"/>
        <v>FALSE</v>
      </c>
      <c r="Z357" s="456" t="str">
        <f t="shared" si="6"/>
        <v>FALSE</v>
      </c>
      <c r="AA357" s="457" t="str">
        <f t="shared" ref="AA357:AB357" si="662">1-I357</f>
        <v>0%</v>
      </c>
      <c r="AB357" s="457" t="str">
        <f t="shared" si="662"/>
        <v>0%</v>
      </c>
      <c r="AC357" s="456" t="str">
        <f t="shared" si="8"/>
        <v>1</v>
      </c>
      <c r="AD357" s="458" t="str">
        <f t="shared" si="616"/>
        <v>0</v>
      </c>
      <c r="AE357" s="458" t="str">
        <f t="shared" si="10"/>
        <v>1</v>
      </c>
      <c r="AF357" s="459" t="str">
        <f t="shared" si="659"/>
        <v>0</v>
      </c>
      <c r="AG357" s="460"/>
      <c r="AH357" s="14"/>
      <c r="AI357" s="14"/>
      <c r="AJ357" s="14"/>
      <c r="AK357" s="14"/>
      <c r="AL357" s="14"/>
      <c r="AM357" s="14"/>
      <c r="AN357" s="14"/>
      <c r="AO357" s="14"/>
      <c r="AP357" s="14"/>
      <c r="AQ357" s="14"/>
      <c r="AR357" s="14"/>
      <c r="AS357" s="14"/>
      <c r="AT357" s="14"/>
    </row>
    <row r="358">
      <c r="A358" s="442"/>
      <c r="B358" s="618">
        <v>6.0</v>
      </c>
      <c r="C358" s="619" t="s">
        <v>898</v>
      </c>
      <c r="D358" s="620" t="s">
        <v>22</v>
      </c>
      <c r="E358" s="621" t="s">
        <v>36</v>
      </c>
      <c r="F358" s="620" t="s">
        <v>73</v>
      </c>
      <c r="G358" s="622">
        <v>1.0</v>
      </c>
      <c r="H358" s="622">
        <v>0.0</v>
      </c>
      <c r="I358" s="623">
        <v>1.0</v>
      </c>
      <c r="J358" s="623">
        <v>1.0</v>
      </c>
      <c r="K358" s="621" t="s">
        <v>162</v>
      </c>
      <c r="L358" s="621"/>
      <c r="M358" s="621"/>
      <c r="N358" s="621"/>
      <c r="O358" s="624" t="s">
        <v>899</v>
      </c>
      <c r="P358" s="14"/>
      <c r="Q358" s="452" t="str">
        <f>MATCH($D358,Reference!$J$5:$J$9,0)</f>
        <v>4</v>
      </c>
      <c r="R358" s="452" t="str">
        <f>MATCH($E358,Reference!$J$26:$J$32,0)</f>
        <v>7</v>
      </c>
      <c r="S358" s="452" t="str">
        <f>MATCH($F358,Reference!$J$45:$J$54,0)</f>
        <v>8</v>
      </c>
      <c r="T358" s="453" t="str">
        <f>MATCH($K358,Reference!$J$37:$J$39,0)</f>
        <v>2</v>
      </c>
      <c r="U358" s="454" t="str">
        <f t="shared" si="613"/>
        <v>1</v>
      </c>
      <c r="V358" s="454" t="str">
        <f t="shared" si="3"/>
        <v>1</v>
      </c>
      <c r="W358" s="454" t="str">
        <f t="shared" si="657"/>
        <v>0</v>
      </c>
      <c r="X358" s="454" t="str">
        <f t="shared" si="614"/>
        <v>1</v>
      </c>
      <c r="Y358" s="456" t="str">
        <f t="shared" si="5"/>
        <v>FALSE</v>
      </c>
      <c r="Z358" s="456" t="str">
        <f t="shared" si="6"/>
        <v>FALSE</v>
      </c>
      <c r="AA358" s="457" t="str">
        <f t="shared" ref="AA358:AB358" si="663">1-I358</f>
        <v>0%</v>
      </c>
      <c r="AB358" s="457" t="str">
        <f t="shared" si="663"/>
        <v>0%</v>
      </c>
      <c r="AC358" s="456" t="str">
        <f t="shared" si="8"/>
        <v>1</v>
      </c>
      <c r="AD358" s="458" t="str">
        <f t="shared" si="616"/>
        <v>0</v>
      </c>
      <c r="AE358" s="458" t="str">
        <f t="shared" si="10"/>
        <v>1</v>
      </c>
      <c r="AF358" s="459" t="str">
        <f t="shared" si="659"/>
        <v>0</v>
      </c>
      <c r="AG358" s="460"/>
      <c r="AH358" s="14"/>
      <c r="AI358" s="14"/>
      <c r="AJ358" s="14"/>
      <c r="AK358" s="14"/>
      <c r="AL358" s="14"/>
      <c r="AM358" s="14"/>
      <c r="AN358" s="14"/>
      <c r="AO358" s="14"/>
      <c r="AP358" s="14"/>
      <c r="AQ358" s="14"/>
      <c r="AR358" s="14"/>
      <c r="AS358" s="14"/>
      <c r="AT358" s="14"/>
    </row>
    <row r="359">
      <c r="A359" s="466"/>
      <c r="B359" s="634">
        <v>8.0</v>
      </c>
      <c r="C359" s="635" t="s">
        <v>900</v>
      </c>
      <c r="D359" s="636" t="s">
        <v>22</v>
      </c>
      <c r="E359" s="636" t="s">
        <v>33</v>
      </c>
      <c r="F359" s="637" t="s">
        <v>73</v>
      </c>
      <c r="G359" s="639">
        <v>1.0</v>
      </c>
      <c r="H359" s="638">
        <v>0.0</v>
      </c>
      <c r="I359" s="640">
        <v>1.0</v>
      </c>
      <c r="J359" s="640">
        <v>1.0</v>
      </c>
      <c r="K359" s="641" t="s">
        <v>162</v>
      </c>
      <c r="L359" s="641"/>
      <c r="M359" s="641"/>
      <c r="N359" s="641"/>
      <c r="O359" s="642" t="s">
        <v>901</v>
      </c>
      <c r="P359" s="14"/>
      <c r="Q359" s="452" t="str">
        <f>MATCH($D359,Reference!$J$5:$J$9,0)</f>
        <v>4</v>
      </c>
      <c r="R359" s="452" t="str">
        <f>MATCH($E359,Reference!$J$26:$J$32,0)</f>
        <v>2</v>
      </c>
      <c r="S359" s="452" t="str">
        <f>MATCH($F359,Reference!$J$45:$J$54,0)</f>
        <v>8</v>
      </c>
      <c r="T359" s="453" t="str">
        <f>MATCH($K359,Reference!$J$37:$J$39,0)</f>
        <v>2</v>
      </c>
      <c r="U359" s="454" t="str">
        <f t="shared" si="613"/>
        <v>1</v>
      </c>
      <c r="V359" s="454" t="str">
        <f t="shared" si="3"/>
        <v>1</v>
      </c>
      <c r="W359" s="454" t="str">
        <f t="shared" si="657"/>
        <v>0</v>
      </c>
      <c r="X359" s="454" t="str">
        <f t="shared" si="614"/>
        <v>1</v>
      </c>
      <c r="Y359" s="456" t="str">
        <f t="shared" si="5"/>
        <v>FALSE</v>
      </c>
      <c r="Z359" s="456" t="str">
        <f t="shared" si="6"/>
        <v>FALSE</v>
      </c>
      <c r="AA359" s="457" t="str">
        <f t="shared" ref="AA359:AB359" si="664">1-I359</f>
        <v>0%</v>
      </c>
      <c r="AB359" s="457" t="str">
        <f t="shared" si="664"/>
        <v>0%</v>
      </c>
      <c r="AC359" s="456" t="str">
        <f t="shared" si="8"/>
        <v>1</v>
      </c>
      <c r="AD359" s="458" t="str">
        <f t="shared" si="616"/>
        <v>0</v>
      </c>
      <c r="AE359" s="458" t="str">
        <f t="shared" si="10"/>
        <v>1</v>
      </c>
      <c r="AF359" s="459" t="str">
        <f t="shared" si="659"/>
        <v>0</v>
      </c>
      <c r="AG359" s="460"/>
      <c r="AH359" s="14"/>
      <c r="AI359" s="14"/>
      <c r="AJ359" s="14"/>
      <c r="AK359" s="14"/>
      <c r="AL359" s="14"/>
      <c r="AM359" s="14"/>
      <c r="AN359" s="14"/>
      <c r="AO359" s="14"/>
      <c r="AP359" s="14"/>
      <c r="AQ359" s="14"/>
      <c r="AR359" s="14"/>
      <c r="AS359" s="14"/>
      <c r="AT359" s="14"/>
    </row>
    <row r="360">
      <c r="A360" s="509"/>
      <c r="B360" s="659">
        <v>6.0</v>
      </c>
      <c r="C360" s="665" t="s">
        <v>902</v>
      </c>
      <c r="D360" s="661" t="s">
        <v>23</v>
      </c>
      <c r="E360" s="662" t="s">
        <v>36</v>
      </c>
      <c r="F360" s="661" t="s">
        <v>73</v>
      </c>
      <c r="G360" s="663">
        <v>0.0</v>
      </c>
      <c r="H360" s="663">
        <v>0.0</v>
      </c>
      <c r="I360" s="664">
        <v>1.0</v>
      </c>
      <c r="J360" s="664">
        <v>1.0</v>
      </c>
      <c r="K360" s="662" t="s">
        <v>188</v>
      </c>
      <c r="L360" s="662"/>
      <c r="M360" s="662">
        <v>4.0</v>
      </c>
      <c r="N360" s="662">
        <v>4.0</v>
      </c>
      <c r="O360" s="665" t="s">
        <v>903</v>
      </c>
      <c r="P360" s="14"/>
      <c r="Q360" s="452" t="str">
        <f>MATCH($D360,Reference!$J$5:$J$9,0)</f>
        <v>5</v>
      </c>
      <c r="R360" s="452" t="str">
        <f>MATCH($E360,Reference!$J$26:$J$32,0)</f>
        <v>7</v>
      </c>
      <c r="S360" s="452" t="str">
        <f>MATCH($F360,Reference!$J$45:$J$54,0)</f>
        <v>8</v>
      </c>
      <c r="T360" s="453" t="str">
        <f>MATCH($K360,Reference!$J$37:$J$39,0)</f>
        <v>3</v>
      </c>
      <c r="U360" s="454" t="str">
        <f t="shared" ref="U360:U362" si="666">MIN((G360+H360),1)</f>
        <v>0</v>
      </c>
      <c r="V360" s="454" t="str">
        <f t="shared" si="3"/>
        <v>0</v>
      </c>
      <c r="W360" s="454" t="str">
        <f t="shared" ref="W360:W362" si="667">(MIN(G360,2)+H360-U360)*1600</f>
        <v>0</v>
      </c>
      <c r="X360" s="454" t="str">
        <f t="shared" ref="X360:X362" si="668">MIN((G360+H360+1),2)</f>
        <v>1</v>
      </c>
      <c r="Y360" s="456" t="str">
        <f t="shared" si="5"/>
        <v>TRUE</v>
      </c>
      <c r="Z360" s="456" t="str">
        <f t="shared" si="6"/>
        <v>TRUE</v>
      </c>
      <c r="AA360" s="457" t="str">
        <f t="shared" ref="AA360:AB360" si="665">1-I360</f>
        <v>0%</v>
      </c>
      <c r="AB360" s="457" t="str">
        <f t="shared" si="665"/>
        <v>0%</v>
      </c>
      <c r="AC360" s="456" t="str">
        <f t="shared" si="8"/>
        <v>0</v>
      </c>
      <c r="AD360" s="458" t="str">
        <f t="shared" ref="AD360:AD362" si="670">MIN((H360),1)</f>
        <v>0</v>
      </c>
      <c r="AE360" s="458" t="str">
        <f t="shared" si="10"/>
        <v>0</v>
      </c>
      <c r="AF360" s="459" t="str">
        <f t="shared" ref="AF360:AF362" si="671">(MIN(H360,2)+G360-U360)*400</f>
        <v>0</v>
      </c>
      <c r="AG360" s="460"/>
      <c r="AH360" s="14"/>
      <c r="AI360" s="14"/>
      <c r="AJ360" s="14"/>
      <c r="AK360" s="14"/>
      <c r="AL360" s="14"/>
      <c r="AM360" s="14"/>
      <c r="AN360" s="14"/>
      <c r="AO360" s="14"/>
      <c r="AP360" s="14"/>
      <c r="AQ360" s="14"/>
      <c r="AR360" s="14"/>
      <c r="AS360" s="14"/>
      <c r="AT360" s="14"/>
    </row>
    <row r="361">
      <c r="A361" s="509"/>
      <c r="B361" s="669">
        <v>9.0</v>
      </c>
      <c r="C361" s="670" t="s">
        <v>904</v>
      </c>
      <c r="D361" s="671" t="s">
        <v>23</v>
      </c>
      <c r="E361" s="671" t="s">
        <v>33</v>
      </c>
      <c r="F361" s="672" t="s">
        <v>73</v>
      </c>
      <c r="G361" s="673">
        <v>1.0</v>
      </c>
      <c r="H361" s="673">
        <v>0.0</v>
      </c>
      <c r="I361" s="674">
        <v>1.0</v>
      </c>
      <c r="J361" s="674"/>
      <c r="K361" s="675" t="s">
        <v>188</v>
      </c>
      <c r="L361" s="675" t="s">
        <v>828</v>
      </c>
      <c r="M361" s="675">
        <v>3.0</v>
      </c>
      <c r="N361" s="675">
        <v>15.0</v>
      </c>
      <c r="O361" s="676" t="s">
        <v>905</v>
      </c>
      <c r="P361" s="14"/>
      <c r="Q361" s="452" t="str">
        <f>MATCH($D361,Reference!$J$5:$J$9,0)</f>
        <v>5</v>
      </c>
      <c r="R361" s="452" t="str">
        <f>MATCH($E361,Reference!$J$26:$J$32,0)</f>
        <v>2</v>
      </c>
      <c r="S361" s="452" t="str">
        <f>MATCH($F361,Reference!$J$45:$J$54,0)</f>
        <v>8</v>
      </c>
      <c r="T361" s="453" t="str">
        <f>MATCH($K361,Reference!$J$37:$J$39,0)</f>
        <v>3</v>
      </c>
      <c r="U361" s="454" t="str">
        <f t="shared" si="666"/>
        <v>1</v>
      </c>
      <c r="V361" s="454" t="str">
        <f t="shared" si="3"/>
        <v>1</v>
      </c>
      <c r="W361" s="454" t="str">
        <f t="shared" si="667"/>
        <v>0</v>
      </c>
      <c r="X361" s="454" t="str">
        <f t="shared" si="668"/>
        <v>2</v>
      </c>
      <c r="Y361" s="456" t="str">
        <f t="shared" si="5"/>
        <v>FALSE</v>
      </c>
      <c r="Z361" s="456" t="str">
        <f t="shared" si="6"/>
        <v>TRUE</v>
      </c>
      <c r="AA361" s="457" t="str">
        <f t="shared" ref="AA361:AB361" si="669">1-I361</f>
        <v>0%</v>
      </c>
      <c r="AB361" s="457" t="str">
        <f t="shared" si="669"/>
        <v>100%</v>
      </c>
      <c r="AC361" s="456" t="str">
        <f t="shared" si="8"/>
        <v>2</v>
      </c>
      <c r="AD361" s="458" t="str">
        <f t="shared" si="670"/>
        <v>0</v>
      </c>
      <c r="AE361" s="458" t="str">
        <f t="shared" si="10"/>
        <v>1</v>
      </c>
      <c r="AF361" s="459" t="str">
        <f t="shared" si="671"/>
        <v>0</v>
      </c>
      <c r="AG361" s="460"/>
      <c r="AH361" s="14"/>
      <c r="AI361" s="14"/>
      <c r="AJ361" s="14"/>
      <c r="AK361" s="14"/>
      <c r="AL361" s="14"/>
      <c r="AM361" s="14"/>
      <c r="AN361" s="14"/>
      <c r="AO361" s="14"/>
      <c r="AP361" s="14"/>
      <c r="AQ361" s="14"/>
      <c r="AR361" s="14"/>
      <c r="AS361" s="14"/>
      <c r="AT361" s="14"/>
    </row>
    <row r="362">
      <c r="A362" s="509"/>
      <c r="B362" s="648">
        <v>9.0</v>
      </c>
      <c r="C362" s="649" t="s">
        <v>906</v>
      </c>
      <c r="D362" s="650" t="s">
        <v>23</v>
      </c>
      <c r="E362" s="650" t="s">
        <v>35</v>
      </c>
      <c r="F362" s="651" t="s">
        <v>73</v>
      </c>
      <c r="G362" s="736">
        <v>1.0</v>
      </c>
      <c r="H362" s="653">
        <v>0.0</v>
      </c>
      <c r="I362" s="654">
        <v>1.0</v>
      </c>
      <c r="J362" s="654"/>
      <c r="K362" s="650" t="s">
        <v>188</v>
      </c>
      <c r="L362" s="650" t="s">
        <v>828</v>
      </c>
      <c r="M362" s="651">
        <v>9.0</v>
      </c>
      <c r="N362" s="736">
        <v>7.0</v>
      </c>
      <c r="O362" s="655" t="s">
        <v>907</v>
      </c>
      <c r="P362" s="14"/>
      <c r="Q362" s="452" t="str">
        <f>MATCH($D362,Reference!$J$5:$J$9,0)</f>
        <v>5</v>
      </c>
      <c r="R362" s="452" t="str">
        <f>MATCH($E362,Reference!$J$26:$J$32,0)</f>
        <v>5</v>
      </c>
      <c r="S362" s="452" t="str">
        <f>MATCH($F362,Reference!$J$45:$J$54,0)</f>
        <v>8</v>
      </c>
      <c r="T362" s="453" t="str">
        <f>MATCH($K362,Reference!$J$37:$J$39,0)</f>
        <v>3</v>
      </c>
      <c r="U362" s="454" t="str">
        <f t="shared" si="666"/>
        <v>1</v>
      </c>
      <c r="V362" s="454" t="str">
        <f t="shared" si="3"/>
        <v>1</v>
      </c>
      <c r="W362" s="454" t="str">
        <f t="shared" si="667"/>
        <v>0</v>
      </c>
      <c r="X362" s="454" t="str">
        <f t="shared" si="668"/>
        <v>2</v>
      </c>
      <c r="Y362" s="456" t="str">
        <f t="shared" si="5"/>
        <v>FALSE</v>
      </c>
      <c r="Z362" s="456" t="str">
        <f t="shared" si="6"/>
        <v>TRUE</v>
      </c>
      <c r="AA362" s="457" t="str">
        <f t="shared" ref="AA362:AB362" si="672">1-I362</f>
        <v>0%</v>
      </c>
      <c r="AB362" s="457" t="str">
        <f t="shared" si="672"/>
        <v>100%</v>
      </c>
      <c r="AC362" s="456" t="str">
        <f t="shared" si="8"/>
        <v>2</v>
      </c>
      <c r="AD362" s="458" t="str">
        <f t="shared" si="670"/>
        <v>0</v>
      </c>
      <c r="AE362" s="458" t="str">
        <f t="shared" si="10"/>
        <v>1</v>
      </c>
      <c r="AF362" s="459" t="str">
        <f t="shared" si="671"/>
        <v>0</v>
      </c>
      <c r="AG362" s="460"/>
      <c r="AH362" s="14"/>
      <c r="AI362" s="14"/>
      <c r="AJ362" s="14"/>
      <c r="AK362" s="14"/>
      <c r="AL362" s="14"/>
      <c r="AM362" s="14"/>
      <c r="AN362" s="14"/>
      <c r="AO362" s="14"/>
      <c r="AP362" s="14"/>
      <c r="AQ362" s="14"/>
      <c r="AR362" s="14"/>
      <c r="AS362" s="14"/>
      <c r="AT362" s="14"/>
    </row>
    <row r="363">
      <c r="A363" s="466"/>
      <c r="B363" s="443">
        <v>1.0</v>
      </c>
      <c r="C363" s="444" t="s">
        <v>908</v>
      </c>
      <c r="D363" s="445" t="s">
        <v>10</v>
      </c>
      <c r="E363" s="445" t="s">
        <v>10</v>
      </c>
      <c r="F363" s="445" t="s">
        <v>75</v>
      </c>
      <c r="G363" s="446" t="str">
        <f>COUNTIFS(Reference!F:F,C363,Reference!G:G,"&lt;="&amp;VLOOKUP($F363,Summary!$N$25:$O$33,2,0))</f>
        <v>2</v>
      </c>
      <c r="H363" s="447">
        <v>0.0</v>
      </c>
      <c r="I363" s="448">
        <v>1.0</v>
      </c>
      <c r="J363" s="448">
        <v>1.0</v>
      </c>
      <c r="K363" s="449" t="s">
        <v>162</v>
      </c>
      <c r="L363" s="449"/>
      <c r="M363" s="449"/>
      <c r="N363" s="449"/>
      <c r="O363" s="450" t="s">
        <v>909</v>
      </c>
      <c r="P363" s="14"/>
      <c r="Q363" s="452" t="str">
        <f>MATCH($D363,Reference!$J$5:$J$9,0)</f>
        <v>1</v>
      </c>
      <c r="R363" s="452" t="str">
        <f>MATCH($E363,Reference!$J$26:$J$32,0)</f>
        <v>1</v>
      </c>
      <c r="S363" s="452" t="str">
        <f>MATCH($F363,Reference!$J$45:$J$54,0)</f>
        <v>9</v>
      </c>
      <c r="T363" s="453" t="str">
        <f>MATCH($K363,Reference!$J$37:$J$39,0)</f>
        <v>2</v>
      </c>
      <c r="U363" s="454" t="str">
        <f t="shared" ref="U363:U404" si="674">MIN((G363+H363),2)</f>
        <v>2</v>
      </c>
      <c r="V363" s="454" t="str">
        <f t="shared" si="3"/>
        <v>1</v>
      </c>
      <c r="W363" s="455">
        <v>0.0</v>
      </c>
      <c r="X363" s="454" t="str">
        <f t="shared" ref="X363:X404" si="675">MIN((G363+H363),2)</f>
        <v>2</v>
      </c>
      <c r="Y363" s="456" t="str">
        <f t="shared" si="5"/>
        <v>FALSE</v>
      </c>
      <c r="Z363" s="456" t="str">
        <f t="shared" si="6"/>
        <v>FALSE</v>
      </c>
      <c r="AA363" s="457" t="str">
        <f t="shared" ref="AA363:AB363" si="673">1-I363</f>
        <v>0%</v>
      </c>
      <c r="AB363" s="457" t="str">
        <f t="shared" si="673"/>
        <v>0%</v>
      </c>
      <c r="AC363" s="456" t="str">
        <f t="shared" si="8"/>
        <v>2</v>
      </c>
      <c r="AD363" s="458" t="str">
        <f t="shared" ref="AD363:AD404" si="677">MIN((H363),2)</f>
        <v>0</v>
      </c>
      <c r="AE363" s="458" t="str">
        <f t="shared" si="10"/>
        <v>1</v>
      </c>
      <c r="AF363" s="459" t="str">
        <f t="shared" ref="AF363:AF372" si="678">(MIN(H363,2)+G363-U363)*0</f>
        <v>0</v>
      </c>
      <c r="AG363" s="460"/>
      <c r="AH363" s="14"/>
      <c r="AI363" s="14"/>
      <c r="AJ363" s="14"/>
      <c r="AK363" s="14"/>
      <c r="AL363" s="14"/>
      <c r="AM363" s="14"/>
      <c r="AN363" s="14"/>
      <c r="AO363" s="14"/>
      <c r="AP363" s="14"/>
      <c r="AQ363" s="14"/>
      <c r="AR363" s="14"/>
      <c r="AS363" s="14"/>
      <c r="AT363" s="14"/>
    </row>
    <row r="364">
      <c r="A364" s="463"/>
      <c r="B364" s="467">
        <v>1.0</v>
      </c>
      <c r="C364" s="468" t="s">
        <v>910</v>
      </c>
      <c r="D364" s="445" t="s">
        <v>10</v>
      </c>
      <c r="E364" s="445" t="s">
        <v>10</v>
      </c>
      <c r="F364" s="445" t="s">
        <v>75</v>
      </c>
      <c r="G364" s="446" t="str">
        <f>COUNTIFS(Reference!F:F,C364,Reference!G:G,"&lt;="&amp;VLOOKUP($F364,Summary!$N$25:$O$33,2,0))</f>
        <v>2</v>
      </c>
      <c r="H364" s="447">
        <v>2.0</v>
      </c>
      <c r="I364" s="448">
        <v>1.0</v>
      </c>
      <c r="J364" s="448">
        <v>1.0</v>
      </c>
      <c r="K364" s="449" t="s">
        <v>162</v>
      </c>
      <c r="L364" s="449"/>
      <c r="M364" s="449"/>
      <c r="N364" s="449"/>
      <c r="O364" s="450" t="s">
        <v>911</v>
      </c>
      <c r="P364" s="14"/>
      <c r="Q364" s="452" t="str">
        <f>MATCH($D364,Reference!$J$5:$J$9,0)</f>
        <v>1</v>
      </c>
      <c r="R364" s="452" t="str">
        <f>MATCH($E364,Reference!$J$26:$J$32,0)</f>
        <v>1</v>
      </c>
      <c r="S364" s="452" t="str">
        <f>MATCH($F364,Reference!$J$45:$J$54,0)</f>
        <v>9</v>
      </c>
      <c r="T364" s="453" t="str">
        <f>MATCH($K364,Reference!$J$37:$J$39,0)</f>
        <v>2</v>
      </c>
      <c r="U364" s="454" t="str">
        <f t="shared" si="674"/>
        <v>2</v>
      </c>
      <c r="V364" s="454" t="str">
        <f t="shared" si="3"/>
        <v>1</v>
      </c>
      <c r="W364" s="455">
        <v>0.0</v>
      </c>
      <c r="X364" s="454" t="str">
        <f t="shared" si="675"/>
        <v>2</v>
      </c>
      <c r="Y364" s="456" t="str">
        <f t="shared" si="5"/>
        <v>FALSE</v>
      </c>
      <c r="Z364" s="456" t="str">
        <f t="shared" si="6"/>
        <v>FALSE</v>
      </c>
      <c r="AA364" s="457" t="str">
        <f t="shared" ref="AA364:AB364" si="676">1-I364</f>
        <v>0%</v>
      </c>
      <c r="AB364" s="457" t="str">
        <f t="shared" si="676"/>
        <v>0%</v>
      </c>
      <c r="AC364" s="456" t="str">
        <f t="shared" si="8"/>
        <v>2</v>
      </c>
      <c r="AD364" s="458" t="str">
        <f t="shared" si="677"/>
        <v>2</v>
      </c>
      <c r="AE364" s="458" t="str">
        <f t="shared" si="10"/>
        <v>1</v>
      </c>
      <c r="AF364" s="459" t="str">
        <f t="shared" si="678"/>
        <v>0</v>
      </c>
      <c r="AG364" s="460"/>
      <c r="AH364" s="14"/>
      <c r="AI364" s="14"/>
      <c r="AJ364" s="14"/>
      <c r="AK364" s="14"/>
      <c r="AL364" s="14"/>
      <c r="AM364" s="14"/>
      <c r="AN364" s="14"/>
      <c r="AO364" s="14"/>
      <c r="AP364" s="14"/>
      <c r="AQ364" s="14"/>
      <c r="AR364" s="14"/>
      <c r="AS364" s="14"/>
      <c r="AT364" s="14"/>
    </row>
    <row r="365">
      <c r="A365" s="509"/>
      <c r="B365" s="443">
        <v>2.0</v>
      </c>
      <c r="C365" s="444" t="s">
        <v>912</v>
      </c>
      <c r="D365" s="445" t="s">
        <v>10</v>
      </c>
      <c r="E365" s="445" t="s">
        <v>10</v>
      </c>
      <c r="F365" s="445" t="s">
        <v>75</v>
      </c>
      <c r="G365" s="446" t="str">
        <f>COUNTIFS(Reference!F:F,C365,Reference!G:G,"&lt;="&amp;VLOOKUP($F365,Summary!$N$25:$O$33,2,0))</f>
        <v>2</v>
      </c>
      <c r="H365" s="447">
        <v>0.0</v>
      </c>
      <c r="I365" s="448">
        <v>1.0</v>
      </c>
      <c r="J365" s="448">
        <v>1.0</v>
      </c>
      <c r="K365" s="449" t="s">
        <v>162</v>
      </c>
      <c r="L365" s="449"/>
      <c r="M365" s="449"/>
      <c r="N365" s="449"/>
      <c r="O365" s="450" t="s">
        <v>913</v>
      </c>
      <c r="P365" s="14"/>
      <c r="Q365" s="452" t="str">
        <f>MATCH($D365,Reference!$J$5:$J$9,0)</f>
        <v>1</v>
      </c>
      <c r="R365" s="452" t="str">
        <f>MATCH($E365,Reference!$J$26:$J$32,0)</f>
        <v>1</v>
      </c>
      <c r="S365" s="452" t="str">
        <f>MATCH($F365,Reference!$J$45:$J$54,0)</f>
        <v>9</v>
      </c>
      <c r="T365" s="453" t="str">
        <f>MATCH($K365,Reference!$J$37:$J$39,0)</f>
        <v>2</v>
      </c>
      <c r="U365" s="454" t="str">
        <f t="shared" si="674"/>
        <v>2</v>
      </c>
      <c r="V365" s="454" t="str">
        <f t="shared" si="3"/>
        <v>1</v>
      </c>
      <c r="W365" s="455">
        <v>0.0</v>
      </c>
      <c r="X365" s="454" t="str">
        <f t="shared" si="675"/>
        <v>2</v>
      </c>
      <c r="Y365" s="456" t="str">
        <f t="shared" si="5"/>
        <v>FALSE</v>
      </c>
      <c r="Z365" s="456" t="str">
        <f t="shared" si="6"/>
        <v>FALSE</v>
      </c>
      <c r="AA365" s="457" t="str">
        <f t="shared" ref="AA365:AB365" si="679">1-I365</f>
        <v>0%</v>
      </c>
      <c r="AB365" s="457" t="str">
        <f t="shared" si="679"/>
        <v>0%</v>
      </c>
      <c r="AC365" s="456" t="str">
        <f t="shared" si="8"/>
        <v>2</v>
      </c>
      <c r="AD365" s="458" t="str">
        <f t="shared" si="677"/>
        <v>0</v>
      </c>
      <c r="AE365" s="458" t="str">
        <f t="shared" si="10"/>
        <v>1</v>
      </c>
      <c r="AF365" s="459" t="str">
        <f t="shared" si="678"/>
        <v>0</v>
      </c>
      <c r="AG365" s="460"/>
      <c r="AH365" s="14"/>
      <c r="AI365" s="14"/>
      <c r="AJ365" s="14"/>
      <c r="AK365" s="14"/>
      <c r="AL365" s="14"/>
      <c r="AM365" s="14"/>
      <c r="AN365" s="14"/>
      <c r="AO365" s="14"/>
      <c r="AP365" s="14"/>
      <c r="AQ365" s="14"/>
      <c r="AR365" s="14"/>
      <c r="AS365" s="14"/>
      <c r="AT365" s="14"/>
    </row>
    <row r="366">
      <c r="A366" s="513"/>
      <c r="B366" s="467">
        <v>2.0</v>
      </c>
      <c r="C366" s="468" t="s">
        <v>914</v>
      </c>
      <c r="D366" s="445" t="s">
        <v>10</v>
      </c>
      <c r="E366" s="445" t="s">
        <v>10</v>
      </c>
      <c r="F366" s="445" t="s">
        <v>75</v>
      </c>
      <c r="G366" s="446" t="str">
        <f>COUNTIFS(Reference!F:F,C366,Reference!G:G,"&lt;="&amp;VLOOKUP($F366,Summary!$N$25:$O$33,2,0))</f>
        <v>2</v>
      </c>
      <c r="H366" s="447">
        <v>0.0</v>
      </c>
      <c r="I366" s="448">
        <v>1.0</v>
      </c>
      <c r="J366" s="448">
        <v>1.0</v>
      </c>
      <c r="K366" s="449" t="s">
        <v>304</v>
      </c>
      <c r="L366" s="449"/>
      <c r="M366" s="449">
        <v>3.0</v>
      </c>
      <c r="N366" s="449">
        <v>2.0</v>
      </c>
      <c r="O366" s="450"/>
      <c r="P366" s="14"/>
      <c r="Q366" s="452" t="str">
        <f>MATCH($D366,Reference!$J$5:$J$9,0)</f>
        <v>1</v>
      </c>
      <c r="R366" s="452" t="str">
        <f>MATCH($E366,Reference!$J$26:$J$32,0)</f>
        <v>1</v>
      </c>
      <c r="S366" s="452" t="str">
        <f>MATCH($F366,Reference!$J$45:$J$54,0)</f>
        <v>9</v>
      </c>
      <c r="T366" s="453" t="str">
        <f>MATCH($K366,Reference!$J$37:$J$39,0)</f>
        <v>1</v>
      </c>
      <c r="U366" s="454" t="str">
        <f t="shared" si="674"/>
        <v>2</v>
      </c>
      <c r="V366" s="454" t="str">
        <f t="shared" si="3"/>
        <v>1</v>
      </c>
      <c r="W366" s="455">
        <v>0.0</v>
      </c>
      <c r="X366" s="454" t="str">
        <f t="shared" si="675"/>
        <v>2</v>
      </c>
      <c r="Y366" s="456" t="str">
        <f t="shared" si="5"/>
        <v>FALSE</v>
      </c>
      <c r="Z366" s="456" t="str">
        <f t="shared" si="6"/>
        <v>FALSE</v>
      </c>
      <c r="AA366" s="457" t="str">
        <f t="shared" ref="AA366:AB366" si="680">1-I366</f>
        <v>0%</v>
      </c>
      <c r="AB366" s="457" t="str">
        <f t="shared" si="680"/>
        <v>0%</v>
      </c>
      <c r="AC366" s="456" t="str">
        <f t="shared" si="8"/>
        <v>2</v>
      </c>
      <c r="AD366" s="458" t="str">
        <f t="shared" si="677"/>
        <v>0</v>
      </c>
      <c r="AE366" s="458" t="str">
        <f t="shared" si="10"/>
        <v>1</v>
      </c>
      <c r="AF366" s="459" t="str">
        <f t="shared" si="678"/>
        <v>0</v>
      </c>
      <c r="AG366" s="460"/>
      <c r="AH366" s="14"/>
      <c r="AI366" s="14"/>
      <c r="AJ366" s="14"/>
      <c r="AK366" s="14"/>
      <c r="AL366" s="14"/>
      <c r="AM366" s="14"/>
      <c r="AN366" s="14"/>
      <c r="AO366" s="14"/>
      <c r="AP366" s="14"/>
      <c r="AQ366" s="14"/>
      <c r="AR366" s="14"/>
      <c r="AS366" s="14"/>
      <c r="AT366" s="14"/>
    </row>
    <row r="367">
      <c r="A367" s="463"/>
      <c r="B367" s="443">
        <v>2.0</v>
      </c>
      <c r="C367" s="444" t="s">
        <v>915</v>
      </c>
      <c r="D367" s="445" t="s">
        <v>10</v>
      </c>
      <c r="E367" s="445" t="s">
        <v>10</v>
      </c>
      <c r="F367" s="445" t="s">
        <v>75</v>
      </c>
      <c r="G367" s="446" t="str">
        <f>COUNTIFS(Reference!F:F,C367,Reference!G:G,"&lt;="&amp;VLOOKUP($F367,Summary!$N$25:$O$33,2,0))</f>
        <v>2</v>
      </c>
      <c r="H367" s="447">
        <v>2.0</v>
      </c>
      <c r="I367" s="448">
        <v>1.0</v>
      </c>
      <c r="J367" s="448">
        <v>1.0</v>
      </c>
      <c r="K367" s="449" t="s">
        <v>162</v>
      </c>
      <c r="L367" s="449"/>
      <c r="M367" s="449"/>
      <c r="N367" s="449"/>
      <c r="O367" s="450" t="s">
        <v>916</v>
      </c>
      <c r="P367" s="14"/>
      <c r="Q367" s="452" t="str">
        <f>MATCH($D367,Reference!$J$5:$J$9,0)</f>
        <v>1</v>
      </c>
      <c r="R367" s="452" t="str">
        <f>MATCH($E367,Reference!$J$26:$J$32,0)</f>
        <v>1</v>
      </c>
      <c r="S367" s="452" t="str">
        <f>MATCH($F367,Reference!$J$45:$J$54,0)</f>
        <v>9</v>
      </c>
      <c r="T367" s="453" t="str">
        <f>MATCH($K367,Reference!$J$37:$J$39,0)</f>
        <v>2</v>
      </c>
      <c r="U367" s="454" t="str">
        <f t="shared" si="674"/>
        <v>2</v>
      </c>
      <c r="V367" s="454" t="str">
        <f t="shared" si="3"/>
        <v>1</v>
      </c>
      <c r="W367" s="455">
        <v>0.0</v>
      </c>
      <c r="X367" s="454" t="str">
        <f t="shared" si="675"/>
        <v>2</v>
      </c>
      <c r="Y367" s="456" t="str">
        <f t="shared" si="5"/>
        <v>FALSE</v>
      </c>
      <c r="Z367" s="456" t="str">
        <f t="shared" si="6"/>
        <v>FALSE</v>
      </c>
      <c r="AA367" s="457" t="str">
        <f t="shared" ref="AA367:AB367" si="681">1-I367</f>
        <v>0%</v>
      </c>
      <c r="AB367" s="457" t="str">
        <f t="shared" si="681"/>
        <v>0%</v>
      </c>
      <c r="AC367" s="456" t="str">
        <f t="shared" si="8"/>
        <v>2</v>
      </c>
      <c r="AD367" s="458" t="str">
        <f t="shared" si="677"/>
        <v>2</v>
      </c>
      <c r="AE367" s="458" t="str">
        <f t="shared" si="10"/>
        <v>1</v>
      </c>
      <c r="AF367" s="459" t="str">
        <f t="shared" si="678"/>
        <v>0</v>
      </c>
      <c r="AG367" s="460"/>
      <c r="AH367" s="14"/>
      <c r="AI367" s="14"/>
      <c r="AJ367" s="14"/>
      <c r="AK367" s="14"/>
      <c r="AL367" s="14"/>
      <c r="AM367" s="14"/>
      <c r="AN367" s="14"/>
      <c r="AO367" s="14"/>
      <c r="AP367" s="14"/>
      <c r="AQ367" s="14"/>
      <c r="AR367" s="14"/>
      <c r="AS367" s="14"/>
      <c r="AT367" s="14"/>
    </row>
    <row r="368">
      <c r="A368" s="466"/>
      <c r="B368" s="443">
        <v>3.0</v>
      </c>
      <c r="C368" s="444" t="s">
        <v>917</v>
      </c>
      <c r="D368" s="445" t="s">
        <v>10</v>
      </c>
      <c r="E368" s="445" t="s">
        <v>10</v>
      </c>
      <c r="F368" s="445" t="s">
        <v>75</v>
      </c>
      <c r="G368" s="446" t="str">
        <f>COUNTIFS(Reference!F:F,C368,Reference!G:G,"&lt;="&amp;VLOOKUP($F368,Summary!$N$25:$O$33,2,0))</f>
        <v>2</v>
      </c>
      <c r="H368" s="447">
        <v>2.0</v>
      </c>
      <c r="I368" s="448">
        <v>1.0</v>
      </c>
      <c r="J368" s="448">
        <v>1.0</v>
      </c>
      <c r="K368" s="449" t="s">
        <v>162</v>
      </c>
      <c r="L368" s="449"/>
      <c r="M368" s="449"/>
      <c r="N368" s="449"/>
      <c r="O368" s="450" t="s">
        <v>918</v>
      </c>
      <c r="P368" s="5"/>
      <c r="Q368" s="452" t="str">
        <f>MATCH($D368,Reference!$J$5:$J$9,0)</f>
        <v>1</v>
      </c>
      <c r="R368" s="452" t="str">
        <f>MATCH($E368,Reference!$J$26:$J$32,0)</f>
        <v>1</v>
      </c>
      <c r="S368" s="452" t="str">
        <f>MATCH($F368,Reference!$J$45:$J$54,0)</f>
        <v>9</v>
      </c>
      <c r="T368" s="453" t="str">
        <f>MATCH($K368,Reference!$J$37:$J$39,0)</f>
        <v>2</v>
      </c>
      <c r="U368" s="454" t="str">
        <f t="shared" si="674"/>
        <v>2</v>
      </c>
      <c r="V368" s="454" t="str">
        <f t="shared" si="3"/>
        <v>1</v>
      </c>
      <c r="W368" s="455">
        <v>0.0</v>
      </c>
      <c r="X368" s="454" t="str">
        <f t="shared" si="675"/>
        <v>2</v>
      </c>
      <c r="Y368" s="456" t="str">
        <f t="shared" si="5"/>
        <v>FALSE</v>
      </c>
      <c r="Z368" s="456" t="str">
        <f t="shared" si="6"/>
        <v>FALSE</v>
      </c>
      <c r="AA368" s="457" t="str">
        <f t="shared" ref="AA368:AB368" si="682">1-I368</f>
        <v>0%</v>
      </c>
      <c r="AB368" s="457" t="str">
        <f t="shared" si="682"/>
        <v>0%</v>
      </c>
      <c r="AC368" s="456" t="str">
        <f t="shared" si="8"/>
        <v>2</v>
      </c>
      <c r="AD368" s="458" t="str">
        <f t="shared" si="677"/>
        <v>2</v>
      </c>
      <c r="AE368" s="458" t="str">
        <f t="shared" si="10"/>
        <v>1</v>
      </c>
      <c r="AF368" s="459" t="str">
        <f t="shared" si="678"/>
        <v>0</v>
      </c>
      <c r="AG368" s="460"/>
      <c r="AH368" s="14"/>
      <c r="AI368" s="14"/>
      <c r="AJ368" s="14"/>
      <c r="AK368" s="14"/>
      <c r="AL368" s="14"/>
      <c r="AM368" s="14"/>
      <c r="AN368" s="14"/>
      <c r="AO368" s="14"/>
      <c r="AP368" s="14"/>
      <c r="AQ368" s="14"/>
      <c r="AR368" s="14"/>
      <c r="AS368" s="14"/>
      <c r="AT368" s="14"/>
    </row>
    <row r="369">
      <c r="A369" s="463"/>
      <c r="B369" s="467">
        <v>3.0</v>
      </c>
      <c r="C369" s="468" t="s">
        <v>919</v>
      </c>
      <c r="D369" s="445" t="s">
        <v>10</v>
      </c>
      <c r="E369" s="445" t="s">
        <v>10</v>
      </c>
      <c r="F369" s="445" t="s">
        <v>75</v>
      </c>
      <c r="G369" s="446" t="str">
        <f>COUNTIFS(Reference!F:F,C369,Reference!G:G,"&lt;="&amp;VLOOKUP($F369,Summary!$N$25:$O$33,2,0))</f>
        <v>2</v>
      </c>
      <c r="H369" s="447">
        <v>2.0</v>
      </c>
      <c r="I369" s="448">
        <v>1.0</v>
      </c>
      <c r="J369" s="448">
        <v>1.0</v>
      </c>
      <c r="K369" s="449" t="s">
        <v>162</v>
      </c>
      <c r="L369" s="449"/>
      <c r="M369" s="449"/>
      <c r="N369" s="449"/>
      <c r="O369" s="450" t="s">
        <v>920</v>
      </c>
      <c r="P369" s="14"/>
      <c r="Q369" s="452" t="str">
        <f>MATCH($D369,Reference!$J$5:$J$9,0)</f>
        <v>1</v>
      </c>
      <c r="R369" s="452" t="str">
        <f>MATCH($E369,Reference!$J$26:$J$32,0)</f>
        <v>1</v>
      </c>
      <c r="S369" s="452" t="str">
        <f>MATCH($F369,Reference!$J$45:$J$54,0)</f>
        <v>9</v>
      </c>
      <c r="T369" s="453" t="str">
        <f>MATCH($K369,Reference!$J$37:$J$39,0)</f>
        <v>2</v>
      </c>
      <c r="U369" s="454" t="str">
        <f t="shared" si="674"/>
        <v>2</v>
      </c>
      <c r="V369" s="454" t="str">
        <f t="shared" si="3"/>
        <v>1</v>
      </c>
      <c r="W369" s="455">
        <v>0.0</v>
      </c>
      <c r="X369" s="454" t="str">
        <f t="shared" si="675"/>
        <v>2</v>
      </c>
      <c r="Y369" s="456" t="str">
        <f t="shared" si="5"/>
        <v>FALSE</v>
      </c>
      <c r="Z369" s="456" t="str">
        <f t="shared" si="6"/>
        <v>FALSE</v>
      </c>
      <c r="AA369" s="457" t="str">
        <f t="shared" ref="AA369:AB369" si="683">1-I369</f>
        <v>0%</v>
      </c>
      <c r="AB369" s="457" t="str">
        <f t="shared" si="683"/>
        <v>0%</v>
      </c>
      <c r="AC369" s="456" t="str">
        <f t="shared" si="8"/>
        <v>2</v>
      </c>
      <c r="AD369" s="458" t="str">
        <f t="shared" si="677"/>
        <v>2</v>
      </c>
      <c r="AE369" s="458" t="str">
        <f t="shared" si="10"/>
        <v>1</v>
      </c>
      <c r="AF369" s="459" t="str">
        <f t="shared" si="678"/>
        <v>0</v>
      </c>
      <c r="AG369" s="460"/>
      <c r="AH369" s="14"/>
      <c r="AI369" s="14"/>
      <c r="AJ369" s="14"/>
      <c r="AK369" s="14"/>
      <c r="AL369" s="14"/>
      <c r="AM369" s="14"/>
      <c r="AN369" s="14"/>
      <c r="AO369" s="14"/>
      <c r="AP369" s="14"/>
      <c r="AQ369" s="14"/>
      <c r="AR369" s="14"/>
      <c r="AS369" s="14"/>
      <c r="AT369" s="14"/>
    </row>
    <row r="370">
      <c r="A370" s="466"/>
      <c r="B370" s="467">
        <v>3.0</v>
      </c>
      <c r="C370" s="468" t="s">
        <v>921</v>
      </c>
      <c r="D370" s="445" t="s">
        <v>10</v>
      </c>
      <c r="E370" s="445" t="s">
        <v>10</v>
      </c>
      <c r="F370" s="445" t="s">
        <v>75</v>
      </c>
      <c r="G370" s="446" t="str">
        <f>COUNTIFS(Reference!F:F,C370,Reference!G:G,"&lt;="&amp;VLOOKUP($F370,Summary!$N$25:$O$33,2,0))</f>
        <v>2</v>
      </c>
      <c r="H370" s="447">
        <v>1.0</v>
      </c>
      <c r="I370" s="448">
        <v>1.0</v>
      </c>
      <c r="J370" s="448">
        <v>1.0</v>
      </c>
      <c r="K370" s="449" t="s">
        <v>188</v>
      </c>
      <c r="L370" s="449"/>
      <c r="M370" s="449">
        <v>2.0</v>
      </c>
      <c r="N370" s="449">
        <v>3.0</v>
      </c>
      <c r="O370" s="450" t="s">
        <v>922</v>
      </c>
      <c r="P370" s="14"/>
      <c r="Q370" s="452" t="str">
        <f>MATCH($D370,Reference!$J$5:$J$9,0)</f>
        <v>1</v>
      </c>
      <c r="R370" s="452" t="str">
        <f>MATCH($E370,Reference!$J$26:$J$32,0)</f>
        <v>1</v>
      </c>
      <c r="S370" s="452" t="str">
        <f>MATCH($F370,Reference!$J$45:$J$54,0)</f>
        <v>9</v>
      </c>
      <c r="T370" s="453" t="str">
        <f>MATCH($K370,Reference!$J$37:$J$39,0)</f>
        <v>3</v>
      </c>
      <c r="U370" s="454" t="str">
        <f t="shared" si="674"/>
        <v>2</v>
      </c>
      <c r="V370" s="454" t="str">
        <f t="shared" si="3"/>
        <v>1</v>
      </c>
      <c r="W370" s="455">
        <v>0.0</v>
      </c>
      <c r="X370" s="454" t="str">
        <f t="shared" si="675"/>
        <v>2</v>
      </c>
      <c r="Y370" s="456" t="str">
        <f t="shared" si="5"/>
        <v>FALSE</v>
      </c>
      <c r="Z370" s="456" t="str">
        <f t="shared" si="6"/>
        <v>FALSE</v>
      </c>
      <c r="AA370" s="457" t="str">
        <f t="shared" ref="AA370:AB370" si="684">1-I370</f>
        <v>0%</v>
      </c>
      <c r="AB370" s="457" t="str">
        <f t="shared" si="684"/>
        <v>0%</v>
      </c>
      <c r="AC370" s="456" t="str">
        <f t="shared" si="8"/>
        <v>2</v>
      </c>
      <c r="AD370" s="458" t="str">
        <f t="shared" si="677"/>
        <v>1</v>
      </c>
      <c r="AE370" s="458" t="str">
        <f t="shared" si="10"/>
        <v>1</v>
      </c>
      <c r="AF370" s="459" t="str">
        <f t="shared" si="678"/>
        <v>0</v>
      </c>
      <c r="AG370" s="460"/>
      <c r="AH370" s="14"/>
      <c r="AI370" s="14"/>
      <c r="AJ370" s="14"/>
      <c r="AK370" s="14"/>
      <c r="AL370" s="14"/>
      <c r="AM370" s="14"/>
      <c r="AN370" s="14"/>
      <c r="AO370" s="14"/>
      <c r="AP370" s="14"/>
      <c r="AQ370" s="14"/>
      <c r="AR370" s="14"/>
      <c r="AS370" s="14"/>
      <c r="AT370" s="14"/>
    </row>
    <row r="371">
      <c r="A371" s="469"/>
      <c r="B371" s="467">
        <v>4.0</v>
      </c>
      <c r="C371" s="468" t="s">
        <v>923</v>
      </c>
      <c r="D371" s="445" t="s">
        <v>10</v>
      </c>
      <c r="E371" s="445" t="s">
        <v>10</v>
      </c>
      <c r="F371" s="445" t="s">
        <v>75</v>
      </c>
      <c r="G371" s="446" t="str">
        <f>COUNTIFS(Reference!F:F,C371,Reference!G:G,"&lt;="&amp;VLOOKUP($F371,Summary!$N$25:$O$33,2,0))</f>
        <v>2</v>
      </c>
      <c r="H371" s="447">
        <v>0.0</v>
      </c>
      <c r="I371" s="448">
        <v>1.0</v>
      </c>
      <c r="J371" s="448">
        <v>1.0</v>
      </c>
      <c r="K371" s="449" t="s">
        <v>188</v>
      </c>
      <c r="L371" s="449"/>
      <c r="M371" s="449">
        <v>4.0</v>
      </c>
      <c r="N371" s="449">
        <v>3.0</v>
      </c>
      <c r="O371" s="450" t="s">
        <v>365</v>
      </c>
      <c r="P371" s="14"/>
      <c r="Q371" s="452" t="str">
        <f>MATCH($D371,Reference!$J$5:$J$9,0)</f>
        <v>1</v>
      </c>
      <c r="R371" s="452" t="str">
        <f>MATCH($E371,Reference!$J$26:$J$32,0)</f>
        <v>1</v>
      </c>
      <c r="S371" s="452" t="str">
        <f>MATCH($F371,Reference!$J$45:$J$54,0)</f>
        <v>9</v>
      </c>
      <c r="T371" s="453" t="str">
        <f>MATCH($K371,Reference!$J$37:$J$39,0)</f>
        <v>3</v>
      </c>
      <c r="U371" s="454" t="str">
        <f t="shared" si="674"/>
        <v>2</v>
      </c>
      <c r="V371" s="454" t="str">
        <f t="shared" si="3"/>
        <v>1</v>
      </c>
      <c r="W371" s="455">
        <v>0.0</v>
      </c>
      <c r="X371" s="454" t="str">
        <f t="shared" si="675"/>
        <v>2</v>
      </c>
      <c r="Y371" s="456" t="str">
        <f t="shared" si="5"/>
        <v>FALSE</v>
      </c>
      <c r="Z371" s="456" t="str">
        <f t="shared" si="6"/>
        <v>FALSE</v>
      </c>
      <c r="AA371" s="457" t="str">
        <f t="shared" ref="AA371:AB371" si="685">1-I371</f>
        <v>0%</v>
      </c>
      <c r="AB371" s="457" t="str">
        <f t="shared" si="685"/>
        <v>0%</v>
      </c>
      <c r="AC371" s="456" t="str">
        <f t="shared" si="8"/>
        <v>2</v>
      </c>
      <c r="AD371" s="458" t="str">
        <f t="shared" si="677"/>
        <v>0</v>
      </c>
      <c r="AE371" s="458" t="str">
        <f t="shared" si="10"/>
        <v>1</v>
      </c>
      <c r="AF371" s="459" t="str">
        <f t="shared" si="678"/>
        <v>0</v>
      </c>
      <c r="AG371" s="460"/>
      <c r="AH371" s="14"/>
      <c r="AI371" s="14"/>
      <c r="AJ371" s="14"/>
      <c r="AK371" s="14"/>
      <c r="AL371" s="14"/>
      <c r="AM371" s="14"/>
      <c r="AN371" s="14"/>
      <c r="AO371" s="14"/>
      <c r="AP371" s="14"/>
      <c r="AQ371" s="14"/>
      <c r="AR371" s="14"/>
      <c r="AS371" s="14"/>
      <c r="AT371" s="14"/>
    </row>
    <row r="372">
      <c r="A372" s="442"/>
      <c r="B372" s="443">
        <v>5.0</v>
      </c>
      <c r="C372" s="444" t="s">
        <v>924</v>
      </c>
      <c r="D372" s="445" t="s">
        <v>10</v>
      </c>
      <c r="E372" s="445" t="s">
        <v>10</v>
      </c>
      <c r="F372" s="445" t="s">
        <v>75</v>
      </c>
      <c r="G372" s="446" t="str">
        <f>COUNTIFS(Reference!F:F,C372,Reference!G:G,"&lt;="&amp;VLOOKUP($F372,Summary!$N$25:$O$33,2,0))</f>
        <v>2</v>
      </c>
      <c r="H372" s="447">
        <v>0.0</v>
      </c>
      <c r="I372" s="448">
        <v>1.0</v>
      </c>
      <c r="J372" s="448">
        <v>1.0</v>
      </c>
      <c r="K372" s="449" t="s">
        <v>304</v>
      </c>
      <c r="L372" s="449"/>
      <c r="M372" s="449">
        <v>5.0</v>
      </c>
      <c r="N372" s="449">
        <v>2.0</v>
      </c>
      <c r="O372" s="450"/>
      <c r="P372" s="14"/>
      <c r="Q372" s="452" t="str">
        <f>MATCH($D372,Reference!$J$5:$J$9,0)</f>
        <v>1</v>
      </c>
      <c r="R372" s="452" t="str">
        <f>MATCH($E372,Reference!$J$26:$J$32,0)</f>
        <v>1</v>
      </c>
      <c r="S372" s="452" t="str">
        <f>MATCH($F372,Reference!$J$45:$J$54,0)</f>
        <v>9</v>
      </c>
      <c r="T372" s="453" t="str">
        <f>MATCH($K372,Reference!$J$37:$J$39,0)</f>
        <v>1</v>
      </c>
      <c r="U372" s="454" t="str">
        <f t="shared" si="674"/>
        <v>2</v>
      </c>
      <c r="V372" s="454" t="str">
        <f t="shared" si="3"/>
        <v>1</v>
      </c>
      <c r="W372" s="455">
        <v>0.0</v>
      </c>
      <c r="X372" s="454" t="str">
        <f t="shared" si="675"/>
        <v>2</v>
      </c>
      <c r="Y372" s="456" t="str">
        <f t="shared" si="5"/>
        <v>FALSE</v>
      </c>
      <c r="Z372" s="456" t="str">
        <f t="shared" si="6"/>
        <v>FALSE</v>
      </c>
      <c r="AA372" s="457" t="str">
        <f t="shared" ref="AA372:AB372" si="686">1-I372</f>
        <v>0%</v>
      </c>
      <c r="AB372" s="457" t="str">
        <f t="shared" si="686"/>
        <v>0%</v>
      </c>
      <c r="AC372" s="456" t="str">
        <f t="shared" si="8"/>
        <v>2</v>
      </c>
      <c r="AD372" s="458" t="str">
        <f t="shared" si="677"/>
        <v>0</v>
      </c>
      <c r="AE372" s="458" t="str">
        <f t="shared" si="10"/>
        <v>1</v>
      </c>
      <c r="AF372" s="459" t="str">
        <f t="shared" si="678"/>
        <v>0</v>
      </c>
      <c r="AG372" s="460"/>
      <c r="AH372" s="14"/>
      <c r="AI372" s="14"/>
      <c r="AJ372" s="14"/>
      <c r="AK372" s="14"/>
      <c r="AL372" s="14"/>
      <c r="AM372" s="14"/>
      <c r="AN372" s="14"/>
      <c r="AO372" s="14"/>
      <c r="AP372" s="14"/>
      <c r="AQ372" s="14"/>
      <c r="AR372" s="14"/>
      <c r="AS372" s="14"/>
      <c r="AT372" s="14"/>
    </row>
    <row r="373">
      <c r="A373" s="466"/>
      <c r="B373" s="442">
        <v>0.0</v>
      </c>
      <c r="C373" s="482" t="s">
        <v>925</v>
      </c>
      <c r="D373" s="483" t="s">
        <v>15</v>
      </c>
      <c r="E373" s="483" t="s">
        <v>33</v>
      </c>
      <c r="F373" s="484" t="s">
        <v>75</v>
      </c>
      <c r="G373" s="471">
        <v>2.0</v>
      </c>
      <c r="H373" s="485">
        <v>0.0</v>
      </c>
      <c r="I373" s="486">
        <v>1.0</v>
      </c>
      <c r="J373" s="486">
        <v>1.0</v>
      </c>
      <c r="K373" s="499" t="s">
        <v>162</v>
      </c>
      <c r="L373" s="499"/>
      <c r="M373" s="499"/>
      <c r="N373" s="499"/>
      <c r="O373" s="223" t="s">
        <v>926</v>
      </c>
      <c r="P373" s="14"/>
      <c r="Q373" s="452" t="str">
        <f>MATCH($D373,Reference!$J$5:$J$9,0)</f>
        <v>2</v>
      </c>
      <c r="R373" s="452" t="str">
        <f>MATCH($E373,Reference!$J$26:$J$32,0)</f>
        <v>2</v>
      </c>
      <c r="S373" s="452" t="str">
        <f>MATCH($F373,Reference!$J$45:$J$54,0)</f>
        <v>9</v>
      </c>
      <c r="T373" s="453" t="str">
        <f>MATCH($K373,Reference!$J$37:$J$39,0)</f>
        <v>2</v>
      </c>
      <c r="U373" s="454" t="str">
        <f t="shared" si="674"/>
        <v>2</v>
      </c>
      <c r="V373" s="454" t="str">
        <f t="shared" si="3"/>
        <v>1</v>
      </c>
      <c r="W373" s="454" t="str">
        <f t="shared" ref="W373:W385" si="688">(MIN(G373,2)+H373-U373)*50</f>
        <v>0</v>
      </c>
      <c r="X373" s="454" t="str">
        <f t="shared" si="675"/>
        <v>2</v>
      </c>
      <c r="Y373" s="456" t="str">
        <f t="shared" si="5"/>
        <v>FALSE</v>
      </c>
      <c r="Z373" s="456" t="str">
        <f t="shared" si="6"/>
        <v>FALSE</v>
      </c>
      <c r="AA373" s="457" t="str">
        <f t="shared" ref="AA373:AB373" si="687">1-I373</f>
        <v>0%</v>
      </c>
      <c r="AB373" s="457" t="str">
        <f t="shared" si="687"/>
        <v>0%</v>
      </c>
      <c r="AC373" s="456" t="str">
        <f t="shared" si="8"/>
        <v>2</v>
      </c>
      <c r="AD373" s="458" t="str">
        <f t="shared" si="677"/>
        <v>0</v>
      </c>
      <c r="AE373" s="458" t="str">
        <f t="shared" si="10"/>
        <v>1</v>
      </c>
      <c r="AF373" s="459" t="str">
        <f t="shared" ref="AF373:AF385" si="690">(MIN(H373,2)+G373-U373)*5</f>
        <v>0</v>
      </c>
      <c r="AG373" s="460"/>
      <c r="AH373" s="14"/>
      <c r="AI373" s="14"/>
      <c r="AJ373" s="14"/>
      <c r="AK373" s="14"/>
      <c r="AL373" s="14"/>
      <c r="AM373" s="14"/>
      <c r="AN373" s="14"/>
      <c r="AO373" s="14"/>
      <c r="AP373" s="14"/>
      <c r="AQ373" s="14"/>
      <c r="AR373" s="14"/>
      <c r="AS373" s="14"/>
      <c r="AT373" s="14"/>
    </row>
    <row r="374">
      <c r="A374" s="509"/>
      <c r="B374" s="472">
        <v>1.0</v>
      </c>
      <c r="C374" s="489" t="s">
        <v>927</v>
      </c>
      <c r="D374" s="490" t="s">
        <v>15</v>
      </c>
      <c r="E374" s="490" t="s">
        <v>35</v>
      </c>
      <c r="F374" s="491" t="s">
        <v>75</v>
      </c>
      <c r="G374" s="492">
        <v>2.0</v>
      </c>
      <c r="H374" s="493">
        <v>0.0</v>
      </c>
      <c r="I374" s="494">
        <v>1.0</v>
      </c>
      <c r="J374" s="494">
        <v>1.0</v>
      </c>
      <c r="K374" s="495" t="s">
        <v>188</v>
      </c>
      <c r="L374" s="495" t="s">
        <v>198</v>
      </c>
      <c r="M374" s="495">
        <v>1.0</v>
      </c>
      <c r="N374" s="495">
        <v>3.0</v>
      </c>
      <c r="O374" s="496" t="s">
        <v>928</v>
      </c>
      <c r="P374" s="14"/>
      <c r="Q374" s="452" t="str">
        <f>MATCH($D374,Reference!$J$5:$J$9,0)</f>
        <v>2</v>
      </c>
      <c r="R374" s="452" t="str">
        <f>MATCH($E374,Reference!$J$26:$J$32,0)</f>
        <v>5</v>
      </c>
      <c r="S374" s="452" t="str">
        <f>MATCH($F374,Reference!$J$45:$J$54,0)</f>
        <v>9</v>
      </c>
      <c r="T374" s="453" t="str">
        <f>MATCH($K374,Reference!$J$37:$J$39,0)</f>
        <v>3</v>
      </c>
      <c r="U374" s="454" t="str">
        <f t="shared" si="674"/>
        <v>2</v>
      </c>
      <c r="V374" s="454" t="str">
        <f t="shared" si="3"/>
        <v>1</v>
      </c>
      <c r="W374" s="454" t="str">
        <f t="shared" si="688"/>
        <v>0</v>
      </c>
      <c r="X374" s="454" t="str">
        <f t="shared" si="675"/>
        <v>2</v>
      </c>
      <c r="Y374" s="456" t="str">
        <f t="shared" si="5"/>
        <v>FALSE</v>
      </c>
      <c r="Z374" s="456" t="str">
        <f t="shared" si="6"/>
        <v>FALSE</v>
      </c>
      <c r="AA374" s="457" t="str">
        <f t="shared" ref="AA374:AB374" si="689">1-I374</f>
        <v>0%</v>
      </c>
      <c r="AB374" s="457" t="str">
        <f t="shared" si="689"/>
        <v>0%</v>
      </c>
      <c r="AC374" s="456" t="str">
        <f t="shared" si="8"/>
        <v>2</v>
      </c>
      <c r="AD374" s="458" t="str">
        <f t="shared" si="677"/>
        <v>0</v>
      </c>
      <c r="AE374" s="458" t="str">
        <f t="shared" si="10"/>
        <v>1</v>
      </c>
      <c r="AF374" s="459" t="str">
        <f t="shared" si="690"/>
        <v>0</v>
      </c>
      <c r="AG374" s="460"/>
      <c r="AH374" s="14"/>
      <c r="AI374" s="14"/>
      <c r="AJ374" s="14"/>
      <c r="AK374" s="14"/>
      <c r="AL374" s="14"/>
      <c r="AM374" s="14"/>
      <c r="AN374" s="14"/>
      <c r="AO374" s="14"/>
      <c r="AP374" s="14"/>
      <c r="AQ374" s="14"/>
      <c r="AR374" s="14"/>
      <c r="AS374" s="14"/>
      <c r="AT374" s="14"/>
    </row>
    <row r="375">
      <c r="A375" s="463"/>
      <c r="B375" s="509">
        <v>2.0</v>
      </c>
      <c r="C375" s="510" t="s">
        <v>929</v>
      </c>
      <c r="D375" s="511" t="s">
        <v>15</v>
      </c>
      <c r="E375" s="511" t="s">
        <v>33</v>
      </c>
      <c r="F375" s="512" t="s">
        <v>75</v>
      </c>
      <c r="G375" s="508">
        <v>2.0</v>
      </c>
      <c r="H375" s="508">
        <v>0.0</v>
      </c>
      <c r="I375" s="486">
        <v>1.0</v>
      </c>
      <c r="J375" s="486">
        <v>1.0</v>
      </c>
      <c r="K375" s="522" t="s">
        <v>162</v>
      </c>
      <c r="L375" s="522"/>
      <c r="M375" s="522"/>
      <c r="N375" s="522"/>
      <c r="O375" s="224" t="s">
        <v>930</v>
      </c>
      <c r="P375" s="5"/>
      <c r="Q375" s="452" t="str">
        <f>MATCH($D375,Reference!$J$5:$J$9,0)</f>
        <v>2</v>
      </c>
      <c r="R375" s="452" t="str">
        <f>MATCH($E375,Reference!$J$26:$J$32,0)</f>
        <v>2</v>
      </c>
      <c r="S375" s="452" t="str">
        <f>MATCH($F375,Reference!$J$45:$J$54,0)</f>
        <v>9</v>
      </c>
      <c r="T375" s="453" t="str">
        <f>MATCH($K375,Reference!$J$37:$J$39,0)</f>
        <v>2</v>
      </c>
      <c r="U375" s="454" t="str">
        <f t="shared" si="674"/>
        <v>2</v>
      </c>
      <c r="V375" s="454" t="str">
        <f t="shared" si="3"/>
        <v>1</v>
      </c>
      <c r="W375" s="454" t="str">
        <f t="shared" si="688"/>
        <v>0</v>
      </c>
      <c r="X375" s="454" t="str">
        <f t="shared" si="675"/>
        <v>2</v>
      </c>
      <c r="Y375" s="456" t="str">
        <f t="shared" si="5"/>
        <v>FALSE</v>
      </c>
      <c r="Z375" s="456" t="str">
        <f t="shared" si="6"/>
        <v>FALSE</v>
      </c>
      <c r="AA375" s="457" t="str">
        <f t="shared" ref="AA375:AB375" si="691">1-I375</f>
        <v>0%</v>
      </c>
      <c r="AB375" s="457" t="str">
        <f t="shared" si="691"/>
        <v>0%</v>
      </c>
      <c r="AC375" s="456" t="str">
        <f t="shared" si="8"/>
        <v>2</v>
      </c>
      <c r="AD375" s="458" t="str">
        <f t="shared" si="677"/>
        <v>0</v>
      </c>
      <c r="AE375" s="458" t="str">
        <f t="shared" si="10"/>
        <v>1</v>
      </c>
      <c r="AF375" s="459" t="str">
        <f t="shared" si="690"/>
        <v>0</v>
      </c>
      <c r="AG375" s="460"/>
      <c r="AH375" s="14"/>
      <c r="AI375" s="14"/>
      <c r="AJ375" s="14"/>
      <c r="AK375" s="14"/>
      <c r="AL375" s="14"/>
      <c r="AM375" s="14"/>
      <c r="AN375" s="14"/>
      <c r="AO375" s="14"/>
      <c r="AP375" s="14"/>
      <c r="AQ375" s="14"/>
      <c r="AR375" s="14"/>
      <c r="AS375" s="14"/>
      <c r="AT375" s="14"/>
    </row>
    <row r="376">
      <c r="A376" s="463"/>
      <c r="B376" s="466">
        <v>2.0</v>
      </c>
      <c r="C376" s="475" t="s">
        <v>931</v>
      </c>
      <c r="D376" s="476" t="s">
        <v>15</v>
      </c>
      <c r="E376" s="477" t="s">
        <v>36</v>
      </c>
      <c r="F376" s="476" t="s">
        <v>75</v>
      </c>
      <c r="G376" s="478">
        <v>2.0</v>
      </c>
      <c r="H376" s="478">
        <v>0.0</v>
      </c>
      <c r="I376" s="479">
        <v>1.0</v>
      </c>
      <c r="J376" s="479">
        <v>1.0</v>
      </c>
      <c r="K376" s="477" t="s">
        <v>162</v>
      </c>
      <c r="L376" s="477"/>
      <c r="M376" s="477"/>
      <c r="N376" s="477"/>
      <c r="O376" s="480" t="s">
        <v>932</v>
      </c>
      <c r="P376" s="14"/>
      <c r="Q376" s="452" t="str">
        <f>MATCH($D376,Reference!$J$5:$J$9,0)</f>
        <v>2</v>
      </c>
      <c r="R376" s="452" t="str">
        <f>MATCH($E376,Reference!$J$26:$J$32,0)</f>
        <v>7</v>
      </c>
      <c r="S376" s="452" t="str">
        <f>MATCH($F376,Reference!$J$45:$J$54,0)</f>
        <v>9</v>
      </c>
      <c r="T376" s="453" t="str">
        <f>MATCH($K376,Reference!$J$37:$J$39,0)</f>
        <v>2</v>
      </c>
      <c r="U376" s="454" t="str">
        <f t="shared" si="674"/>
        <v>2</v>
      </c>
      <c r="V376" s="454" t="str">
        <f t="shared" si="3"/>
        <v>1</v>
      </c>
      <c r="W376" s="454" t="str">
        <f t="shared" si="688"/>
        <v>0</v>
      </c>
      <c r="X376" s="454" t="str">
        <f t="shared" si="675"/>
        <v>2</v>
      </c>
      <c r="Y376" s="456" t="str">
        <f t="shared" si="5"/>
        <v>FALSE</v>
      </c>
      <c r="Z376" s="456" t="str">
        <f t="shared" si="6"/>
        <v>FALSE</v>
      </c>
      <c r="AA376" s="457" t="str">
        <f t="shared" ref="AA376:AB376" si="692">1-I376</f>
        <v>0%</v>
      </c>
      <c r="AB376" s="457" t="str">
        <f t="shared" si="692"/>
        <v>0%</v>
      </c>
      <c r="AC376" s="456" t="str">
        <f t="shared" si="8"/>
        <v>2</v>
      </c>
      <c r="AD376" s="458" t="str">
        <f t="shared" si="677"/>
        <v>0</v>
      </c>
      <c r="AE376" s="458" t="str">
        <f t="shared" si="10"/>
        <v>1</v>
      </c>
      <c r="AF376" s="459" t="str">
        <f t="shared" si="690"/>
        <v>0</v>
      </c>
      <c r="AG376" s="460"/>
      <c r="AH376" s="14"/>
      <c r="AI376" s="14"/>
      <c r="AJ376" s="14"/>
      <c r="AK376" s="14"/>
      <c r="AL376" s="14"/>
      <c r="AM376" s="14"/>
      <c r="AN376" s="14"/>
      <c r="AO376" s="14"/>
      <c r="AP376" s="14"/>
      <c r="AQ376" s="14"/>
      <c r="AR376" s="14"/>
      <c r="AS376" s="14"/>
      <c r="AT376" s="14"/>
    </row>
    <row r="377">
      <c r="A377" s="466"/>
      <c r="B377" s="442">
        <v>2.0</v>
      </c>
      <c r="C377" s="482" t="s">
        <v>933</v>
      </c>
      <c r="D377" s="483" t="s">
        <v>15</v>
      </c>
      <c r="E377" s="483" t="s">
        <v>33</v>
      </c>
      <c r="F377" s="484" t="s">
        <v>75</v>
      </c>
      <c r="G377" s="471">
        <v>2.0</v>
      </c>
      <c r="H377" s="471">
        <v>0.0</v>
      </c>
      <c r="I377" s="486">
        <v>1.0</v>
      </c>
      <c r="J377" s="486">
        <v>1.0</v>
      </c>
      <c r="K377" s="499" t="s">
        <v>188</v>
      </c>
      <c r="L377" s="499"/>
      <c r="M377" s="499">
        <v>2.0</v>
      </c>
      <c r="N377" s="499">
        <v>2.0</v>
      </c>
      <c r="O377" s="223" t="s">
        <v>934</v>
      </c>
      <c r="P377" s="14"/>
      <c r="Q377" s="452" t="str">
        <f>MATCH($D377,Reference!$J$5:$J$9,0)</f>
        <v>2</v>
      </c>
      <c r="R377" s="452" t="str">
        <f>MATCH($E377,Reference!$J$26:$J$32,0)</f>
        <v>2</v>
      </c>
      <c r="S377" s="452" t="str">
        <f>MATCH($F377,Reference!$J$45:$J$54,0)</f>
        <v>9</v>
      </c>
      <c r="T377" s="453" t="str">
        <f>MATCH($K377,Reference!$J$37:$J$39,0)</f>
        <v>3</v>
      </c>
      <c r="U377" s="454" t="str">
        <f t="shared" si="674"/>
        <v>2</v>
      </c>
      <c r="V377" s="454" t="str">
        <f t="shared" si="3"/>
        <v>1</v>
      </c>
      <c r="W377" s="454" t="str">
        <f t="shared" si="688"/>
        <v>0</v>
      </c>
      <c r="X377" s="454" t="str">
        <f t="shared" si="675"/>
        <v>2</v>
      </c>
      <c r="Y377" s="456" t="str">
        <f t="shared" si="5"/>
        <v>FALSE</v>
      </c>
      <c r="Z377" s="456" t="str">
        <f t="shared" si="6"/>
        <v>FALSE</v>
      </c>
      <c r="AA377" s="457" t="str">
        <f t="shared" ref="AA377:AB377" si="693">1-I377</f>
        <v>0%</v>
      </c>
      <c r="AB377" s="457" t="str">
        <f t="shared" si="693"/>
        <v>0%</v>
      </c>
      <c r="AC377" s="456" t="str">
        <f t="shared" si="8"/>
        <v>2</v>
      </c>
      <c r="AD377" s="458" t="str">
        <f t="shared" si="677"/>
        <v>0</v>
      </c>
      <c r="AE377" s="458" t="str">
        <f t="shared" si="10"/>
        <v>1</v>
      </c>
      <c r="AF377" s="459" t="str">
        <f t="shared" si="690"/>
        <v>0</v>
      </c>
      <c r="AG377" s="460"/>
      <c r="AH377" s="14"/>
      <c r="AI377" s="14"/>
      <c r="AJ377" s="14"/>
      <c r="AK377" s="14"/>
      <c r="AL377" s="14"/>
      <c r="AM377" s="14"/>
      <c r="AN377" s="14"/>
      <c r="AO377" s="14"/>
      <c r="AP377" s="14"/>
      <c r="AQ377" s="14"/>
      <c r="AR377" s="14"/>
      <c r="AS377" s="14"/>
      <c r="AT377" s="14"/>
    </row>
    <row r="378">
      <c r="A378" s="466"/>
      <c r="B378" s="509">
        <v>2.0</v>
      </c>
      <c r="C378" s="510" t="s">
        <v>935</v>
      </c>
      <c r="D378" s="511" t="s">
        <v>15</v>
      </c>
      <c r="E378" s="511" t="s">
        <v>33</v>
      </c>
      <c r="F378" s="512" t="s">
        <v>75</v>
      </c>
      <c r="G378" s="508">
        <v>2.0</v>
      </c>
      <c r="H378" s="508">
        <v>0.0</v>
      </c>
      <c r="I378" s="486">
        <v>1.0</v>
      </c>
      <c r="J378" s="486">
        <v>1.0</v>
      </c>
      <c r="K378" s="522" t="s">
        <v>162</v>
      </c>
      <c r="L378" s="522"/>
      <c r="M378" s="522"/>
      <c r="N378" s="522"/>
      <c r="O378" s="224" t="s">
        <v>936</v>
      </c>
      <c r="P378" s="14"/>
      <c r="Q378" s="452" t="str">
        <f>MATCH($D378,Reference!$J$5:$J$9,0)</f>
        <v>2</v>
      </c>
      <c r="R378" s="452" t="str">
        <f>MATCH($E378,Reference!$J$26:$J$32,0)</f>
        <v>2</v>
      </c>
      <c r="S378" s="452" t="str">
        <f>MATCH($F378,Reference!$J$45:$J$54,0)</f>
        <v>9</v>
      </c>
      <c r="T378" s="453" t="str">
        <f>MATCH($K378,Reference!$J$37:$J$39,0)</f>
        <v>2</v>
      </c>
      <c r="U378" s="454" t="str">
        <f t="shared" si="674"/>
        <v>2</v>
      </c>
      <c r="V378" s="454" t="str">
        <f t="shared" si="3"/>
        <v>1</v>
      </c>
      <c r="W378" s="454" t="str">
        <f t="shared" si="688"/>
        <v>0</v>
      </c>
      <c r="X378" s="454" t="str">
        <f t="shared" si="675"/>
        <v>2</v>
      </c>
      <c r="Y378" s="456" t="str">
        <f t="shared" si="5"/>
        <v>FALSE</v>
      </c>
      <c r="Z378" s="456" t="str">
        <f t="shared" si="6"/>
        <v>FALSE</v>
      </c>
      <c r="AA378" s="457" t="str">
        <f t="shared" ref="AA378:AB378" si="694">1-I378</f>
        <v>0%</v>
      </c>
      <c r="AB378" s="457" t="str">
        <f t="shared" si="694"/>
        <v>0%</v>
      </c>
      <c r="AC378" s="456" t="str">
        <f t="shared" si="8"/>
        <v>2</v>
      </c>
      <c r="AD378" s="458" t="str">
        <f t="shared" si="677"/>
        <v>0</v>
      </c>
      <c r="AE378" s="458" t="str">
        <f t="shared" si="10"/>
        <v>1</v>
      </c>
      <c r="AF378" s="459" t="str">
        <f t="shared" si="690"/>
        <v>0</v>
      </c>
      <c r="AG378" s="460"/>
      <c r="AH378" s="14"/>
      <c r="AI378" s="14"/>
      <c r="AJ378" s="14"/>
      <c r="AK378" s="14"/>
      <c r="AL378" s="14"/>
      <c r="AM378" s="14"/>
      <c r="AN378" s="14"/>
      <c r="AO378" s="14"/>
      <c r="AP378" s="14"/>
      <c r="AQ378" s="14"/>
      <c r="AR378" s="14"/>
      <c r="AS378" s="14"/>
      <c r="AT378" s="14"/>
    </row>
    <row r="379">
      <c r="A379" s="442"/>
      <c r="B379" s="509">
        <v>2.0</v>
      </c>
      <c r="C379" s="510" t="s">
        <v>937</v>
      </c>
      <c r="D379" s="511" t="s">
        <v>15</v>
      </c>
      <c r="E379" s="511" t="s">
        <v>33</v>
      </c>
      <c r="F379" s="512" t="s">
        <v>75</v>
      </c>
      <c r="G379" s="508">
        <v>2.0</v>
      </c>
      <c r="H379" s="508">
        <v>0.0</v>
      </c>
      <c r="I379" s="486">
        <v>1.0</v>
      </c>
      <c r="J379" s="486">
        <v>1.0</v>
      </c>
      <c r="K379" s="522" t="s">
        <v>162</v>
      </c>
      <c r="L379" s="522"/>
      <c r="M379" s="522"/>
      <c r="N379" s="522"/>
      <c r="O379" s="224" t="s">
        <v>938</v>
      </c>
      <c r="P379" s="14"/>
      <c r="Q379" s="452" t="str">
        <f>MATCH($D379,Reference!$J$5:$J$9,0)</f>
        <v>2</v>
      </c>
      <c r="R379" s="452" t="str">
        <f>MATCH($E379,Reference!$J$26:$J$32,0)</f>
        <v>2</v>
      </c>
      <c r="S379" s="452" t="str">
        <f>MATCH($F379,Reference!$J$45:$J$54,0)</f>
        <v>9</v>
      </c>
      <c r="T379" s="453" t="str">
        <f>MATCH($K379,Reference!$J$37:$J$39,0)</f>
        <v>2</v>
      </c>
      <c r="U379" s="454" t="str">
        <f t="shared" si="674"/>
        <v>2</v>
      </c>
      <c r="V379" s="454" t="str">
        <f t="shared" si="3"/>
        <v>1</v>
      </c>
      <c r="W379" s="454" t="str">
        <f t="shared" si="688"/>
        <v>0</v>
      </c>
      <c r="X379" s="454" t="str">
        <f t="shared" si="675"/>
        <v>2</v>
      </c>
      <c r="Y379" s="456" t="str">
        <f t="shared" si="5"/>
        <v>FALSE</v>
      </c>
      <c r="Z379" s="456" t="str">
        <f t="shared" si="6"/>
        <v>FALSE</v>
      </c>
      <c r="AA379" s="457" t="str">
        <f t="shared" ref="AA379:AB379" si="695">1-I379</f>
        <v>0%</v>
      </c>
      <c r="AB379" s="457" t="str">
        <f t="shared" si="695"/>
        <v>0%</v>
      </c>
      <c r="AC379" s="456" t="str">
        <f t="shared" si="8"/>
        <v>2</v>
      </c>
      <c r="AD379" s="458" t="str">
        <f t="shared" si="677"/>
        <v>0</v>
      </c>
      <c r="AE379" s="458" t="str">
        <f t="shared" si="10"/>
        <v>1</v>
      </c>
      <c r="AF379" s="459" t="str">
        <f t="shared" si="690"/>
        <v>0</v>
      </c>
      <c r="AG379" s="460"/>
      <c r="AH379" s="14"/>
      <c r="AI379" s="14"/>
      <c r="AJ379" s="14"/>
      <c r="AK379" s="14"/>
      <c r="AL379" s="14"/>
      <c r="AM379" s="14"/>
      <c r="AN379" s="14"/>
      <c r="AO379" s="14"/>
      <c r="AP379" s="14"/>
      <c r="AQ379" s="14"/>
      <c r="AR379" s="14"/>
      <c r="AS379" s="14"/>
      <c r="AT379" s="14"/>
    </row>
    <row r="380">
      <c r="A380" s="466"/>
      <c r="B380" s="466">
        <v>3.0</v>
      </c>
      <c r="C380" s="475" t="s">
        <v>939</v>
      </c>
      <c r="D380" s="476" t="s">
        <v>15</v>
      </c>
      <c r="E380" s="477" t="s">
        <v>36</v>
      </c>
      <c r="F380" s="476" t="s">
        <v>75</v>
      </c>
      <c r="G380" s="478">
        <v>2.0</v>
      </c>
      <c r="H380" s="478">
        <v>1.0</v>
      </c>
      <c r="I380" s="479">
        <v>1.0</v>
      </c>
      <c r="J380" s="479">
        <v>1.0</v>
      </c>
      <c r="K380" s="477" t="s">
        <v>162</v>
      </c>
      <c r="L380" s="477"/>
      <c r="M380" s="477"/>
      <c r="N380" s="477"/>
      <c r="O380" s="480" t="s">
        <v>940</v>
      </c>
      <c r="P380" s="681"/>
      <c r="Q380" s="452" t="str">
        <f>MATCH($D380,Reference!$J$5:$J$9,0)</f>
        <v>2</v>
      </c>
      <c r="R380" s="452" t="str">
        <f>MATCH($E380,Reference!$J$26:$J$32,0)</f>
        <v>7</v>
      </c>
      <c r="S380" s="452" t="str">
        <f>MATCH($F380,Reference!$J$45:$J$54,0)</f>
        <v>9</v>
      </c>
      <c r="T380" s="453" t="str">
        <f>MATCH($K380,Reference!$J$37:$J$39,0)</f>
        <v>2</v>
      </c>
      <c r="U380" s="454" t="str">
        <f t="shared" si="674"/>
        <v>2</v>
      </c>
      <c r="V380" s="454" t="str">
        <f t="shared" si="3"/>
        <v>1</v>
      </c>
      <c r="W380" s="454" t="str">
        <f t="shared" si="688"/>
        <v>50</v>
      </c>
      <c r="X380" s="454" t="str">
        <f t="shared" si="675"/>
        <v>2</v>
      </c>
      <c r="Y380" s="456" t="str">
        <f t="shared" si="5"/>
        <v>FALSE</v>
      </c>
      <c r="Z380" s="456" t="str">
        <f t="shared" si="6"/>
        <v>FALSE</v>
      </c>
      <c r="AA380" s="457" t="str">
        <f t="shared" ref="AA380:AB380" si="696">1-I380</f>
        <v>0%</v>
      </c>
      <c r="AB380" s="457" t="str">
        <f t="shared" si="696"/>
        <v>0%</v>
      </c>
      <c r="AC380" s="456" t="str">
        <f t="shared" si="8"/>
        <v>2</v>
      </c>
      <c r="AD380" s="458" t="str">
        <f t="shared" si="677"/>
        <v>1</v>
      </c>
      <c r="AE380" s="458" t="str">
        <f t="shared" si="10"/>
        <v>1</v>
      </c>
      <c r="AF380" s="459" t="str">
        <f t="shared" si="690"/>
        <v>5</v>
      </c>
      <c r="AG380" s="460"/>
      <c r="AH380" s="14"/>
      <c r="AI380" s="14"/>
      <c r="AJ380" s="14"/>
      <c r="AK380" s="14"/>
      <c r="AL380" s="14"/>
      <c r="AM380" s="14"/>
      <c r="AN380" s="14"/>
      <c r="AO380" s="14"/>
      <c r="AP380" s="14"/>
      <c r="AQ380" s="14"/>
      <c r="AR380" s="14"/>
      <c r="AS380" s="14"/>
      <c r="AT380" s="14"/>
    </row>
    <row r="381">
      <c r="A381" s="509"/>
      <c r="B381" s="472">
        <v>3.0</v>
      </c>
      <c r="C381" s="489" t="s">
        <v>941</v>
      </c>
      <c r="D381" s="490" t="s">
        <v>15</v>
      </c>
      <c r="E381" s="490" t="s">
        <v>35</v>
      </c>
      <c r="F381" s="491" t="s">
        <v>75</v>
      </c>
      <c r="G381" s="492">
        <v>2.0</v>
      </c>
      <c r="H381" s="492">
        <v>0.0</v>
      </c>
      <c r="I381" s="494">
        <v>1.0</v>
      </c>
      <c r="J381" s="494">
        <v>1.0</v>
      </c>
      <c r="K381" s="495" t="s">
        <v>304</v>
      </c>
      <c r="L381" s="495"/>
      <c r="M381" s="495">
        <v>4.0</v>
      </c>
      <c r="N381" s="495">
        <v>2.0</v>
      </c>
      <c r="O381" s="496" t="s">
        <v>942</v>
      </c>
      <c r="P381" s="14"/>
      <c r="Q381" s="452" t="str">
        <f>MATCH($D381,Reference!$J$5:$J$9,0)</f>
        <v>2</v>
      </c>
      <c r="R381" s="452" t="str">
        <f>MATCH($E381,Reference!$J$26:$J$32,0)</f>
        <v>5</v>
      </c>
      <c r="S381" s="452" t="str">
        <f>MATCH($F381,Reference!$J$45:$J$54,0)</f>
        <v>9</v>
      </c>
      <c r="T381" s="453" t="str">
        <f>MATCH($K381,Reference!$J$37:$J$39,0)</f>
        <v>1</v>
      </c>
      <c r="U381" s="454" t="str">
        <f t="shared" si="674"/>
        <v>2</v>
      </c>
      <c r="V381" s="454" t="str">
        <f t="shared" si="3"/>
        <v>1</v>
      </c>
      <c r="W381" s="454" t="str">
        <f t="shared" si="688"/>
        <v>0</v>
      </c>
      <c r="X381" s="454" t="str">
        <f t="shared" si="675"/>
        <v>2</v>
      </c>
      <c r="Y381" s="456" t="str">
        <f t="shared" si="5"/>
        <v>FALSE</v>
      </c>
      <c r="Z381" s="456" t="str">
        <f t="shared" si="6"/>
        <v>FALSE</v>
      </c>
      <c r="AA381" s="457" t="str">
        <f t="shared" ref="AA381:AB381" si="697">1-I381</f>
        <v>0%</v>
      </c>
      <c r="AB381" s="457" t="str">
        <f t="shared" si="697"/>
        <v>0%</v>
      </c>
      <c r="AC381" s="456" t="str">
        <f t="shared" si="8"/>
        <v>2</v>
      </c>
      <c r="AD381" s="458" t="str">
        <f t="shared" si="677"/>
        <v>0</v>
      </c>
      <c r="AE381" s="458" t="str">
        <f t="shared" si="10"/>
        <v>1</v>
      </c>
      <c r="AF381" s="459" t="str">
        <f t="shared" si="690"/>
        <v>0</v>
      </c>
      <c r="AG381" s="460"/>
      <c r="AH381" s="14"/>
      <c r="AI381" s="14"/>
      <c r="AJ381" s="14"/>
      <c r="AK381" s="14"/>
      <c r="AL381" s="14"/>
      <c r="AM381" s="14"/>
      <c r="AN381" s="14"/>
      <c r="AO381" s="14"/>
      <c r="AP381" s="14"/>
      <c r="AQ381" s="14"/>
      <c r="AR381" s="14"/>
      <c r="AS381" s="14"/>
      <c r="AT381" s="14"/>
    </row>
    <row r="382">
      <c r="A382" s="466"/>
      <c r="B382" s="466">
        <v>3.0</v>
      </c>
      <c r="C382" s="475" t="s">
        <v>943</v>
      </c>
      <c r="D382" s="476" t="s">
        <v>15</v>
      </c>
      <c r="E382" s="477" t="s">
        <v>36</v>
      </c>
      <c r="F382" s="476" t="s">
        <v>75</v>
      </c>
      <c r="G382" s="478">
        <v>2.0</v>
      </c>
      <c r="H382" s="478">
        <v>0.0</v>
      </c>
      <c r="I382" s="479">
        <v>1.0</v>
      </c>
      <c r="J382" s="479">
        <v>1.0</v>
      </c>
      <c r="K382" s="477" t="s">
        <v>188</v>
      </c>
      <c r="L382" s="477"/>
      <c r="M382" s="477">
        <v>3.0</v>
      </c>
      <c r="N382" s="477">
        <v>3.0</v>
      </c>
      <c r="O382" s="480" t="s">
        <v>944</v>
      </c>
      <c r="P382" s="14"/>
      <c r="Q382" s="452" t="str">
        <f>MATCH($D382,Reference!$J$5:$J$9,0)</f>
        <v>2</v>
      </c>
      <c r="R382" s="452" t="str">
        <f>MATCH($E382,Reference!$J$26:$J$32,0)</f>
        <v>7</v>
      </c>
      <c r="S382" s="452" t="str">
        <f>MATCH($F382,Reference!$J$45:$J$54,0)</f>
        <v>9</v>
      </c>
      <c r="T382" s="453" t="str">
        <f>MATCH($K382,Reference!$J$37:$J$39,0)</f>
        <v>3</v>
      </c>
      <c r="U382" s="454" t="str">
        <f t="shared" si="674"/>
        <v>2</v>
      </c>
      <c r="V382" s="454" t="str">
        <f t="shared" si="3"/>
        <v>1</v>
      </c>
      <c r="W382" s="454" t="str">
        <f t="shared" si="688"/>
        <v>0</v>
      </c>
      <c r="X382" s="454" t="str">
        <f t="shared" si="675"/>
        <v>2</v>
      </c>
      <c r="Y382" s="456" t="str">
        <f t="shared" si="5"/>
        <v>FALSE</v>
      </c>
      <c r="Z382" s="456" t="str">
        <f t="shared" si="6"/>
        <v>FALSE</v>
      </c>
      <c r="AA382" s="457" t="str">
        <f t="shared" ref="AA382:AB382" si="698">1-I382</f>
        <v>0%</v>
      </c>
      <c r="AB382" s="457" t="str">
        <f t="shared" si="698"/>
        <v>0%</v>
      </c>
      <c r="AC382" s="456" t="str">
        <f t="shared" si="8"/>
        <v>2</v>
      </c>
      <c r="AD382" s="458" t="str">
        <f t="shared" si="677"/>
        <v>0</v>
      </c>
      <c r="AE382" s="458" t="str">
        <f t="shared" si="10"/>
        <v>1</v>
      </c>
      <c r="AF382" s="459" t="str">
        <f t="shared" si="690"/>
        <v>0</v>
      </c>
      <c r="AG382" s="460"/>
      <c r="AH382" s="14"/>
      <c r="AI382" s="14"/>
      <c r="AJ382" s="14"/>
      <c r="AK382" s="14"/>
      <c r="AL382" s="14"/>
      <c r="AM382" s="14"/>
      <c r="AN382" s="14"/>
      <c r="AO382" s="14"/>
      <c r="AP382" s="14"/>
      <c r="AQ382" s="14"/>
      <c r="AR382" s="14"/>
      <c r="AS382" s="14"/>
      <c r="AT382" s="14"/>
    </row>
    <row r="383">
      <c r="A383" s="442"/>
      <c r="B383" s="442">
        <v>4.0</v>
      </c>
      <c r="C383" s="482" t="s">
        <v>945</v>
      </c>
      <c r="D383" s="483" t="s">
        <v>15</v>
      </c>
      <c r="E383" s="483" t="s">
        <v>33</v>
      </c>
      <c r="F383" s="484" t="s">
        <v>75</v>
      </c>
      <c r="G383" s="471">
        <v>2.0</v>
      </c>
      <c r="H383" s="471">
        <v>0.0</v>
      </c>
      <c r="I383" s="486">
        <v>1.0</v>
      </c>
      <c r="J383" s="486">
        <v>1.0</v>
      </c>
      <c r="K383" s="499" t="s">
        <v>188</v>
      </c>
      <c r="L383" s="499"/>
      <c r="M383" s="499">
        <v>3.0</v>
      </c>
      <c r="N383" s="499">
        <v>3.0</v>
      </c>
      <c r="O383" s="223" t="s">
        <v>946</v>
      </c>
      <c r="P383" s="14"/>
      <c r="Q383" s="452" t="str">
        <f>MATCH($D383,Reference!$J$5:$J$9,0)</f>
        <v>2</v>
      </c>
      <c r="R383" s="452" t="str">
        <f>MATCH($E383,Reference!$J$26:$J$32,0)</f>
        <v>2</v>
      </c>
      <c r="S383" s="452" t="str">
        <f>MATCH($F383,Reference!$J$45:$J$54,0)</f>
        <v>9</v>
      </c>
      <c r="T383" s="453" t="str">
        <f>MATCH($K383,Reference!$J$37:$J$39,0)</f>
        <v>3</v>
      </c>
      <c r="U383" s="454" t="str">
        <f t="shared" si="674"/>
        <v>2</v>
      </c>
      <c r="V383" s="454" t="str">
        <f t="shared" si="3"/>
        <v>1</v>
      </c>
      <c r="W383" s="454" t="str">
        <f t="shared" si="688"/>
        <v>0</v>
      </c>
      <c r="X383" s="454" t="str">
        <f t="shared" si="675"/>
        <v>2</v>
      </c>
      <c r="Y383" s="456" t="str">
        <f t="shared" si="5"/>
        <v>FALSE</v>
      </c>
      <c r="Z383" s="456" t="str">
        <f t="shared" si="6"/>
        <v>FALSE</v>
      </c>
      <c r="AA383" s="457" t="str">
        <f t="shared" ref="AA383:AB383" si="699">1-I383</f>
        <v>0%</v>
      </c>
      <c r="AB383" s="457" t="str">
        <f t="shared" si="699"/>
        <v>0%</v>
      </c>
      <c r="AC383" s="456" t="str">
        <f t="shared" si="8"/>
        <v>2</v>
      </c>
      <c r="AD383" s="458" t="str">
        <f t="shared" si="677"/>
        <v>0</v>
      </c>
      <c r="AE383" s="458" t="str">
        <f t="shared" si="10"/>
        <v>1</v>
      </c>
      <c r="AF383" s="459" t="str">
        <f t="shared" si="690"/>
        <v>0</v>
      </c>
      <c r="AG383" s="460"/>
      <c r="AH383" s="14"/>
      <c r="AI383" s="14"/>
      <c r="AJ383" s="14"/>
      <c r="AK383" s="14"/>
      <c r="AL383" s="14"/>
      <c r="AM383" s="14"/>
      <c r="AN383" s="14"/>
      <c r="AO383" s="14"/>
      <c r="AP383" s="14"/>
      <c r="AQ383" s="14"/>
      <c r="AR383" s="14"/>
      <c r="AS383" s="14"/>
      <c r="AT383" s="14"/>
    </row>
    <row r="384">
      <c r="A384" s="463"/>
      <c r="B384" s="469">
        <v>4.0</v>
      </c>
      <c r="C384" s="501" t="s">
        <v>947</v>
      </c>
      <c r="D384" s="502" t="s">
        <v>15</v>
      </c>
      <c r="E384" s="502" t="s">
        <v>47</v>
      </c>
      <c r="F384" s="503" t="s">
        <v>75</v>
      </c>
      <c r="G384" s="504" t="str">
        <f>IF(Summary!$Y$27&gt;=VLOOKUP(C384,Reference!$N$6:$O$36,2,0),2,0)</f>
        <v>2</v>
      </c>
      <c r="H384" s="737">
        <v>0.0</v>
      </c>
      <c r="I384" s="505">
        <v>1.0</v>
      </c>
      <c r="J384" s="738"/>
      <c r="K384" s="506" t="s">
        <v>188</v>
      </c>
      <c r="L384" s="739"/>
      <c r="M384" s="506">
        <v>2.0</v>
      </c>
      <c r="N384" s="506">
        <v>5.0</v>
      </c>
      <c r="O384" s="740" t="s">
        <v>948</v>
      </c>
      <c r="P384" s="14"/>
      <c r="Q384" s="452" t="str">
        <f>MATCH($D384,Reference!$J$5:$J$9,0)</f>
        <v>2</v>
      </c>
      <c r="R384" s="452" t="str">
        <f>MATCH($E384,Reference!$J$26:$J$32,0)</f>
        <v>6</v>
      </c>
      <c r="S384" s="452" t="str">
        <f>MATCH($F384,Reference!$J$45:$J$54,0)</f>
        <v>9</v>
      </c>
      <c r="T384" s="453" t="str">
        <f>MATCH($K384,Reference!$J$37:$J$39,0)</f>
        <v>3</v>
      </c>
      <c r="U384" s="454" t="str">
        <f t="shared" si="674"/>
        <v>2</v>
      </c>
      <c r="V384" s="454" t="str">
        <f t="shared" si="3"/>
        <v>1</v>
      </c>
      <c r="W384" s="454" t="str">
        <f t="shared" si="688"/>
        <v>0</v>
      </c>
      <c r="X384" s="454" t="str">
        <f t="shared" si="675"/>
        <v>2</v>
      </c>
      <c r="Y384" s="456" t="str">
        <f t="shared" si="5"/>
        <v>FALSE</v>
      </c>
      <c r="Z384" s="456" t="str">
        <f t="shared" si="6"/>
        <v>FALSE</v>
      </c>
      <c r="AA384" s="457" t="str">
        <f t="shared" ref="AA384:AB384" si="700">1-I384</f>
        <v>0%</v>
      </c>
      <c r="AB384" s="457" t="str">
        <f t="shared" si="700"/>
        <v>100%</v>
      </c>
      <c r="AC384" s="456" t="str">
        <f t="shared" si="8"/>
        <v>2</v>
      </c>
      <c r="AD384" s="458" t="str">
        <f t="shared" si="677"/>
        <v>0</v>
      </c>
      <c r="AE384" s="458" t="str">
        <f t="shared" si="10"/>
        <v>1</v>
      </c>
      <c r="AF384" s="459" t="str">
        <f t="shared" si="690"/>
        <v>0</v>
      </c>
      <c r="AG384" s="460"/>
      <c r="AH384" s="14"/>
      <c r="AI384" s="14"/>
      <c r="AJ384" s="14"/>
      <c r="AK384" s="14"/>
      <c r="AL384" s="14"/>
      <c r="AM384" s="14"/>
      <c r="AN384" s="14"/>
      <c r="AO384" s="14"/>
      <c r="AP384" s="14"/>
      <c r="AQ384" s="14"/>
      <c r="AR384" s="14"/>
      <c r="AS384" s="14"/>
      <c r="AT384" s="14"/>
    </row>
    <row r="385">
      <c r="A385" s="513"/>
      <c r="B385" s="513">
        <v>4.0</v>
      </c>
      <c r="C385" s="514" t="s">
        <v>949</v>
      </c>
      <c r="D385" s="515" t="s">
        <v>15</v>
      </c>
      <c r="E385" s="515" t="s">
        <v>41</v>
      </c>
      <c r="F385" s="516" t="s">
        <v>75</v>
      </c>
      <c r="G385" s="517" t="str">
        <f>IF(Summary!$Y$25&gt;=VLOOKUP(C385,Reference!$N$41:$O$70,2,0),2,0)</f>
        <v>2</v>
      </c>
      <c r="H385" s="517">
        <v>0.0</v>
      </c>
      <c r="I385" s="518">
        <v>1.0</v>
      </c>
      <c r="J385" s="518"/>
      <c r="K385" s="519" t="s">
        <v>304</v>
      </c>
      <c r="L385" s="519"/>
      <c r="M385" s="519">
        <v>4.0</v>
      </c>
      <c r="N385" s="519">
        <v>2.0</v>
      </c>
      <c r="O385" s="520" t="s">
        <v>950</v>
      </c>
      <c r="P385" s="681"/>
      <c r="Q385" s="452" t="str">
        <f>MATCH($D385,Reference!$J$5:$J$9,0)</f>
        <v>2</v>
      </c>
      <c r="R385" s="452" t="str">
        <f>MATCH($E385,Reference!$J$26:$J$32,0)</f>
        <v>4</v>
      </c>
      <c r="S385" s="452" t="str">
        <f>MATCH($F385,Reference!$J$45:$J$54,0)</f>
        <v>9</v>
      </c>
      <c r="T385" s="453" t="str">
        <f>MATCH($K385,Reference!$J$37:$J$39,0)</f>
        <v>1</v>
      </c>
      <c r="U385" s="454" t="str">
        <f t="shared" si="674"/>
        <v>2</v>
      </c>
      <c r="V385" s="454" t="str">
        <f t="shared" si="3"/>
        <v>1</v>
      </c>
      <c r="W385" s="454" t="str">
        <f t="shared" si="688"/>
        <v>0</v>
      </c>
      <c r="X385" s="454" t="str">
        <f t="shared" si="675"/>
        <v>2</v>
      </c>
      <c r="Y385" s="456" t="str">
        <f t="shared" si="5"/>
        <v>FALSE</v>
      </c>
      <c r="Z385" s="456" t="str">
        <f t="shared" si="6"/>
        <v>FALSE</v>
      </c>
      <c r="AA385" s="457" t="str">
        <f t="shared" ref="AA385:AB385" si="701">1-I385</f>
        <v>0%</v>
      </c>
      <c r="AB385" s="457" t="str">
        <f t="shared" si="701"/>
        <v>100%</v>
      </c>
      <c r="AC385" s="456" t="str">
        <f t="shared" si="8"/>
        <v>2</v>
      </c>
      <c r="AD385" s="458" t="str">
        <f t="shared" si="677"/>
        <v>0</v>
      </c>
      <c r="AE385" s="458" t="str">
        <f t="shared" si="10"/>
        <v>1</v>
      </c>
      <c r="AF385" s="459" t="str">
        <f t="shared" si="690"/>
        <v>0</v>
      </c>
      <c r="AG385" s="460"/>
      <c r="AH385" s="14"/>
      <c r="AI385" s="14"/>
      <c r="AJ385" s="14"/>
      <c r="AK385" s="14"/>
      <c r="AL385" s="14"/>
      <c r="AM385" s="14"/>
      <c r="AN385" s="14"/>
      <c r="AO385" s="14"/>
      <c r="AP385" s="14"/>
      <c r="AQ385" s="14"/>
      <c r="AR385" s="14"/>
      <c r="AS385" s="14"/>
      <c r="AT385" s="14"/>
    </row>
    <row r="386">
      <c r="A386" s="442"/>
      <c r="B386" s="547">
        <v>1.0</v>
      </c>
      <c r="C386" s="548" t="s">
        <v>951</v>
      </c>
      <c r="D386" s="549" t="s">
        <v>21</v>
      </c>
      <c r="E386" s="549" t="s">
        <v>33</v>
      </c>
      <c r="F386" s="550" t="s">
        <v>75</v>
      </c>
      <c r="G386" s="551">
        <v>2.0</v>
      </c>
      <c r="H386" s="552">
        <v>0.0</v>
      </c>
      <c r="I386" s="553">
        <v>1.0</v>
      </c>
      <c r="J386" s="553">
        <v>1.0</v>
      </c>
      <c r="K386" s="554" t="s">
        <v>162</v>
      </c>
      <c r="L386" s="554"/>
      <c r="M386" s="554"/>
      <c r="N386" s="554"/>
      <c r="O386" s="555" t="s">
        <v>952</v>
      </c>
      <c r="P386" s="14"/>
      <c r="Q386" s="452" t="str">
        <f>MATCH($D386,Reference!$J$5:$J$9,0)</f>
        <v>3</v>
      </c>
      <c r="R386" s="452" t="str">
        <f>MATCH($E386,Reference!$J$26:$J$32,0)</f>
        <v>2</v>
      </c>
      <c r="S386" s="452" t="str">
        <f>MATCH($F386,Reference!$J$45:$J$54,0)</f>
        <v>9</v>
      </c>
      <c r="T386" s="453" t="str">
        <f>MATCH($K386,Reference!$J$37:$J$39,0)</f>
        <v>2</v>
      </c>
      <c r="U386" s="454" t="str">
        <f t="shared" si="674"/>
        <v>2</v>
      </c>
      <c r="V386" s="454" t="str">
        <f t="shared" si="3"/>
        <v>1</v>
      </c>
      <c r="W386" s="454" t="str">
        <f t="shared" ref="W386:W389" si="703">(MIN(G386,2)+H386-U386)*100</f>
        <v>0</v>
      </c>
      <c r="X386" s="454" t="str">
        <f t="shared" si="675"/>
        <v>2</v>
      </c>
      <c r="Y386" s="456" t="str">
        <f t="shared" si="5"/>
        <v>FALSE</v>
      </c>
      <c r="Z386" s="456" t="str">
        <f t="shared" si="6"/>
        <v>FALSE</v>
      </c>
      <c r="AA386" s="457" t="str">
        <f t="shared" ref="AA386:AB386" si="702">1-I386</f>
        <v>0%</v>
      </c>
      <c r="AB386" s="457" t="str">
        <f t="shared" si="702"/>
        <v>0%</v>
      </c>
      <c r="AC386" s="456" t="str">
        <f t="shared" si="8"/>
        <v>2</v>
      </c>
      <c r="AD386" s="458" t="str">
        <f t="shared" si="677"/>
        <v>0</v>
      </c>
      <c r="AE386" s="458" t="str">
        <f t="shared" si="10"/>
        <v>1</v>
      </c>
      <c r="AF386" s="459" t="str">
        <f t="shared" ref="AF386:AF397" si="705">(MIN(H386,2)+G386-U386)*20</f>
        <v>0</v>
      </c>
      <c r="AG386" s="460"/>
      <c r="AH386" s="14"/>
      <c r="AI386" s="14"/>
      <c r="AJ386" s="14"/>
      <c r="AK386" s="14"/>
      <c r="AL386" s="14"/>
      <c r="AM386" s="14"/>
      <c r="AN386" s="14"/>
      <c r="AO386" s="14"/>
      <c r="AP386" s="14"/>
      <c r="AQ386" s="14"/>
      <c r="AR386" s="14"/>
      <c r="AS386" s="14"/>
      <c r="AT386" s="14"/>
    </row>
    <row r="387">
      <c r="A387" s="466"/>
      <c r="B387" s="560">
        <v>2.0</v>
      </c>
      <c r="C387" s="561" t="s">
        <v>953</v>
      </c>
      <c r="D387" s="562" t="s">
        <v>21</v>
      </c>
      <c r="E387" s="563" t="s">
        <v>36</v>
      </c>
      <c r="F387" s="562" t="s">
        <v>75</v>
      </c>
      <c r="G387" s="564">
        <v>2.0</v>
      </c>
      <c r="H387" s="564">
        <v>0.0</v>
      </c>
      <c r="I387" s="565">
        <v>1.0</v>
      </c>
      <c r="J387" s="565">
        <v>1.0</v>
      </c>
      <c r="K387" s="563" t="s">
        <v>188</v>
      </c>
      <c r="L387" s="563"/>
      <c r="M387" s="563">
        <v>2.0</v>
      </c>
      <c r="N387" s="563">
        <v>3.0</v>
      </c>
      <c r="O387" s="566" t="s">
        <v>954</v>
      </c>
      <c r="P387" s="14"/>
      <c r="Q387" s="452" t="str">
        <f>MATCH($D387,Reference!$J$5:$J$9,0)</f>
        <v>3</v>
      </c>
      <c r="R387" s="452" t="str">
        <f>MATCH($E387,Reference!$J$26:$J$32,0)</f>
        <v>7</v>
      </c>
      <c r="S387" s="452" t="str">
        <f>MATCH($F387,Reference!$J$45:$J$54,0)</f>
        <v>9</v>
      </c>
      <c r="T387" s="453" t="str">
        <f>MATCH($K387,Reference!$J$37:$J$39,0)</f>
        <v>3</v>
      </c>
      <c r="U387" s="454" t="str">
        <f t="shared" si="674"/>
        <v>2</v>
      </c>
      <c r="V387" s="454" t="str">
        <f t="shared" si="3"/>
        <v>1</v>
      </c>
      <c r="W387" s="454" t="str">
        <f t="shared" si="703"/>
        <v>0</v>
      </c>
      <c r="X387" s="454" t="str">
        <f t="shared" si="675"/>
        <v>2</v>
      </c>
      <c r="Y387" s="456" t="str">
        <f t="shared" si="5"/>
        <v>FALSE</v>
      </c>
      <c r="Z387" s="456" t="str">
        <f t="shared" si="6"/>
        <v>FALSE</v>
      </c>
      <c r="AA387" s="457" t="str">
        <f t="shared" ref="AA387:AB387" si="704">1-I387</f>
        <v>0%</v>
      </c>
      <c r="AB387" s="457" t="str">
        <f t="shared" si="704"/>
        <v>0%</v>
      </c>
      <c r="AC387" s="456" t="str">
        <f t="shared" si="8"/>
        <v>2</v>
      </c>
      <c r="AD387" s="458" t="str">
        <f t="shared" si="677"/>
        <v>0</v>
      </c>
      <c r="AE387" s="458" t="str">
        <f t="shared" si="10"/>
        <v>1</v>
      </c>
      <c r="AF387" s="459" t="str">
        <f t="shared" si="705"/>
        <v>0</v>
      </c>
      <c r="AG387" s="460"/>
      <c r="AH387" s="14"/>
      <c r="AI387" s="14"/>
      <c r="AJ387" s="14"/>
      <c r="AK387" s="14"/>
      <c r="AL387" s="14"/>
      <c r="AM387" s="14"/>
      <c r="AN387" s="14"/>
      <c r="AO387" s="14"/>
      <c r="AP387" s="14"/>
      <c r="AQ387" s="14"/>
      <c r="AR387" s="14"/>
      <c r="AS387" s="14"/>
      <c r="AT387" s="14"/>
    </row>
    <row r="388">
      <c r="A388" s="682"/>
      <c r="B388" s="547">
        <v>2.0</v>
      </c>
      <c r="C388" s="548" t="s">
        <v>955</v>
      </c>
      <c r="D388" s="549" t="s">
        <v>21</v>
      </c>
      <c r="E388" s="549" t="s">
        <v>33</v>
      </c>
      <c r="F388" s="550" t="s">
        <v>75</v>
      </c>
      <c r="G388" s="551">
        <v>2.0</v>
      </c>
      <c r="H388" s="551">
        <v>0.0</v>
      </c>
      <c r="I388" s="553">
        <v>1.0</v>
      </c>
      <c r="J388" s="553">
        <v>1.0</v>
      </c>
      <c r="K388" s="554" t="s">
        <v>188</v>
      </c>
      <c r="L388" s="554"/>
      <c r="M388" s="554">
        <v>1.0</v>
      </c>
      <c r="N388" s="554">
        <v>4.0</v>
      </c>
      <c r="O388" s="555" t="s">
        <v>956</v>
      </c>
      <c r="P388" s="14"/>
      <c r="Q388" s="452" t="str">
        <f>MATCH($D388,Reference!$J$5:$J$9,0)</f>
        <v>3</v>
      </c>
      <c r="R388" s="452" t="str">
        <f>MATCH($E388,Reference!$J$26:$J$32,0)</f>
        <v>2</v>
      </c>
      <c r="S388" s="452" t="str">
        <f>MATCH($F388,Reference!$J$45:$J$54,0)</f>
        <v>9</v>
      </c>
      <c r="T388" s="453" t="str">
        <f>MATCH($K388,Reference!$J$37:$J$39,0)</f>
        <v>3</v>
      </c>
      <c r="U388" s="454" t="str">
        <f t="shared" si="674"/>
        <v>2</v>
      </c>
      <c r="V388" s="454" t="str">
        <f t="shared" si="3"/>
        <v>1</v>
      </c>
      <c r="W388" s="454" t="str">
        <f t="shared" si="703"/>
        <v>0</v>
      </c>
      <c r="X388" s="454" t="str">
        <f t="shared" si="675"/>
        <v>2</v>
      </c>
      <c r="Y388" s="456" t="str">
        <f t="shared" si="5"/>
        <v>FALSE</v>
      </c>
      <c r="Z388" s="456" t="str">
        <f t="shared" si="6"/>
        <v>FALSE</v>
      </c>
      <c r="AA388" s="457" t="str">
        <f t="shared" ref="AA388:AB388" si="706">1-I388</f>
        <v>0%</v>
      </c>
      <c r="AB388" s="457" t="str">
        <f t="shared" si="706"/>
        <v>0%</v>
      </c>
      <c r="AC388" s="456" t="str">
        <f t="shared" si="8"/>
        <v>2</v>
      </c>
      <c r="AD388" s="458" t="str">
        <f t="shared" si="677"/>
        <v>0</v>
      </c>
      <c r="AE388" s="458" t="str">
        <f t="shared" si="10"/>
        <v>1</v>
      </c>
      <c r="AF388" s="459" t="str">
        <f t="shared" si="705"/>
        <v>0</v>
      </c>
      <c r="AG388" s="460"/>
      <c r="AH388" s="14"/>
      <c r="AI388" s="14"/>
      <c r="AJ388" s="14"/>
      <c r="AK388" s="14"/>
      <c r="AL388" s="14"/>
      <c r="AM388" s="14"/>
      <c r="AN388" s="14"/>
      <c r="AO388" s="14"/>
      <c r="AP388" s="14"/>
      <c r="AQ388" s="14"/>
      <c r="AR388" s="14"/>
      <c r="AS388" s="14"/>
      <c r="AT388" s="14"/>
    </row>
    <row r="389">
      <c r="A389" s="442"/>
      <c r="B389" s="547">
        <v>2.0</v>
      </c>
      <c r="C389" s="548" t="s">
        <v>957</v>
      </c>
      <c r="D389" s="549" t="s">
        <v>21</v>
      </c>
      <c r="E389" s="549" t="s">
        <v>33</v>
      </c>
      <c r="F389" s="550" t="s">
        <v>75</v>
      </c>
      <c r="G389" s="551">
        <v>2.0</v>
      </c>
      <c r="H389" s="551">
        <v>0.0</v>
      </c>
      <c r="I389" s="553">
        <v>1.0</v>
      </c>
      <c r="J389" s="553">
        <v>1.0</v>
      </c>
      <c r="K389" s="554" t="s">
        <v>162</v>
      </c>
      <c r="L389" s="554"/>
      <c r="M389" s="554"/>
      <c r="N389" s="554"/>
      <c r="O389" s="555" t="s">
        <v>958</v>
      </c>
      <c r="P389" s="14"/>
      <c r="Q389" s="452" t="str">
        <f>MATCH($D389,Reference!$J$5:$J$9,0)</f>
        <v>3</v>
      </c>
      <c r="R389" s="452" t="str">
        <f>MATCH($E389,Reference!$J$26:$J$32,0)</f>
        <v>2</v>
      </c>
      <c r="S389" s="452" t="str">
        <f>MATCH($F389,Reference!$J$45:$J$54,0)</f>
        <v>9</v>
      </c>
      <c r="T389" s="453" t="str">
        <f>MATCH($K389,Reference!$J$37:$J$39,0)</f>
        <v>2</v>
      </c>
      <c r="U389" s="454" t="str">
        <f t="shared" si="674"/>
        <v>2</v>
      </c>
      <c r="V389" s="454" t="str">
        <f t="shared" si="3"/>
        <v>1</v>
      </c>
      <c r="W389" s="454" t="str">
        <f t="shared" si="703"/>
        <v>0</v>
      </c>
      <c r="X389" s="454" t="str">
        <f t="shared" si="675"/>
        <v>2</v>
      </c>
      <c r="Y389" s="456" t="str">
        <f t="shared" si="5"/>
        <v>FALSE</v>
      </c>
      <c r="Z389" s="456" t="str">
        <f t="shared" si="6"/>
        <v>FALSE</v>
      </c>
      <c r="AA389" s="457" t="str">
        <f t="shared" ref="AA389:AB389" si="707">1-I389</f>
        <v>0%</v>
      </c>
      <c r="AB389" s="457" t="str">
        <f t="shared" si="707"/>
        <v>0%</v>
      </c>
      <c r="AC389" s="456" t="str">
        <f t="shared" si="8"/>
        <v>2</v>
      </c>
      <c r="AD389" s="458" t="str">
        <f t="shared" si="677"/>
        <v>0</v>
      </c>
      <c r="AE389" s="458" t="str">
        <f t="shared" si="10"/>
        <v>1</v>
      </c>
      <c r="AF389" s="459" t="str">
        <f t="shared" si="705"/>
        <v>0</v>
      </c>
      <c r="AG389" s="460"/>
      <c r="AH389" s="14"/>
      <c r="AI389" s="14"/>
      <c r="AJ389" s="14"/>
      <c r="AK389" s="14"/>
      <c r="AL389" s="14"/>
      <c r="AM389" s="14"/>
      <c r="AN389" s="14"/>
      <c r="AO389" s="14"/>
      <c r="AP389" s="14"/>
      <c r="AQ389" s="14"/>
      <c r="AR389" s="14"/>
      <c r="AS389" s="14"/>
      <c r="AT389" s="14"/>
    </row>
    <row r="390">
      <c r="A390" s="682"/>
      <c r="B390" s="607">
        <v>2.0</v>
      </c>
      <c r="C390" s="608" t="s">
        <v>959</v>
      </c>
      <c r="D390" s="609" t="s">
        <v>21</v>
      </c>
      <c r="E390" s="609" t="s">
        <v>47</v>
      </c>
      <c r="F390" s="610" t="s">
        <v>75</v>
      </c>
      <c r="G390" s="611" t="str">
        <f>IF(Summary!$Y$27&gt;=VLOOKUP(C390,Reference!$N$6:$O$36,2,0),2,0)</f>
        <v>2</v>
      </c>
      <c r="H390" s="741">
        <v>0.0</v>
      </c>
      <c r="I390" s="612">
        <v>1.0</v>
      </c>
      <c r="J390" s="742"/>
      <c r="K390" s="613" t="s">
        <v>162</v>
      </c>
      <c r="L390" s="743"/>
      <c r="M390" s="613"/>
      <c r="N390" s="613"/>
      <c r="O390" s="744" t="s">
        <v>960</v>
      </c>
      <c r="P390" s="14"/>
      <c r="Q390" s="452" t="str">
        <f>MATCH($D390,Reference!$J$5:$J$9,0)</f>
        <v>3</v>
      </c>
      <c r="R390" s="452" t="str">
        <f>MATCH($E390,Reference!$J$26:$J$32,0)</f>
        <v>6</v>
      </c>
      <c r="S390" s="452" t="str">
        <f>MATCH($F390,Reference!$J$45:$J$54,0)</f>
        <v>9</v>
      </c>
      <c r="T390" s="453" t="str">
        <f>MATCH($K390,Reference!$J$37:$J$39,0)</f>
        <v>2</v>
      </c>
      <c r="U390" s="454" t="str">
        <f t="shared" si="674"/>
        <v>2</v>
      </c>
      <c r="V390" s="454" t="str">
        <f t="shared" si="3"/>
        <v>1</v>
      </c>
      <c r="W390" s="455">
        <v>0.0</v>
      </c>
      <c r="X390" s="454" t="str">
        <f t="shared" si="675"/>
        <v>2</v>
      </c>
      <c r="Y390" s="456" t="str">
        <f t="shared" si="5"/>
        <v>FALSE</v>
      </c>
      <c r="Z390" s="456" t="str">
        <f t="shared" si="6"/>
        <v>FALSE</v>
      </c>
      <c r="AA390" s="457" t="str">
        <f t="shared" ref="AA390:AB390" si="708">1-I390</f>
        <v>0%</v>
      </c>
      <c r="AB390" s="457" t="str">
        <f t="shared" si="708"/>
        <v>100%</v>
      </c>
      <c r="AC390" s="456" t="str">
        <f t="shared" si="8"/>
        <v>2</v>
      </c>
      <c r="AD390" s="458" t="str">
        <f t="shared" si="677"/>
        <v>0</v>
      </c>
      <c r="AE390" s="458" t="str">
        <f t="shared" si="10"/>
        <v>1</v>
      </c>
      <c r="AF390" s="459" t="str">
        <f t="shared" si="705"/>
        <v>0</v>
      </c>
      <c r="AG390" s="460"/>
      <c r="AH390" s="14"/>
      <c r="AI390" s="14"/>
      <c r="AJ390" s="14"/>
      <c r="AK390" s="14"/>
      <c r="AL390" s="14"/>
      <c r="AM390" s="14"/>
      <c r="AN390" s="14"/>
      <c r="AO390" s="14"/>
      <c r="AP390" s="14"/>
      <c r="AQ390" s="14"/>
      <c r="AR390" s="14"/>
      <c r="AS390" s="14"/>
      <c r="AT390" s="14"/>
    </row>
    <row r="391">
      <c r="A391" s="442"/>
      <c r="B391" s="560">
        <v>2.0</v>
      </c>
      <c r="C391" s="561" t="s">
        <v>961</v>
      </c>
      <c r="D391" s="562" t="s">
        <v>21</v>
      </c>
      <c r="E391" s="563" t="s">
        <v>36</v>
      </c>
      <c r="F391" s="562" t="s">
        <v>75</v>
      </c>
      <c r="G391" s="564">
        <v>2.0</v>
      </c>
      <c r="H391" s="564">
        <v>0.0</v>
      </c>
      <c r="I391" s="565">
        <v>1.0</v>
      </c>
      <c r="J391" s="565">
        <v>1.0</v>
      </c>
      <c r="K391" s="563" t="s">
        <v>188</v>
      </c>
      <c r="L391" s="563"/>
      <c r="M391" s="563">
        <v>3.0</v>
      </c>
      <c r="N391" s="563">
        <v>2.0</v>
      </c>
      <c r="O391" s="566" t="s">
        <v>962</v>
      </c>
      <c r="P391" s="14"/>
      <c r="Q391" s="452" t="str">
        <f>MATCH($D391,Reference!$J$5:$J$9,0)</f>
        <v>3</v>
      </c>
      <c r="R391" s="452" t="str">
        <f>MATCH($E391,Reference!$J$26:$J$32,0)</f>
        <v>7</v>
      </c>
      <c r="S391" s="452" t="str">
        <f>MATCH($F391,Reference!$J$45:$J$54,0)</f>
        <v>9</v>
      </c>
      <c r="T391" s="453" t="str">
        <f>MATCH($K391,Reference!$J$37:$J$39,0)</f>
        <v>3</v>
      </c>
      <c r="U391" s="454" t="str">
        <f t="shared" si="674"/>
        <v>2</v>
      </c>
      <c r="V391" s="454" t="str">
        <f t="shared" si="3"/>
        <v>1</v>
      </c>
      <c r="W391" s="454" t="str">
        <f t="shared" ref="W391:W397" si="710">(MIN(G391,2)+H391-U391)*100</f>
        <v>0</v>
      </c>
      <c r="X391" s="454" t="str">
        <f t="shared" si="675"/>
        <v>2</v>
      </c>
      <c r="Y391" s="456" t="str">
        <f t="shared" si="5"/>
        <v>FALSE</v>
      </c>
      <c r="Z391" s="456" t="str">
        <f t="shared" si="6"/>
        <v>FALSE</v>
      </c>
      <c r="AA391" s="457" t="str">
        <f t="shared" ref="AA391:AB391" si="709">1-I391</f>
        <v>0%</v>
      </c>
      <c r="AB391" s="457" t="str">
        <f t="shared" si="709"/>
        <v>0%</v>
      </c>
      <c r="AC391" s="456" t="str">
        <f t="shared" si="8"/>
        <v>2</v>
      </c>
      <c r="AD391" s="458" t="str">
        <f t="shared" si="677"/>
        <v>0</v>
      </c>
      <c r="AE391" s="458" t="str">
        <f t="shared" si="10"/>
        <v>1</v>
      </c>
      <c r="AF391" s="459" t="str">
        <f t="shared" si="705"/>
        <v>0</v>
      </c>
      <c r="AG391" s="460"/>
      <c r="AH391" s="14"/>
      <c r="AI391" s="14"/>
      <c r="AJ391" s="14"/>
      <c r="AK391" s="14"/>
      <c r="AL391" s="14"/>
      <c r="AM391" s="14"/>
      <c r="AN391" s="14"/>
      <c r="AO391" s="14"/>
      <c r="AP391" s="14"/>
      <c r="AQ391" s="14"/>
      <c r="AR391" s="14"/>
      <c r="AS391" s="14"/>
      <c r="AT391" s="14"/>
    </row>
    <row r="392">
      <c r="A392" s="682"/>
      <c r="B392" s="547">
        <v>3.0</v>
      </c>
      <c r="C392" s="548" t="s">
        <v>963</v>
      </c>
      <c r="D392" s="549" t="s">
        <v>21</v>
      </c>
      <c r="E392" s="549" t="s">
        <v>33</v>
      </c>
      <c r="F392" s="550" t="s">
        <v>75</v>
      </c>
      <c r="G392" s="551">
        <v>2.0</v>
      </c>
      <c r="H392" s="551">
        <v>0.0</v>
      </c>
      <c r="I392" s="553">
        <v>1.0</v>
      </c>
      <c r="J392" s="553">
        <v>1.0</v>
      </c>
      <c r="K392" s="554" t="s">
        <v>188</v>
      </c>
      <c r="L392" s="554"/>
      <c r="M392" s="554">
        <v>2.0</v>
      </c>
      <c r="N392" s="554">
        <v>4.0</v>
      </c>
      <c r="O392" s="555" t="s">
        <v>964</v>
      </c>
      <c r="P392" s="14"/>
      <c r="Q392" s="452" t="str">
        <f>MATCH($D392,Reference!$J$5:$J$9,0)</f>
        <v>3</v>
      </c>
      <c r="R392" s="452" t="str">
        <f>MATCH($E392,Reference!$J$26:$J$32,0)</f>
        <v>2</v>
      </c>
      <c r="S392" s="452" t="str">
        <f>MATCH($F392,Reference!$J$45:$J$54,0)</f>
        <v>9</v>
      </c>
      <c r="T392" s="453" t="str">
        <f>MATCH($K392,Reference!$J$37:$J$39,0)</f>
        <v>3</v>
      </c>
      <c r="U392" s="454" t="str">
        <f t="shared" si="674"/>
        <v>2</v>
      </c>
      <c r="V392" s="454" t="str">
        <f t="shared" si="3"/>
        <v>1</v>
      </c>
      <c r="W392" s="454" t="str">
        <f t="shared" si="710"/>
        <v>0</v>
      </c>
      <c r="X392" s="454" t="str">
        <f t="shared" si="675"/>
        <v>2</v>
      </c>
      <c r="Y392" s="456" t="str">
        <f t="shared" si="5"/>
        <v>FALSE</v>
      </c>
      <c r="Z392" s="456" t="str">
        <f t="shared" si="6"/>
        <v>FALSE</v>
      </c>
      <c r="AA392" s="457" t="str">
        <f t="shared" ref="AA392:AB392" si="711">1-I392</f>
        <v>0%</v>
      </c>
      <c r="AB392" s="457" t="str">
        <f t="shared" si="711"/>
        <v>0%</v>
      </c>
      <c r="AC392" s="456" t="str">
        <f t="shared" si="8"/>
        <v>2</v>
      </c>
      <c r="AD392" s="458" t="str">
        <f t="shared" si="677"/>
        <v>0</v>
      </c>
      <c r="AE392" s="458" t="str">
        <f t="shared" si="10"/>
        <v>1</v>
      </c>
      <c r="AF392" s="459" t="str">
        <f t="shared" si="705"/>
        <v>0</v>
      </c>
      <c r="AG392" s="460"/>
      <c r="AH392" s="14"/>
      <c r="AI392" s="14"/>
      <c r="AJ392" s="14"/>
      <c r="AK392" s="14"/>
      <c r="AL392" s="14"/>
      <c r="AM392" s="14"/>
      <c r="AN392" s="14"/>
      <c r="AO392" s="14"/>
      <c r="AP392" s="14"/>
      <c r="AQ392" s="14"/>
      <c r="AR392" s="14"/>
      <c r="AS392" s="14"/>
      <c r="AT392" s="14"/>
    </row>
    <row r="393">
      <c r="A393" s="682"/>
      <c r="B393" s="560">
        <v>3.0</v>
      </c>
      <c r="C393" s="561" t="s">
        <v>965</v>
      </c>
      <c r="D393" s="562" t="s">
        <v>21</v>
      </c>
      <c r="E393" s="563" t="s">
        <v>36</v>
      </c>
      <c r="F393" s="562" t="s">
        <v>75</v>
      </c>
      <c r="G393" s="564">
        <v>2.0</v>
      </c>
      <c r="H393" s="564">
        <v>0.0</v>
      </c>
      <c r="I393" s="565">
        <v>1.0</v>
      </c>
      <c r="J393" s="565">
        <v>1.0</v>
      </c>
      <c r="K393" s="563" t="s">
        <v>304</v>
      </c>
      <c r="L393" s="563"/>
      <c r="M393" s="563">
        <v>3.0</v>
      </c>
      <c r="N393" s="563">
        <v>2.0</v>
      </c>
      <c r="O393" s="566" t="s">
        <v>966</v>
      </c>
      <c r="P393" s="14"/>
      <c r="Q393" s="452" t="str">
        <f>MATCH($D393,Reference!$J$5:$J$9,0)</f>
        <v>3</v>
      </c>
      <c r="R393" s="452" t="str">
        <f>MATCH($E393,Reference!$J$26:$J$32,0)</f>
        <v>7</v>
      </c>
      <c r="S393" s="452" t="str">
        <f>MATCH($F393,Reference!$J$45:$J$54,0)</f>
        <v>9</v>
      </c>
      <c r="T393" s="453" t="str">
        <f>MATCH($K393,Reference!$J$37:$J$39,0)</f>
        <v>1</v>
      </c>
      <c r="U393" s="454" t="str">
        <f t="shared" si="674"/>
        <v>2</v>
      </c>
      <c r="V393" s="454" t="str">
        <f t="shared" si="3"/>
        <v>1</v>
      </c>
      <c r="W393" s="454" t="str">
        <f t="shared" si="710"/>
        <v>0</v>
      </c>
      <c r="X393" s="454" t="str">
        <f t="shared" si="675"/>
        <v>2</v>
      </c>
      <c r="Y393" s="456" t="str">
        <f t="shared" si="5"/>
        <v>FALSE</v>
      </c>
      <c r="Z393" s="456" t="str">
        <f t="shared" si="6"/>
        <v>FALSE</v>
      </c>
      <c r="AA393" s="457" t="str">
        <f t="shared" ref="AA393:AB393" si="712">1-I393</f>
        <v>0%</v>
      </c>
      <c r="AB393" s="457" t="str">
        <f t="shared" si="712"/>
        <v>0%</v>
      </c>
      <c r="AC393" s="456" t="str">
        <f t="shared" si="8"/>
        <v>2</v>
      </c>
      <c r="AD393" s="458" t="str">
        <f t="shared" si="677"/>
        <v>0</v>
      </c>
      <c r="AE393" s="458" t="str">
        <f t="shared" si="10"/>
        <v>1</v>
      </c>
      <c r="AF393" s="459" t="str">
        <f t="shared" si="705"/>
        <v>0</v>
      </c>
      <c r="AG393" s="460"/>
      <c r="AH393" s="14"/>
      <c r="AI393" s="14"/>
      <c r="AJ393" s="14"/>
      <c r="AK393" s="14"/>
      <c r="AL393" s="14"/>
      <c r="AM393" s="14"/>
      <c r="AN393" s="14"/>
      <c r="AO393" s="14"/>
      <c r="AP393" s="14"/>
      <c r="AQ393" s="14"/>
      <c r="AR393" s="14"/>
      <c r="AS393" s="14"/>
      <c r="AT393" s="14"/>
    </row>
    <row r="394">
      <c r="A394" s="463"/>
      <c r="B394" s="547">
        <v>4.0</v>
      </c>
      <c r="C394" s="548" t="s">
        <v>967</v>
      </c>
      <c r="D394" s="549" t="s">
        <v>21</v>
      </c>
      <c r="E394" s="549" t="s">
        <v>33</v>
      </c>
      <c r="F394" s="550" t="s">
        <v>75</v>
      </c>
      <c r="G394" s="551">
        <v>2.0</v>
      </c>
      <c r="H394" s="551">
        <v>0.0</v>
      </c>
      <c r="I394" s="553">
        <v>1.0</v>
      </c>
      <c r="J394" s="553">
        <v>1.0</v>
      </c>
      <c r="K394" s="549" t="s">
        <v>162</v>
      </c>
      <c r="L394" s="549"/>
      <c r="M394" s="550"/>
      <c r="N394" s="551"/>
      <c r="O394" s="555" t="s">
        <v>968</v>
      </c>
      <c r="P394" s="14"/>
      <c r="Q394" s="452" t="str">
        <f>MATCH($D394,Reference!$J$5:$J$9,0)</f>
        <v>3</v>
      </c>
      <c r="R394" s="452" t="str">
        <f>MATCH($E394,Reference!$J$26:$J$32,0)</f>
        <v>2</v>
      </c>
      <c r="S394" s="452" t="str">
        <f>MATCH($F394,Reference!$J$45:$J$54,0)</f>
        <v>9</v>
      </c>
      <c r="T394" s="453" t="str">
        <f>MATCH($K394,Reference!$J$37:$J$39,0)</f>
        <v>2</v>
      </c>
      <c r="U394" s="454" t="str">
        <f t="shared" si="674"/>
        <v>2</v>
      </c>
      <c r="V394" s="454" t="str">
        <f t="shared" si="3"/>
        <v>1</v>
      </c>
      <c r="W394" s="454" t="str">
        <f t="shared" si="710"/>
        <v>0</v>
      </c>
      <c r="X394" s="454" t="str">
        <f t="shared" si="675"/>
        <v>2</v>
      </c>
      <c r="Y394" s="456" t="str">
        <f t="shared" si="5"/>
        <v>FALSE</v>
      </c>
      <c r="Z394" s="456" t="str">
        <f t="shared" si="6"/>
        <v>FALSE</v>
      </c>
      <c r="AA394" s="457" t="str">
        <f t="shared" ref="AA394:AB394" si="713">1-I394</f>
        <v>0%</v>
      </c>
      <c r="AB394" s="457" t="str">
        <f t="shared" si="713"/>
        <v>0%</v>
      </c>
      <c r="AC394" s="456" t="str">
        <f t="shared" si="8"/>
        <v>2</v>
      </c>
      <c r="AD394" s="458" t="str">
        <f t="shared" si="677"/>
        <v>0</v>
      </c>
      <c r="AE394" s="458" t="str">
        <f t="shared" si="10"/>
        <v>1</v>
      </c>
      <c r="AF394" s="459" t="str">
        <f t="shared" si="705"/>
        <v>0</v>
      </c>
      <c r="AG394" s="460"/>
      <c r="AH394" s="14"/>
      <c r="AI394" s="14"/>
      <c r="AJ394" s="14"/>
      <c r="AK394" s="14"/>
      <c r="AL394" s="14"/>
      <c r="AM394" s="14"/>
      <c r="AN394" s="14"/>
      <c r="AO394" s="14"/>
      <c r="AP394" s="14"/>
      <c r="AQ394" s="14"/>
      <c r="AR394" s="14"/>
      <c r="AS394" s="14"/>
      <c r="AT394" s="14"/>
    </row>
    <row r="395">
      <c r="A395" s="442"/>
      <c r="B395" s="594">
        <v>4.0</v>
      </c>
      <c r="C395" s="595" t="s">
        <v>969</v>
      </c>
      <c r="D395" s="575" t="s">
        <v>21</v>
      </c>
      <c r="E395" s="575" t="s">
        <v>35</v>
      </c>
      <c r="F395" s="576" t="s">
        <v>75</v>
      </c>
      <c r="G395" s="597">
        <v>2.0</v>
      </c>
      <c r="H395" s="597">
        <v>0.0</v>
      </c>
      <c r="I395" s="598">
        <v>1.0</v>
      </c>
      <c r="J395" s="598">
        <v>1.0</v>
      </c>
      <c r="K395" s="600" t="s">
        <v>188</v>
      </c>
      <c r="L395" s="600" t="s">
        <v>198</v>
      </c>
      <c r="M395" s="600">
        <v>2.0</v>
      </c>
      <c r="N395" s="600">
        <v>5.0</v>
      </c>
      <c r="O395" s="599" t="s">
        <v>970</v>
      </c>
      <c r="P395" s="14"/>
      <c r="Q395" s="452" t="str">
        <f>MATCH($D395,Reference!$J$5:$J$9,0)</f>
        <v>3</v>
      </c>
      <c r="R395" s="452" t="str">
        <f>MATCH($E395,Reference!$J$26:$J$32,0)</f>
        <v>5</v>
      </c>
      <c r="S395" s="452" t="str">
        <f>MATCH($F395,Reference!$J$45:$J$54,0)</f>
        <v>9</v>
      </c>
      <c r="T395" s="453" t="str">
        <f>MATCH($K395,Reference!$J$37:$J$39,0)</f>
        <v>3</v>
      </c>
      <c r="U395" s="454" t="str">
        <f t="shared" si="674"/>
        <v>2</v>
      </c>
      <c r="V395" s="454" t="str">
        <f t="shared" si="3"/>
        <v>1</v>
      </c>
      <c r="W395" s="454" t="str">
        <f t="shared" si="710"/>
        <v>0</v>
      </c>
      <c r="X395" s="454" t="str">
        <f t="shared" si="675"/>
        <v>2</v>
      </c>
      <c r="Y395" s="456" t="str">
        <f t="shared" si="5"/>
        <v>FALSE</v>
      </c>
      <c r="Z395" s="456" t="str">
        <f t="shared" si="6"/>
        <v>FALSE</v>
      </c>
      <c r="AA395" s="457" t="str">
        <f t="shared" ref="AA395:AB395" si="714">1-I395</f>
        <v>0%</v>
      </c>
      <c r="AB395" s="457" t="str">
        <f t="shared" si="714"/>
        <v>0%</v>
      </c>
      <c r="AC395" s="456" t="str">
        <f t="shared" si="8"/>
        <v>2</v>
      </c>
      <c r="AD395" s="458" t="str">
        <f t="shared" si="677"/>
        <v>0</v>
      </c>
      <c r="AE395" s="458" t="str">
        <f t="shared" si="10"/>
        <v>1</v>
      </c>
      <c r="AF395" s="459" t="str">
        <f t="shared" si="705"/>
        <v>0</v>
      </c>
      <c r="AG395" s="460"/>
      <c r="AH395" s="14"/>
      <c r="AI395" s="14"/>
      <c r="AJ395" s="14"/>
      <c r="AK395" s="14"/>
      <c r="AL395" s="14"/>
      <c r="AM395" s="14"/>
      <c r="AN395" s="14"/>
      <c r="AO395" s="14"/>
      <c r="AP395" s="14"/>
      <c r="AQ395" s="14"/>
      <c r="AR395" s="14"/>
      <c r="AS395" s="14"/>
      <c r="AT395" s="14"/>
    </row>
    <row r="396">
      <c r="A396" s="463"/>
      <c r="B396" s="594">
        <v>5.0</v>
      </c>
      <c r="C396" s="595" t="s">
        <v>971</v>
      </c>
      <c r="D396" s="575" t="s">
        <v>21</v>
      </c>
      <c r="E396" s="575" t="s">
        <v>35</v>
      </c>
      <c r="F396" s="576" t="s">
        <v>75</v>
      </c>
      <c r="G396" s="597">
        <v>2.0</v>
      </c>
      <c r="H396" s="596">
        <v>0.0</v>
      </c>
      <c r="I396" s="598">
        <v>1.0</v>
      </c>
      <c r="J396" s="598">
        <v>1.0</v>
      </c>
      <c r="K396" s="600" t="s">
        <v>188</v>
      </c>
      <c r="L396" s="600" t="s">
        <v>198</v>
      </c>
      <c r="M396" s="600">
        <v>5.0</v>
      </c>
      <c r="N396" s="600">
        <v>5.0</v>
      </c>
      <c r="O396" s="599" t="s">
        <v>972</v>
      </c>
      <c r="P396" s="14"/>
      <c r="Q396" s="452" t="str">
        <f>MATCH($D396,Reference!$J$5:$J$9,0)</f>
        <v>3</v>
      </c>
      <c r="R396" s="452" t="str">
        <f>MATCH($E396,Reference!$J$26:$J$32,0)</f>
        <v>5</v>
      </c>
      <c r="S396" s="452" t="str">
        <f>MATCH($F396,Reference!$J$45:$J$54,0)</f>
        <v>9</v>
      </c>
      <c r="T396" s="453" t="str">
        <f>MATCH($K396,Reference!$J$37:$J$39,0)</f>
        <v>3</v>
      </c>
      <c r="U396" s="454" t="str">
        <f t="shared" si="674"/>
        <v>2</v>
      </c>
      <c r="V396" s="454" t="str">
        <f t="shared" si="3"/>
        <v>1</v>
      </c>
      <c r="W396" s="454" t="str">
        <f t="shared" si="710"/>
        <v>0</v>
      </c>
      <c r="X396" s="454" t="str">
        <f t="shared" si="675"/>
        <v>2</v>
      </c>
      <c r="Y396" s="456" t="str">
        <f t="shared" si="5"/>
        <v>FALSE</v>
      </c>
      <c r="Z396" s="456" t="str">
        <f t="shared" si="6"/>
        <v>FALSE</v>
      </c>
      <c r="AA396" s="457" t="str">
        <f t="shared" ref="AA396:AB396" si="715">1-I396</f>
        <v>0%</v>
      </c>
      <c r="AB396" s="457" t="str">
        <f t="shared" si="715"/>
        <v>0%</v>
      </c>
      <c r="AC396" s="456" t="str">
        <f t="shared" si="8"/>
        <v>2</v>
      </c>
      <c r="AD396" s="458" t="str">
        <f t="shared" si="677"/>
        <v>0</v>
      </c>
      <c r="AE396" s="458" t="str">
        <f t="shared" si="10"/>
        <v>1</v>
      </c>
      <c r="AF396" s="459" t="str">
        <f t="shared" si="705"/>
        <v>0</v>
      </c>
      <c r="AG396" s="460"/>
      <c r="AH396" s="14"/>
      <c r="AI396" s="14"/>
      <c r="AJ396" s="14"/>
      <c r="AK396" s="14"/>
      <c r="AL396" s="14"/>
      <c r="AM396" s="14"/>
      <c r="AN396" s="14"/>
      <c r="AO396" s="14"/>
      <c r="AP396" s="14"/>
      <c r="AQ396" s="14"/>
      <c r="AR396" s="14"/>
      <c r="AS396" s="14"/>
      <c r="AT396" s="14"/>
    </row>
    <row r="397">
      <c r="A397" s="442"/>
      <c r="B397" s="594">
        <v>6.0</v>
      </c>
      <c r="C397" s="595" t="s">
        <v>973</v>
      </c>
      <c r="D397" s="575" t="s">
        <v>21</v>
      </c>
      <c r="E397" s="575" t="s">
        <v>35</v>
      </c>
      <c r="F397" s="576" t="s">
        <v>75</v>
      </c>
      <c r="G397" s="597">
        <v>2.0</v>
      </c>
      <c r="H397" s="596">
        <v>0.0</v>
      </c>
      <c r="I397" s="598">
        <v>1.0</v>
      </c>
      <c r="J397" s="598">
        <v>1.0</v>
      </c>
      <c r="K397" s="600" t="s">
        <v>188</v>
      </c>
      <c r="L397" s="600"/>
      <c r="M397" s="600">
        <v>5.0</v>
      </c>
      <c r="N397" s="600">
        <v>5.0</v>
      </c>
      <c r="O397" s="599" t="s">
        <v>974</v>
      </c>
      <c r="P397" s="14"/>
      <c r="Q397" s="452" t="str">
        <f>MATCH($D397,Reference!$J$5:$J$9,0)</f>
        <v>3</v>
      </c>
      <c r="R397" s="452" t="str">
        <f>MATCH($E397,Reference!$J$26:$J$32,0)</f>
        <v>5</v>
      </c>
      <c r="S397" s="452" t="str">
        <f>MATCH($F397,Reference!$J$45:$J$54,0)</f>
        <v>9</v>
      </c>
      <c r="T397" s="453" t="str">
        <f>MATCH($K397,Reference!$J$37:$J$39,0)</f>
        <v>3</v>
      </c>
      <c r="U397" s="454" t="str">
        <f t="shared" si="674"/>
        <v>2</v>
      </c>
      <c r="V397" s="454" t="str">
        <f t="shared" si="3"/>
        <v>1</v>
      </c>
      <c r="W397" s="454" t="str">
        <f t="shared" si="710"/>
        <v>0</v>
      </c>
      <c r="X397" s="454" t="str">
        <f t="shared" si="675"/>
        <v>2</v>
      </c>
      <c r="Y397" s="456" t="str">
        <f t="shared" si="5"/>
        <v>FALSE</v>
      </c>
      <c r="Z397" s="456" t="str">
        <f t="shared" si="6"/>
        <v>FALSE</v>
      </c>
      <c r="AA397" s="457" t="str">
        <f t="shared" ref="AA397:AB397" si="716">1-I397</f>
        <v>0%</v>
      </c>
      <c r="AB397" s="457" t="str">
        <f t="shared" si="716"/>
        <v>0%</v>
      </c>
      <c r="AC397" s="456" t="str">
        <f t="shared" si="8"/>
        <v>2</v>
      </c>
      <c r="AD397" s="458" t="str">
        <f t="shared" si="677"/>
        <v>0</v>
      </c>
      <c r="AE397" s="458" t="str">
        <f t="shared" si="10"/>
        <v>1</v>
      </c>
      <c r="AF397" s="459" t="str">
        <f t="shared" si="705"/>
        <v>0</v>
      </c>
      <c r="AG397" s="460"/>
      <c r="AH397" s="14"/>
      <c r="AI397" s="14"/>
      <c r="AJ397" s="14"/>
      <c r="AK397" s="14"/>
      <c r="AL397" s="14"/>
      <c r="AM397" s="14"/>
      <c r="AN397" s="14"/>
      <c r="AO397" s="14"/>
      <c r="AP397" s="14"/>
      <c r="AQ397" s="14"/>
      <c r="AR397" s="14"/>
      <c r="AS397" s="14"/>
      <c r="AT397" s="14"/>
    </row>
    <row r="398">
      <c r="A398" s="682"/>
      <c r="B398" s="634">
        <v>1.0</v>
      </c>
      <c r="C398" s="635" t="s">
        <v>975</v>
      </c>
      <c r="D398" s="636" t="s">
        <v>22</v>
      </c>
      <c r="E398" s="636" t="s">
        <v>33</v>
      </c>
      <c r="F398" s="637" t="s">
        <v>75</v>
      </c>
      <c r="G398" s="638">
        <v>2.0</v>
      </c>
      <c r="H398" s="638">
        <v>0.0</v>
      </c>
      <c r="I398" s="640">
        <v>1.0</v>
      </c>
      <c r="J398" s="640">
        <v>1.0</v>
      </c>
      <c r="K398" s="641" t="s">
        <v>162</v>
      </c>
      <c r="L398" s="641"/>
      <c r="M398" s="641"/>
      <c r="N398" s="641"/>
      <c r="O398" s="642" t="s">
        <v>976</v>
      </c>
      <c r="P398" s="14"/>
      <c r="Q398" s="452" t="str">
        <f>MATCH($D398,Reference!$J$5:$J$9,0)</f>
        <v>4</v>
      </c>
      <c r="R398" s="452" t="str">
        <f>MATCH($E398,Reference!$J$26:$J$32,0)</f>
        <v>2</v>
      </c>
      <c r="S398" s="452" t="str">
        <f>MATCH($F398,Reference!$J$45:$J$54,0)</f>
        <v>9</v>
      </c>
      <c r="T398" s="453" t="str">
        <f>MATCH($K398,Reference!$J$37:$J$39,0)</f>
        <v>2</v>
      </c>
      <c r="U398" s="454" t="str">
        <f t="shared" si="674"/>
        <v>2</v>
      </c>
      <c r="V398" s="454" t="str">
        <f t="shared" si="3"/>
        <v>1</v>
      </c>
      <c r="W398" s="454" t="str">
        <f t="shared" ref="W398:W404" si="718">(MIN(G398,2)+H398-U398)*400</f>
        <v>0</v>
      </c>
      <c r="X398" s="454" t="str">
        <f t="shared" si="675"/>
        <v>2</v>
      </c>
      <c r="Y398" s="456" t="str">
        <f t="shared" si="5"/>
        <v>FALSE</v>
      </c>
      <c r="Z398" s="456" t="str">
        <f t="shared" si="6"/>
        <v>FALSE</v>
      </c>
      <c r="AA398" s="457" t="str">
        <f t="shared" ref="AA398:AB398" si="717">1-I398</f>
        <v>0%</v>
      </c>
      <c r="AB398" s="457" t="str">
        <f t="shared" si="717"/>
        <v>0%</v>
      </c>
      <c r="AC398" s="456" t="str">
        <f t="shared" si="8"/>
        <v>2</v>
      </c>
      <c r="AD398" s="458" t="str">
        <f t="shared" si="677"/>
        <v>0</v>
      </c>
      <c r="AE398" s="458" t="str">
        <f t="shared" si="10"/>
        <v>1</v>
      </c>
      <c r="AF398" s="459" t="str">
        <f t="shared" ref="AF398:AF404" si="720">(MIN(H398,2)+G398-U398)*100</f>
        <v>0</v>
      </c>
      <c r="AG398" s="460"/>
      <c r="AH398" s="14"/>
      <c r="AI398" s="14"/>
      <c r="AJ398" s="14"/>
      <c r="AK398" s="14"/>
      <c r="AL398" s="14"/>
      <c r="AM398" s="14"/>
      <c r="AN398" s="14"/>
      <c r="AO398" s="14"/>
      <c r="AP398" s="14"/>
      <c r="AQ398" s="14"/>
      <c r="AR398" s="14"/>
      <c r="AS398" s="14"/>
      <c r="AT398" s="14"/>
    </row>
    <row r="399">
      <c r="A399" s="509"/>
      <c r="B399" s="625">
        <v>3.0</v>
      </c>
      <c r="C399" s="646" t="s">
        <v>977</v>
      </c>
      <c r="D399" s="627" t="s">
        <v>22</v>
      </c>
      <c r="E399" s="627" t="s">
        <v>35</v>
      </c>
      <c r="F399" s="628" t="s">
        <v>75</v>
      </c>
      <c r="G399" s="629">
        <v>2.0</v>
      </c>
      <c r="H399" s="629">
        <v>0.0</v>
      </c>
      <c r="I399" s="631">
        <v>1.0</v>
      </c>
      <c r="J399" s="631">
        <v>1.0</v>
      </c>
      <c r="K399" s="632" t="s">
        <v>162</v>
      </c>
      <c r="L399" s="632"/>
      <c r="M399" s="632"/>
      <c r="N399" s="632"/>
      <c r="O399" s="633" t="s">
        <v>978</v>
      </c>
      <c r="P399" s="14"/>
      <c r="Q399" s="452" t="str">
        <f>MATCH($D399,Reference!$J$5:$J$9,0)</f>
        <v>4</v>
      </c>
      <c r="R399" s="452" t="str">
        <f>MATCH($E399,Reference!$J$26:$J$32,0)</f>
        <v>5</v>
      </c>
      <c r="S399" s="452" t="str">
        <f>MATCH($F399,Reference!$J$45:$J$54,0)</f>
        <v>9</v>
      </c>
      <c r="T399" s="453" t="str">
        <f>MATCH($K399,Reference!$J$37:$J$39,0)</f>
        <v>2</v>
      </c>
      <c r="U399" s="454" t="str">
        <f t="shared" si="674"/>
        <v>2</v>
      </c>
      <c r="V399" s="454" t="str">
        <f t="shared" si="3"/>
        <v>1</v>
      </c>
      <c r="W399" s="454" t="str">
        <f t="shared" si="718"/>
        <v>0</v>
      </c>
      <c r="X399" s="454" t="str">
        <f t="shared" si="675"/>
        <v>2</v>
      </c>
      <c r="Y399" s="456" t="str">
        <f t="shared" si="5"/>
        <v>FALSE</v>
      </c>
      <c r="Z399" s="456" t="str">
        <f t="shared" si="6"/>
        <v>FALSE</v>
      </c>
      <c r="AA399" s="457" t="str">
        <f t="shared" ref="AA399:AB399" si="719">1-I399</f>
        <v>0%</v>
      </c>
      <c r="AB399" s="457" t="str">
        <f t="shared" si="719"/>
        <v>0%</v>
      </c>
      <c r="AC399" s="456" t="str">
        <f t="shared" si="8"/>
        <v>2</v>
      </c>
      <c r="AD399" s="458" t="str">
        <f t="shared" si="677"/>
        <v>0</v>
      </c>
      <c r="AE399" s="458" t="str">
        <f t="shared" si="10"/>
        <v>1</v>
      </c>
      <c r="AF399" s="459" t="str">
        <f t="shared" si="720"/>
        <v>0</v>
      </c>
      <c r="AG399" s="460"/>
      <c r="AH399" s="14"/>
      <c r="AI399" s="14"/>
      <c r="AJ399" s="14"/>
      <c r="AK399" s="14"/>
      <c r="AL399" s="14"/>
      <c r="AM399" s="14"/>
      <c r="AN399" s="14"/>
      <c r="AO399" s="14"/>
      <c r="AP399" s="14"/>
      <c r="AQ399" s="14"/>
      <c r="AR399" s="14"/>
      <c r="AS399" s="14"/>
      <c r="AT399" s="14"/>
    </row>
    <row r="400">
      <c r="A400" s="442"/>
      <c r="B400" s="618">
        <v>4.0</v>
      </c>
      <c r="C400" s="619" t="s">
        <v>979</v>
      </c>
      <c r="D400" s="620" t="s">
        <v>22</v>
      </c>
      <c r="E400" s="621" t="s">
        <v>36</v>
      </c>
      <c r="F400" s="620" t="s">
        <v>75</v>
      </c>
      <c r="G400" s="622">
        <v>0.0</v>
      </c>
      <c r="H400" s="622">
        <v>0.0</v>
      </c>
      <c r="I400" s="623">
        <v>1.0</v>
      </c>
      <c r="J400" s="623">
        <v>1.0</v>
      </c>
      <c r="K400" s="620" t="s">
        <v>188</v>
      </c>
      <c r="L400" s="621"/>
      <c r="M400" s="620">
        <v>5.0</v>
      </c>
      <c r="N400" s="622">
        <v>3.0</v>
      </c>
      <c r="O400" s="624" t="s">
        <v>980</v>
      </c>
      <c r="P400" s="14"/>
      <c r="Q400" s="452" t="str">
        <f>MATCH($D400,Reference!$J$5:$J$9,0)</f>
        <v>4</v>
      </c>
      <c r="R400" s="452" t="str">
        <f>MATCH($E400,Reference!$J$26:$J$32,0)</f>
        <v>7</v>
      </c>
      <c r="S400" s="452" t="str">
        <f>MATCH($F400,Reference!$J$45:$J$54,0)</f>
        <v>9</v>
      </c>
      <c r="T400" s="453" t="str">
        <f>MATCH($K400,Reference!$J$37:$J$39,0)</f>
        <v>3</v>
      </c>
      <c r="U400" s="454" t="str">
        <f t="shared" si="674"/>
        <v>0</v>
      </c>
      <c r="V400" s="454" t="str">
        <f t="shared" si="3"/>
        <v>0</v>
      </c>
      <c r="W400" s="454" t="str">
        <f t="shared" si="718"/>
        <v>0</v>
      </c>
      <c r="X400" s="454" t="str">
        <f t="shared" si="675"/>
        <v>0</v>
      </c>
      <c r="Y400" s="456" t="str">
        <f t="shared" si="5"/>
        <v>TRUE</v>
      </c>
      <c r="Z400" s="456" t="str">
        <f t="shared" si="6"/>
        <v>FALSE</v>
      </c>
      <c r="AA400" s="457" t="str">
        <f t="shared" ref="AA400:AB400" si="721">1-I400</f>
        <v>0%</v>
      </c>
      <c r="AB400" s="457" t="str">
        <f t="shared" si="721"/>
        <v>0%</v>
      </c>
      <c r="AC400" s="456" t="str">
        <f t="shared" si="8"/>
        <v>0</v>
      </c>
      <c r="AD400" s="458" t="str">
        <f t="shared" si="677"/>
        <v>0</v>
      </c>
      <c r="AE400" s="458" t="str">
        <f t="shared" si="10"/>
        <v>0</v>
      </c>
      <c r="AF400" s="459" t="str">
        <f t="shared" si="720"/>
        <v>0</v>
      </c>
      <c r="AG400" s="460"/>
      <c r="AH400" s="14"/>
      <c r="AI400" s="14"/>
      <c r="AJ400" s="14"/>
      <c r="AK400" s="14"/>
      <c r="AL400" s="14"/>
      <c r="AM400" s="14"/>
      <c r="AN400" s="14"/>
      <c r="AO400" s="14"/>
      <c r="AP400" s="14"/>
      <c r="AQ400" s="14"/>
      <c r="AR400" s="14"/>
      <c r="AS400" s="14"/>
      <c r="AT400" s="14"/>
    </row>
    <row r="401">
      <c r="A401" s="442"/>
      <c r="B401" s="634">
        <v>5.0</v>
      </c>
      <c r="C401" s="635" t="s">
        <v>981</v>
      </c>
      <c r="D401" s="636" t="s">
        <v>22</v>
      </c>
      <c r="E401" s="636" t="s">
        <v>33</v>
      </c>
      <c r="F401" s="637" t="s">
        <v>75</v>
      </c>
      <c r="G401" s="638">
        <v>2.0</v>
      </c>
      <c r="H401" s="639">
        <v>0.0</v>
      </c>
      <c r="I401" s="640">
        <v>1.0</v>
      </c>
      <c r="J401" s="640">
        <v>1.0</v>
      </c>
      <c r="K401" s="641" t="s">
        <v>162</v>
      </c>
      <c r="L401" s="641"/>
      <c r="M401" s="641"/>
      <c r="N401" s="641"/>
      <c r="O401" s="642" t="s">
        <v>982</v>
      </c>
      <c r="P401" s="14"/>
      <c r="Q401" s="452" t="str">
        <f>MATCH($D401,Reference!$J$5:$J$9,0)</f>
        <v>4</v>
      </c>
      <c r="R401" s="452" t="str">
        <f>MATCH($E401,Reference!$J$26:$J$32,0)</f>
        <v>2</v>
      </c>
      <c r="S401" s="452" t="str">
        <f>MATCH($F401,Reference!$J$45:$J$54,0)</f>
        <v>9</v>
      </c>
      <c r="T401" s="453" t="str">
        <f>MATCH($K401,Reference!$J$37:$J$39,0)</f>
        <v>2</v>
      </c>
      <c r="U401" s="454" t="str">
        <f t="shared" si="674"/>
        <v>2</v>
      </c>
      <c r="V401" s="454" t="str">
        <f t="shared" si="3"/>
        <v>1</v>
      </c>
      <c r="W401" s="454" t="str">
        <f t="shared" si="718"/>
        <v>0</v>
      </c>
      <c r="X401" s="454" t="str">
        <f t="shared" si="675"/>
        <v>2</v>
      </c>
      <c r="Y401" s="456" t="str">
        <f t="shared" si="5"/>
        <v>FALSE</v>
      </c>
      <c r="Z401" s="456" t="str">
        <f t="shared" si="6"/>
        <v>FALSE</v>
      </c>
      <c r="AA401" s="457" t="str">
        <f t="shared" ref="AA401:AB401" si="722">1-I401</f>
        <v>0%</v>
      </c>
      <c r="AB401" s="457" t="str">
        <f t="shared" si="722"/>
        <v>0%</v>
      </c>
      <c r="AC401" s="456" t="str">
        <f t="shared" si="8"/>
        <v>2</v>
      </c>
      <c r="AD401" s="458" t="str">
        <f t="shared" si="677"/>
        <v>0</v>
      </c>
      <c r="AE401" s="458" t="str">
        <f t="shared" si="10"/>
        <v>1</v>
      </c>
      <c r="AF401" s="459" t="str">
        <f t="shared" si="720"/>
        <v>0</v>
      </c>
      <c r="AG401" s="460"/>
      <c r="AH401" s="14"/>
      <c r="AI401" s="14"/>
      <c r="AJ401" s="14"/>
      <c r="AK401" s="14"/>
      <c r="AL401" s="14"/>
      <c r="AM401" s="14"/>
      <c r="AN401" s="14"/>
      <c r="AO401" s="14"/>
      <c r="AP401" s="14"/>
      <c r="AQ401" s="14"/>
      <c r="AR401" s="14"/>
      <c r="AS401" s="14"/>
      <c r="AT401" s="14"/>
    </row>
    <row r="402">
      <c r="A402" s="509"/>
      <c r="B402" s="618">
        <v>6.0</v>
      </c>
      <c r="C402" s="624" t="s">
        <v>983</v>
      </c>
      <c r="D402" s="620" t="s">
        <v>22</v>
      </c>
      <c r="E402" s="621" t="s">
        <v>36</v>
      </c>
      <c r="F402" s="620" t="s">
        <v>75</v>
      </c>
      <c r="G402" s="622">
        <v>0.0</v>
      </c>
      <c r="H402" s="622">
        <v>0.0</v>
      </c>
      <c r="I402" s="623">
        <v>1.0</v>
      </c>
      <c r="J402" s="623">
        <v>1.0</v>
      </c>
      <c r="K402" s="621" t="s">
        <v>188</v>
      </c>
      <c r="L402" s="621"/>
      <c r="M402" s="621">
        <v>6.0</v>
      </c>
      <c r="N402" s="621">
        <v>7.0</v>
      </c>
      <c r="O402" s="624" t="s">
        <v>984</v>
      </c>
      <c r="P402" s="14"/>
      <c r="Q402" s="452" t="str">
        <f>MATCH($D402,Reference!$J$5:$J$9,0)</f>
        <v>4</v>
      </c>
      <c r="R402" s="452" t="str">
        <f>MATCH($E402,Reference!$J$26:$J$32,0)</f>
        <v>7</v>
      </c>
      <c r="S402" s="452" t="str">
        <f>MATCH($F402,Reference!$J$45:$J$54,0)</f>
        <v>9</v>
      </c>
      <c r="T402" s="453" t="str">
        <f>MATCH($K402,Reference!$J$37:$J$39,0)</f>
        <v>3</v>
      </c>
      <c r="U402" s="454" t="str">
        <f t="shared" si="674"/>
        <v>0</v>
      </c>
      <c r="V402" s="454" t="str">
        <f t="shared" si="3"/>
        <v>0</v>
      </c>
      <c r="W402" s="454" t="str">
        <f t="shared" si="718"/>
        <v>0</v>
      </c>
      <c r="X402" s="454" t="str">
        <f t="shared" si="675"/>
        <v>0</v>
      </c>
      <c r="Y402" s="456" t="str">
        <f t="shared" si="5"/>
        <v>TRUE</v>
      </c>
      <c r="Z402" s="456" t="str">
        <f t="shared" si="6"/>
        <v>FALSE</v>
      </c>
      <c r="AA402" s="457" t="str">
        <f t="shared" ref="AA402:AB402" si="723">1-I402</f>
        <v>0%</v>
      </c>
      <c r="AB402" s="457" t="str">
        <f t="shared" si="723"/>
        <v>0%</v>
      </c>
      <c r="AC402" s="456" t="str">
        <f t="shared" si="8"/>
        <v>0</v>
      </c>
      <c r="AD402" s="458" t="str">
        <f t="shared" si="677"/>
        <v>0</v>
      </c>
      <c r="AE402" s="458" t="str">
        <f t="shared" si="10"/>
        <v>0</v>
      </c>
      <c r="AF402" s="459" t="str">
        <f t="shared" si="720"/>
        <v>0</v>
      </c>
      <c r="AG402" s="460"/>
      <c r="AH402" s="14"/>
      <c r="AI402" s="14"/>
      <c r="AJ402" s="14"/>
      <c r="AK402" s="14"/>
      <c r="AL402" s="14"/>
      <c r="AM402" s="14"/>
      <c r="AN402" s="14"/>
      <c r="AO402" s="14"/>
      <c r="AP402" s="14"/>
      <c r="AQ402" s="14"/>
      <c r="AR402" s="14"/>
      <c r="AS402" s="14"/>
      <c r="AT402" s="14"/>
    </row>
    <row r="403">
      <c r="A403" s="442"/>
      <c r="B403" s="625">
        <v>7.0</v>
      </c>
      <c r="C403" s="646" t="s">
        <v>985</v>
      </c>
      <c r="D403" s="627" t="s">
        <v>22</v>
      </c>
      <c r="E403" s="627" t="s">
        <v>35</v>
      </c>
      <c r="F403" s="628" t="s">
        <v>75</v>
      </c>
      <c r="G403" s="629">
        <v>2.0</v>
      </c>
      <c r="H403" s="630">
        <v>0.0</v>
      </c>
      <c r="I403" s="631">
        <v>1.0</v>
      </c>
      <c r="J403" s="631">
        <v>1.0</v>
      </c>
      <c r="K403" s="632" t="s">
        <v>162</v>
      </c>
      <c r="L403" s="632"/>
      <c r="M403" s="632"/>
      <c r="N403" s="632"/>
      <c r="O403" s="633" t="s">
        <v>986</v>
      </c>
      <c r="P403" s="14"/>
      <c r="Q403" s="452" t="str">
        <f>MATCH($D403,Reference!$J$5:$J$9,0)</f>
        <v>4</v>
      </c>
      <c r="R403" s="452" t="str">
        <f>MATCH($E403,Reference!$J$26:$J$32,0)</f>
        <v>5</v>
      </c>
      <c r="S403" s="452" t="str">
        <f>MATCH($F403,Reference!$J$45:$J$54,0)</f>
        <v>9</v>
      </c>
      <c r="T403" s="453" t="str">
        <f>MATCH($K403,Reference!$J$37:$J$39,0)</f>
        <v>2</v>
      </c>
      <c r="U403" s="454" t="str">
        <f t="shared" si="674"/>
        <v>2</v>
      </c>
      <c r="V403" s="454" t="str">
        <f t="shared" si="3"/>
        <v>1</v>
      </c>
      <c r="W403" s="454" t="str">
        <f t="shared" si="718"/>
        <v>0</v>
      </c>
      <c r="X403" s="454" t="str">
        <f t="shared" si="675"/>
        <v>2</v>
      </c>
      <c r="Y403" s="456" t="str">
        <f t="shared" si="5"/>
        <v>FALSE</v>
      </c>
      <c r="Z403" s="456" t="str">
        <f t="shared" si="6"/>
        <v>FALSE</v>
      </c>
      <c r="AA403" s="457" t="str">
        <f t="shared" ref="AA403:AB403" si="724">1-I403</f>
        <v>0%</v>
      </c>
      <c r="AB403" s="457" t="str">
        <f t="shared" si="724"/>
        <v>0%</v>
      </c>
      <c r="AC403" s="456" t="str">
        <f t="shared" si="8"/>
        <v>2</v>
      </c>
      <c r="AD403" s="458" t="str">
        <f t="shared" si="677"/>
        <v>0</v>
      </c>
      <c r="AE403" s="458" t="str">
        <f t="shared" si="10"/>
        <v>1</v>
      </c>
      <c r="AF403" s="459" t="str">
        <f t="shared" si="720"/>
        <v>0</v>
      </c>
      <c r="AG403" s="460"/>
      <c r="AH403" s="14"/>
      <c r="AI403" s="14"/>
      <c r="AJ403" s="14"/>
      <c r="AK403" s="14"/>
      <c r="AL403" s="14"/>
      <c r="AM403" s="14"/>
      <c r="AN403" s="14"/>
      <c r="AO403" s="14"/>
      <c r="AP403" s="14"/>
      <c r="AQ403" s="14"/>
      <c r="AR403" s="14"/>
      <c r="AS403" s="14"/>
      <c r="AT403" s="14"/>
    </row>
    <row r="404">
      <c r="A404" s="466"/>
      <c r="B404" s="634">
        <v>7.0</v>
      </c>
      <c r="C404" s="635" t="s">
        <v>987</v>
      </c>
      <c r="D404" s="636" t="s">
        <v>22</v>
      </c>
      <c r="E404" s="636" t="s">
        <v>33</v>
      </c>
      <c r="F404" s="637" t="s">
        <v>75</v>
      </c>
      <c r="G404" s="639">
        <v>0.0</v>
      </c>
      <c r="H404" s="638">
        <v>0.0</v>
      </c>
      <c r="I404" s="640">
        <v>1.0</v>
      </c>
      <c r="J404" s="640">
        <v>1.0</v>
      </c>
      <c r="K404" s="641" t="s">
        <v>304</v>
      </c>
      <c r="L404" s="641"/>
      <c r="M404" s="641">
        <v>7.0</v>
      </c>
      <c r="N404" s="641">
        <v>1.0</v>
      </c>
      <c r="O404" s="642" t="s">
        <v>988</v>
      </c>
      <c r="P404" s="14"/>
      <c r="Q404" s="452" t="str">
        <f>MATCH($D404,Reference!$J$5:$J$9,0)</f>
        <v>4</v>
      </c>
      <c r="R404" s="452" t="str">
        <f>MATCH($E404,Reference!$J$26:$J$32,0)</f>
        <v>2</v>
      </c>
      <c r="S404" s="452" t="str">
        <f>MATCH($F404,Reference!$J$45:$J$54,0)</f>
        <v>9</v>
      </c>
      <c r="T404" s="453" t="str">
        <f>MATCH($K404,Reference!$J$37:$J$39,0)</f>
        <v>1</v>
      </c>
      <c r="U404" s="454" t="str">
        <f t="shared" si="674"/>
        <v>0</v>
      </c>
      <c r="V404" s="454" t="str">
        <f t="shared" si="3"/>
        <v>0</v>
      </c>
      <c r="W404" s="454" t="str">
        <f t="shared" si="718"/>
        <v>0</v>
      </c>
      <c r="X404" s="454" t="str">
        <f t="shared" si="675"/>
        <v>0</v>
      </c>
      <c r="Y404" s="456" t="str">
        <f t="shared" si="5"/>
        <v>TRUE</v>
      </c>
      <c r="Z404" s="456" t="str">
        <f t="shared" si="6"/>
        <v>FALSE</v>
      </c>
      <c r="AA404" s="457" t="str">
        <f t="shared" ref="AA404:AB404" si="725">1-I404</f>
        <v>0%</v>
      </c>
      <c r="AB404" s="457" t="str">
        <f t="shared" si="725"/>
        <v>0%</v>
      </c>
      <c r="AC404" s="456" t="str">
        <f t="shared" si="8"/>
        <v>0</v>
      </c>
      <c r="AD404" s="458" t="str">
        <f t="shared" si="677"/>
        <v>0</v>
      </c>
      <c r="AE404" s="458" t="str">
        <f t="shared" si="10"/>
        <v>0</v>
      </c>
      <c r="AF404" s="459" t="str">
        <f t="shared" si="720"/>
        <v>0</v>
      </c>
      <c r="AG404" s="460"/>
      <c r="AH404" s="14"/>
      <c r="AI404" s="14"/>
      <c r="AJ404" s="14"/>
      <c r="AK404" s="14"/>
      <c r="AL404" s="14"/>
      <c r="AM404" s="14"/>
      <c r="AN404" s="14"/>
      <c r="AO404" s="14"/>
      <c r="AP404" s="14"/>
      <c r="AQ404" s="14"/>
      <c r="AR404" s="14"/>
      <c r="AS404" s="14"/>
      <c r="AT404" s="14"/>
    </row>
    <row r="405">
      <c r="A405" s="466"/>
      <c r="B405" s="745">
        <v>6.0</v>
      </c>
      <c r="C405" s="649" t="s">
        <v>989</v>
      </c>
      <c r="D405" s="650" t="s">
        <v>23</v>
      </c>
      <c r="E405" s="650" t="s">
        <v>35</v>
      </c>
      <c r="F405" s="651" t="s">
        <v>75</v>
      </c>
      <c r="G405" s="653">
        <v>0.0</v>
      </c>
      <c r="H405" s="653">
        <v>0.0</v>
      </c>
      <c r="I405" s="702">
        <v>1.0</v>
      </c>
      <c r="J405" s="702"/>
      <c r="K405" s="703" t="s">
        <v>188</v>
      </c>
      <c r="L405" s="703" t="s">
        <v>198</v>
      </c>
      <c r="M405" s="703">
        <v>6.0</v>
      </c>
      <c r="N405" s="703">
        <v>5.0</v>
      </c>
      <c r="O405" s="655" t="s">
        <v>990</v>
      </c>
      <c r="P405" s="14"/>
      <c r="Q405" s="452" t="str">
        <f>MATCH($D405,Reference!$J$5:$J$9,0)</f>
        <v>5</v>
      </c>
      <c r="R405" s="452" t="str">
        <f>MATCH($E405,Reference!$J$26:$J$32,0)</f>
        <v>5</v>
      </c>
      <c r="S405" s="452" t="str">
        <f>MATCH($F405,Reference!$J$45:$J$54,0)</f>
        <v>9</v>
      </c>
      <c r="T405" s="453" t="str">
        <f>MATCH($K405,Reference!$J$37:$J$39,0)</f>
        <v>3</v>
      </c>
      <c r="U405" s="454" t="str">
        <f t="shared" ref="U405:U407" si="727">MIN((G405+H405),1)</f>
        <v>0</v>
      </c>
      <c r="V405" s="454" t="str">
        <f t="shared" si="3"/>
        <v>0</v>
      </c>
      <c r="W405" s="454" t="str">
        <f t="shared" ref="W405:W407" si="728">(MIN(G405,2)+H405-U405)*1600</f>
        <v>0</v>
      </c>
      <c r="X405" s="454" t="str">
        <f t="shared" ref="X405:X407" si="729">MIN((G405+H405+1),2)</f>
        <v>1</v>
      </c>
      <c r="Y405" s="456" t="str">
        <f t="shared" si="5"/>
        <v>TRUE</v>
      </c>
      <c r="Z405" s="456" t="str">
        <f t="shared" si="6"/>
        <v>TRUE</v>
      </c>
      <c r="AA405" s="457" t="str">
        <f t="shared" ref="AA405:AB405" si="726">1-I405</f>
        <v>0%</v>
      </c>
      <c r="AB405" s="457" t="str">
        <f t="shared" si="726"/>
        <v>100%</v>
      </c>
      <c r="AC405" s="456" t="str">
        <f t="shared" si="8"/>
        <v>1</v>
      </c>
      <c r="AD405" s="458" t="str">
        <f t="shared" ref="AD405:AD407" si="731">MIN((H405),1)</f>
        <v>0</v>
      </c>
      <c r="AE405" s="458" t="str">
        <f t="shared" si="10"/>
        <v>0</v>
      </c>
      <c r="AF405" s="459" t="str">
        <f t="shared" ref="AF405:AF407" si="732">(MIN(H405,2)+G405-U405)*400</f>
        <v>0</v>
      </c>
      <c r="AG405" s="460"/>
      <c r="AH405" s="14"/>
      <c r="AI405" s="14"/>
      <c r="AJ405" s="14"/>
      <c r="AK405" s="14"/>
      <c r="AL405" s="14"/>
      <c r="AM405" s="14"/>
      <c r="AN405" s="14"/>
      <c r="AO405" s="14"/>
      <c r="AP405" s="14"/>
      <c r="AQ405" s="14"/>
      <c r="AR405" s="14"/>
      <c r="AS405" s="14"/>
      <c r="AT405" s="14"/>
    </row>
    <row r="406">
      <c r="A406" s="442"/>
      <c r="B406" s="669">
        <v>8.0</v>
      </c>
      <c r="C406" s="670" t="s">
        <v>991</v>
      </c>
      <c r="D406" s="671" t="s">
        <v>23</v>
      </c>
      <c r="E406" s="671" t="s">
        <v>33</v>
      </c>
      <c r="F406" s="672" t="s">
        <v>75</v>
      </c>
      <c r="G406" s="673">
        <v>1.0</v>
      </c>
      <c r="H406" s="673">
        <v>0.0</v>
      </c>
      <c r="I406" s="674">
        <v>1.0</v>
      </c>
      <c r="J406" s="674"/>
      <c r="K406" s="675" t="s">
        <v>188</v>
      </c>
      <c r="L406" s="675"/>
      <c r="M406" s="675">
        <v>4.0</v>
      </c>
      <c r="N406" s="675">
        <v>9.0</v>
      </c>
      <c r="O406" s="676" t="s">
        <v>992</v>
      </c>
      <c r="P406" s="14"/>
      <c r="Q406" s="452" t="str">
        <f>MATCH($D406,Reference!$J$5:$J$9,0)</f>
        <v>5</v>
      </c>
      <c r="R406" s="452" t="str">
        <f>MATCH($E406,Reference!$J$26:$J$32,0)</f>
        <v>2</v>
      </c>
      <c r="S406" s="452" t="str">
        <f>MATCH($F406,Reference!$J$45:$J$54,0)</f>
        <v>9</v>
      </c>
      <c r="T406" s="453" t="str">
        <f>MATCH($K406,Reference!$J$37:$J$39,0)</f>
        <v>3</v>
      </c>
      <c r="U406" s="454" t="str">
        <f t="shared" si="727"/>
        <v>1</v>
      </c>
      <c r="V406" s="454" t="str">
        <f t="shared" si="3"/>
        <v>1</v>
      </c>
      <c r="W406" s="454" t="str">
        <f t="shared" si="728"/>
        <v>0</v>
      </c>
      <c r="X406" s="454" t="str">
        <f t="shared" si="729"/>
        <v>2</v>
      </c>
      <c r="Y406" s="456" t="str">
        <f t="shared" si="5"/>
        <v>FALSE</v>
      </c>
      <c r="Z406" s="456" t="str">
        <f t="shared" si="6"/>
        <v>TRUE</v>
      </c>
      <c r="AA406" s="457" t="str">
        <f t="shared" ref="AA406:AB406" si="730">1-I406</f>
        <v>0%</v>
      </c>
      <c r="AB406" s="457" t="str">
        <f t="shared" si="730"/>
        <v>100%</v>
      </c>
      <c r="AC406" s="456" t="str">
        <f t="shared" si="8"/>
        <v>2</v>
      </c>
      <c r="AD406" s="458" t="str">
        <f t="shared" si="731"/>
        <v>0</v>
      </c>
      <c r="AE406" s="458" t="str">
        <f t="shared" si="10"/>
        <v>1</v>
      </c>
      <c r="AF406" s="459" t="str">
        <f t="shared" si="732"/>
        <v>0</v>
      </c>
      <c r="AG406" s="460"/>
      <c r="AH406" s="14"/>
      <c r="AI406" s="14"/>
      <c r="AJ406" s="14"/>
      <c r="AK406" s="14"/>
      <c r="AL406" s="14"/>
      <c r="AM406" s="14"/>
      <c r="AN406" s="14"/>
      <c r="AO406" s="14"/>
      <c r="AP406" s="14"/>
      <c r="AQ406" s="14"/>
      <c r="AR406" s="14"/>
      <c r="AS406" s="14"/>
      <c r="AT406" s="14"/>
    </row>
    <row r="407">
      <c r="A407" s="509"/>
      <c r="B407" s="659">
        <v>10.0</v>
      </c>
      <c r="C407" s="660" t="s">
        <v>993</v>
      </c>
      <c r="D407" s="661" t="s">
        <v>23</v>
      </c>
      <c r="E407" s="662" t="s">
        <v>36</v>
      </c>
      <c r="F407" s="661" t="s">
        <v>75</v>
      </c>
      <c r="G407" s="663">
        <v>1.0</v>
      </c>
      <c r="H407" s="663">
        <v>0.0</v>
      </c>
      <c r="I407" s="664">
        <v>1.0</v>
      </c>
      <c r="J407" s="664">
        <v>1.0</v>
      </c>
      <c r="K407" s="662" t="s">
        <v>188</v>
      </c>
      <c r="L407" s="662"/>
      <c r="M407" s="662">
        <v>7.0</v>
      </c>
      <c r="N407" s="662">
        <v>7.0</v>
      </c>
      <c r="O407" s="665" t="s">
        <v>994</v>
      </c>
      <c r="P407" s="14"/>
      <c r="Q407" s="452" t="str">
        <f>MATCH($D407,Reference!$J$5:$J$9,0)</f>
        <v>5</v>
      </c>
      <c r="R407" s="452" t="str">
        <f>MATCH($E407,Reference!$J$26:$J$32,0)</f>
        <v>7</v>
      </c>
      <c r="S407" s="452" t="str">
        <f>MATCH($F407,Reference!$J$45:$J$54,0)</f>
        <v>9</v>
      </c>
      <c r="T407" s="453" t="str">
        <f>MATCH($K407,Reference!$J$37:$J$39,0)</f>
        <v>3</v>
      </c>
      <c r="U407" s="454" t="str">
        <f t="shared" si="727"/>
        <v>1</v>
      </c>
      <c r="V407" s="454" t="str">
        <f t="shared" si="3"/>
        <v>1</v>
      </c>
      <c r="W407" s="454" t="str">
        <f t="shared" si="728"/>
        <v>0</v>
      </c>
      <c r="X407" s="454" t="str">
        <f t="shared" si="729"/>
        <v>2</v>
      </c>
      <c r="Y407" s="456" t="str">
        <f t="shared" si="5"/>
        <v>FALSE</v>
      </c>
      <c r="Z407" s="456" t="str">
        <f t="shared" si="6"/>
        <v>TRUE</v>
      </c>
      <c r="AA407" s="457" t="str">
        <f t="shared" ref="AA407:AB407" si="733">1-I407</f>
        <v>0%</v>
      </c>
      <c r="AB407" s="457" t="str">
        <f t="shared" si="733"/>
        <v>0%</v>
      </c>
      <c r="AC407" s="456" t="str">
        <f t="shared" si="8"/>
        <v>1</v>
      </c>
      <c r="AD407" s="458" t="str">
        <f t="shared" si="731"/>
        <v>0</v>
      </c>
      <c r="AE407" s="458" t="str">
        <f t="shared" si="10"/>
        <v>1</v>
      </c>
      <c r="AF407" s="459" t="str">
        <f t="shared" si="732"/>
        <v>0</v>
      </c>
      <c r="AG407" s="460"/>
      <c r="AH407" s="14"/>
      <c r="AI407" s="14"/>
      <c r="AJ407" s="14"/>
      <c r="AK407" s="14"/>
      <c r="AL407" s="14"/>
      <c r="AM407" s="14"/>
      <c r="AN407" s="14"/>
      <c r="AO407" s="14"/>
      <c r="AP407" s="14"/>
      <c r="AQ407" s="14"/>
      <c r="AR407" s="14"/>
      <c r="AS407" s="14"/>
      <c r="AT407" s="14"/>
    </row>
    <row r="408">
      <c r="A408" s="466"/>
      <c r="B408" s="443">
        <v>1.0</v>
      </c>
      <c r="C408" s="444" t="s">
        <v>995</v>
      </c>
      <c r="D408" s="445" t="s">
        <v>10</v>
      </c>
      <c r="E408" s="445" t="s">
        <v>10</v>
      </c>
      <c r="F408" s="445" t="s">
        <v>77</v>
      </c>
      <c r="G408" s="447">
        <v>2.0</v>
      </c>
      <c r="H408" s="447">
        <v>0.0</v>
      </c>
      <c r="I408" s="746">
        <v>1.0</v>
      </c>
      <c r="J408" s="448">
        <v>1.0</v>
      </c>
      <c r="K408" s="644" t="s">
        <v>188</v>
      </c>
      <c r="L408" s="449"/>
      <c r="M408" s="644">
        <v>1.0</v>
      </c>
      <c r="N408" s="644">
        <v>1.0</v>
      </c>
      <c r="O408" s="450" t="s">
        <v>996</v>
      </c>
      <c r="P408" s="14"/>
      <c r="Q408" s="452" t="str">
        <f>MATCH($D408,Reference!$J$5:$J$9,0)</f>
        <v>1</v>
      </c>
      <c r="R408" s="452" t="str">
        <f>MATCH($E408,Reference!$J$26:$J$32,0)</f>
        <v>1</v>
      </c>
      <c r="S408" s="452" t="str">
        <f>MATCH($F408,Reference!$J$45:$J$54,0)</f>
        <v>10</v>
      </c>
      <c r="T408" s="453" t="str">
        <f>MATCH($K408,Reference!$J$37:$J$39,0)</f>
        <v>3</v>
      </c>
      <c r="U408" s="454" t="str">
        <f t="shared" ref="U408:U640" si="735">MIN((G408+H408),2)</f>
        <v>2</v>
      </c>
      <c r="V408" s="454" t="str">
        <f t="shared" si="3"/>
        <v>1</v>
      </c>
      <c r="W408" s="455">
        <v>0.0</v>
      </c>
      <c r="X408" s="454" t="str">
        <f t="shared" ref="X408:X640" si="736">MIN((G408+H408),2)</f>
        <v>2</v>
      </c>
      <c r="Y408" s="456" t="str">
        <f t="shared" si="5"/>
        <v>FALSE</v>
      </c>
      <c r="Z408" s="456" t="str">
        <f t="shared" si="6"/>
        <v>FALSE</v>
      </c>
      <c r="AA408" s="457" t="str">
        <f t="shared" ref="AA408:AB408" si="734">1-I408</f>
        <v>0%</v>
      </c>
      <c r="AB408" s="457" t="str">
        <f t="shared" si="734"/>
        <v>0%</v>
      </c>
      <c r="AC408" s="456" t="str">
        <f t="shared" si="8"/>
        <v>2</v>
      </c>
      <c r="AD408" s="458" t="str">
        <f t="shared" ref="AD408:AD640" si="738">MIN((H408),2)</f>
        <v>0</v>
      </c>
      <c r="AE408" s="458" t="str">
        <f t="shared" si="10"/>
        <v>1</v>
      </c>
      <c r="AF408" s="459" t="str">
        <f t="shared" ref="AF408:AF450" si="739">(MIN(H408,2)+G408-U408)*0</f>
        <v>0</v>
      </c>
      <c r="AG408" s="460"/>
      <c r="AH408" s="14"/>
      <c r="AI408" s="14"/>
      <c r="AJ408" s="14"/>
      <c r="AK408" s="14"/>
      <c r="AL408" s="14"/>
      <c r="AM408" s="14"/>
      <c r="AN408" s="14"/>
      <c r="AO408" s="14"/>
      <c r="AP408" s="14"/>
      <c r="AQ408" s="14"/>
      <c r="AR408" s="14"/>
      <c r="AS408" s="14"/>
      <c r="AT408" s="14"/>
    </row>
    <row r="409">
      <c r="A409" s="442"/>
      <c r="B409" s="443">
        <v>1.0</v>
      </c>
      <c r="C409" s="444" t="s">
        <v>997</v>
      </c>
      <c r="D409" s="445" t="s">
        <v>10</v>
      </c>
      <c r="E409" s="445" t="s">
        <v>10</v>
      </c>
      <c r="F409" s="445" t="s">
        <v>77</v>
      </c>
      <c r="G409" s="447">
        <v>2.0</v>
      </c>
      <c r="H409" s="447">
        <v>0.0</v>
      </c>
      <c r="I409" s="746">
        <v>1.0</v>
      </c>
      <c r="J409" s="448">
        <v>1.0</v>
      </c>
      <c r="K409" s="644" t="s">
        <v>188</v>
      </c>
      <c r="L409" s="449"/>
      <c r="M409" s="644">
        <v>1.0</v>
      </c>
      <c r="N409" s="644">
        <v>2.0</v>
      </c>
      <c r="O409" s="450" t="s">
        <v>189</v>
      </c>
      <c r="P409" s="14"/>
      <c r="Q409" s="452" t="str">
        <f>MATCH($D409,Reference!$J$5:$J$9,0)</f>
        <v>1</v>
      </c>
      <c r="R409" s="452" t="str">
        <f>MATCH($E409,Reference!$J$26:$J$32,0)</f>
        <v>1</v>
      </c>
      <c r="S409" s="452" t="str">
        <f>MATCH($F409,Reference!$J$45:$J$54,0)</f>
        <v>10</v>
      </c>
      <c r="T409" s="453" t="str">
        <f>MATCH($K409,Reference!$J$37:$J$39,0)</f>
        <v>3</v>
      </c>
      <c r="U409" s="454" t="str">
        <f t="shared" si="735"/>
        <v>2</v>
      </c>
      <c r="V409" s="454" t="str">
        <f t="shared" si="3"/>
        <v>1</v>
      </c>
      <c r="W409" s="455">
        <v>0.0</v>
      </c>
      <c r="X409" s="454" t="str">
        <f t="shared" si="736"/>
        <v>2</v>
      </c>
      <c r="Y409" s="456" t="str">
        <f t="shared" si="5"/>
        <v>FALSE</v>
      </c>
      <c r="Z409" s="456" t="str">
        <f t="shared" si="6"/>
        <v>FALSE</v>
      </c>
      <c r="AA409" s="457" t="str">
        <f t="shared" ref="AA409:AB409" si="737">1-I409</f>
        <v>0%</v>
      </c>
      <c r="AB409" s="457" t="str">
        <f t="shared" si="737"/>
        <v>0%</v>
      </c>
      <c r="AC409" s="456" t="str">
        <f t="shared" si="8"/>
        <v>2</v>
      </c>
      <c r="AD409" s="458" t="str">
        <f t="shared" si="738"/>
        <v>0</v>
      </c>
      <c r="AE409" s="458" t="str">
        <f t="shared" si="10"/>
        <v>1</v>
      </c>
      <c r="AF409" s="459" t="str">
        <f t="shared" si="739"/>
        <v>0</v>
      </c>
      <c r="AG409" s="460"/>
      <c r="AH409" s="14"/>
      <c r="AI409" s="14"/>
      <c r="AJ409" s="14"/>
      <c r="AK409" s="14"/>
      <c r="AL409" s="14"/>
      <c r="AM409" s="14"/>
      <c r="AN409" s="14"/>
      <c r="AO409" s="14"/>
      <c r="AP409" s="14"/>
      <c r="AQ409" s="14"/>
      <c r="AR409" s="14"/>
      <c r="AS409" s="14"/>
      <c r="AT409" s="14"/>
    </row>
    <row r="410">
      <c r="A410" s="466"/>
      <c r="B410" s="467">
        <v>1.0</v>
      </c>
      <c r="C410" s="468" t="s">
        <v>998</v>
      </c>
      <c r="D410" s="445" t="s">
        <v>10</v>
      </c>
      <c r="E410" s="445" t="s">
        <v>10</v>
      </c>
      <c r="F410" s="445" t="s">
        <v>77</v>
      </c>
      <c r="G410" s="447">
        <v>2.0</v>
      </c>
      <c r="H410" s="447">
        <v>0.0</v>
      </c>
      <c r="I410" s="746">
        <v>1.0</v>
      </c>
      <c r="J410" s="448">
        <v>1.0</v>
      </c>
      <c r="K410" s="644" t="s">
        <v>188</v>
      </c>
      <c r="L410" s="449" t="s">
        <v>498</v>
      </c>
      <c r="M410" s="644">
        <v>1.0</v>
      </c>
      <c r="N410" s="644">
        <v>1.0</v>
      </c>
      <c r="O410" s="450" t="s">
        <v>999</v>
      </c>
      <c r="P410" s="14"/>
      <c r="Q410" s="452" t="str">
        <f>MATCH($D410,Reference!$J$5:$J$9,0)</f>
        <v>1</v>
      </c>
      <c r="R410" s="452" t="str">
        <f>MATCH($E410,Reference!$J$26:$J$32,0)</f>
        <v>1</v>
      </c>
      <c r="S410" s="452" t="str">
        <f>MATCH($F410,Reference!$J$45:$J$54,0)</f>
        <v>10</v>
      </c>
      <c r="T410" s="453" t="str">
        <f>MATCH($K410,Reference!$J$37:$J$39,0)</f>
        <v>3</v>
      </c>
      <c r="U410" s="454" t="str">
        <f t="shared" si="735"/>
        <v>2</v>
      </c>
      <c r="V410" s="454" t="str">
        <f t="shared" si="3"/>
        <v>1</v>
      </c>
      <c r="W410" s="455">
        <v>0.0</v>
      </c>
      <c r="X410" s="454" t="str">
        <f t="shared" si="736"/>
        <v>2</v>
      </c>
      <c r="Y410" s="456" t="str">
        <f t="shared" si="5"/>
        <v>FALSE</v>
      </c>
      <c r="Z410" s="456" t="str">
        <f t="shared" si="6"/>
        <v>FALSE</v>
      </c>
      <c r="AA410" s="457" t="str">
        <f t="shared" ref="AA410:AB410" si="740">1-I410</f>
        <v>0%</v>
      </c>
      <c r="AB410" s="457" t="str">
        <f t="shared" si="740"/>
        <v>0%</v>
      </c>
      <c r="AC410" s="456" t="str">
        <f t="shared" si="8"/>
        <v>2</v>
      </c>
      <c r="AD410" s="458" t="str">
        <f t="shared" si="738"/>
        <v>0</v>
      </c>
      <c r="AE410" s="458" t="str">
        <f t="shared" si="10"/>
        <v>1</v>
      </c>
      <c r="AF410" s="459" t="str">
        <f t="shared" si="739"/>
        <v>0</v>
      </c>
      <c r="AG410" s="460"/>
      <c r="AH410" s="14"/>
      <c r="AI410" s="14"/>
      <c r="AJ410" s="14"/>
      <c r="AK410" s="14"/>
      <c r="AL410" s="14"/>
      <c r="AM410" s="14"/>
      <c r="AN410" s="14"/>
      <c r="AO410" s="14"/>
      <c r="AP410" s="14"/>
      <c r="AQ410" s="14"/>
      <c r="AR410" s="14"/>
      <c r="AS410" s="14"/>
      <c r="AT410" s="14"/>
    </row>
    <row r="411">
      <c r="A411" s="466"/>
      <c r="B411" s="443">
        <v>1.0</v>
      </c>
      <c r="C411" s="444" t="s">
        <v>1000</v>
      </c>
      <c r="D411" s="445" t="s">
        <v>10</v>
      </c>
      <c r="E411" s="445" t="s">
        <v>10</v>
      </c>
      <c r="F411" s="445" t="s">
        <v>77</v>
      </c>
      <c r="G411" s="447">
        <v>2.0</v>
      </c>
      <c r="H411" s="447">
        <v>0.0</v>
      </c>
      <c r="I411" s="746">
        <v>1.0</v>
      </c>
      <c r="J411" s="448">
        <v>1.0</v>
      </c>
      <c r="K411" s="445" t="s">
        <v>188</v>
      </c>
      <c r="L411" s="445" t="s">
        <v>498</v>
      </c>
      <c r="M411" s="445">
        <v>2.0</v>
      </c>
      <c r="N411" s="447">
        <v>1.0</v>
      </c>
      <c r="O411" s="450"/>
      <c r="P411" s="14"/>
      <c r="Q411" s="452" t="str">
        <f>MATCH($D411,Reference!$J$5:$J$9,0)</f>
        <v>1</v>
      </c>
      <c r="R411" s="452" t="str">
        <f>MATCH($E411,Reference!$J$26:$J$32,0)</f>
        <v>1</v>
      </c>
      <c r="S411" s="452" t="str">
        <f>MATCH($F411,Reference!$J$45:$J$54,0)</f>
        <v>10</v>
      </c>
      <c r="T411" s="453" t="str">
        <f>MATCH($K411,Reference!$J$37:$J$39,0)</f>
        <v>3</v>
      </c>
      <c r="U411" s="454" t="str">
        <f t="shared" si="735"/>
        <v>2</v>
      </c>
      <c r="V411" s="454" t="str">
        <f t="shared" si="3"/>
        <v>1</v>
      </c>
      <c r="W411" s="455">
        <v>0.0</v>
      </c>
      <c r="X411" s="454" t="str">
        <f t="shared" si="736"/>
        <v>2</v>
      </c>
      <c r="Y411" s="456" t="str">
        <f t="shared" si="5"/>
        <v>FALSE</v>
      </c>
      <c r="Z411" s="456" t="str">
        <f t="shared" si="6"/>
        <v>FALSE</v>
      </c>
      <c r="AA411" s="457" t="str">
        <f t="shared" ref="AA411:AB411" si="741">1-I411</f>
        <v>0%</v>
      </c>
      <c r="AB411" s="457" t="str">
        <f t="shared" si="741"/>
        <v>0%</v>
      </c>
      <c r="AC411" s="456" t="str">
        <f t="shared" si="8"/>
        <v>2</v>
      </c>
      <c r="AD411" s="458" t="str">
        <f t="shared" si="738"/>
        <v>0</v>
      </c>
      <c r="AE411" s="458" t="str">
        <f t="shared" si="10"/>
        <v>1</v>
      </c>
      <c r="AF411" s="459" t="str">
        <f t="shared" si="739"/>
        <v>0</v>
      </c>
      <c r="AG411" s="460"/>
      <c r="AH411" s="14"/>
      <c r="AI411" s="14"/>
      <c r="AJ411" s="14"/>
      <c r="AK411" s="14"/>
      <c r="AL411" s="14"/>
      <c r="AM411" s="14"/>
      <c r="AN411" s="14"/>
      <c r="AO411" s="14"/>
      <c r="AP411" s="14"/>
      <c r="AQ411" s="14"/>
      <c r="AR411" s="14"/>
      <c r="AS411" s="14"/>
      <c r="AT411" s="14"/>
    </row>
    <row r="412">
      <c r="A412" s="442"/>
      <c r="B412" s="443">
        <v>1.0</v>
      </c>
      <c r="C412" s="444" t="s">
        <v>1001</v>
      </c>
      <c r="D412" s="445" t="s">
        <v>10</v>
      </c>
      <c r="E412" s="445" t="s">
        <v>10</v>
      </c>
      <c r="F412" s="445" t="s">
        <v>77</v>
      </c>
      <c r="G412" s="447">
        <v>2.0</v>
      </c>
      <c r="H412" s="447">
        <v>0.0</v>
      </c>
      <c r="I412" s="746">
        <v>1.0</v>
      </c>
      <c r="J412" s="448">
        <v>1.0</v>
      </c>
      <c r="K412" s="644" t="s">
        <v>188</v>
      </c>
      <c r="L412" s="449" t="s">
        <v>238</v>
      </c>
      <c r="M412" s="644">
        <v>1.0</v>
      </c>
      <c r="N412" s="644">
        <v>1.0</v>
      </c>
      <c r="O412" s="450" t="s">
        <v>365</v>
      </c>
      <c r="P412" s="14"/>
      <c r="Q412" s="452" t="str">
        <f>MATCH($D412,Reference!$J$5:$J$9,0)</f>
        <v>1</v>
      </c>
      <c r="R412" s="452" t="str">
        <f>MATCH($E412,Reference!$J$26:$J$32,0)</f>
        <v>1</v>
      </c>
      <c r="S412" s="452" t="str">
        <f>MATCH($F412,Reference!$J$45:$J$54,0)</f>
        <v>10</v>
      </c>
      <c r="T412" s="453" t="str">
        <f>MATCH($K412,Reference!$J$37:$J$39,0)</f>
        <v>3</v>
      </c>
      <c r="U412" s="454" t="str">
        <f t="shared" si="735"/>
        <v>2</v>
      </c>
      <c r="V412" s="454" t="str">
        <f t="shared" si="3"/>
        <v>1</v>
      </c>
      <c r="W412" s="455">
        <v>0.0</v>
      </c>
      <c r="X412" s="454" t="str">
        <f t="shared" si="736"/>
        <v>2</v>
      </c>
      <c r="Y412" s="456" t="str">
        <f t="shared" si="5"/>
        <v>FALSE</v>
      </c>
      <c r="Z412" s="456" t="str">
        <f t="shared" si="6"/>
        <v>FALSE</v>
      </c>
      <c r="AA412" s="457" t="str">
        <f t="shared" ref="AA412:AB412" si="742">1-I412</f>
        <v>0%</v>
      </c>
      <c r="AB412" s="457" t="str">
        <f t="shared" si="742"/>
        <v>0%</v>
      </c>
      <c r="AC412" s="456" t="str">
        <f t="shared" si="8"/>
        <v>2</v>
      </c>
      <c r="AD412" s="458" t="str">
        <f t="shared" si="738"/>
        <v>0</v>
      </c>
      <c r="AE412" s="458" t="str">
        <f t="shared" si="10"/>
        <v>1</v>
      </c>
      <c r="AF412" s="459" t="str">
        <f t="shared" si="739"/>
        <v>0</v>
      </c>
      <c r="AG412" s="460"/>
      <c r="AH412" s="14"/>
      <c r="AI412" s="14"/>
      <c r="AJ412" s="14"/>
      <c r="AK412" s="14"/>
      <c r="AL412" s="14"/>
      <c r="AM412" s="14"/>
      <c r="AN412" s="14"/>
      <c r="AO412" s="14"/>
      <c r="AP412" s="14"/>
      <c r="AQ412" s="14"/>
      <c r="AR412" s="14"/>
      <c r="AS412" s="14"/>
      <c r="AT412" s="14"/>
    </row>
    <row r="413">
      <c r="A413" s="466"/>
      <c r="B413" s="443">
        <v>1.0</v>
      </c>
      <c r="C413" s="444" t="s">
        <v>1002</v>
      </c>
      <c r="D413" s="445" t="s">
        <v>10</v>
      </c>
      <c r="E413" s="445" t="s">
        <v>10</v>
      </c>
      <c r="F413" s="445" t="s">
        <v>77</v>
      </c>
      <c r="G413" s="447">
        <v>2.0</v>
      </c>
      <c r="H413" s="447">
        <v>0.0</v>
      </c>
      <c r="I413" s="746">
        <v>1.0</v>
      </c>
      <c r="J413" s="448">
        <v>1.0</v>
      </c>
      <c r="K413" s="644" t="s">
        <v>188</v>
      </c>
      <c r="L413" s="449"/>
      <c r="M413" s="644">
        <v>2.0</v>
      </c>
      <c r="N413" s="644">
        <v>1.0</v>
      </c>
      <c r="O413" s="450" t="s">
        <v>1003</v>
      </c>
      <c r="P413" s="14"/>
      <c r="Q413" s="452" t="str">
        <f>MATCH($D413,Reference!$J$5:$J$9,0)</f>
        <v>1</v>
      </c>
      <c r="R413" s="452" t="str">
        <f>MATCH($E413,Reference!$J$26:$J$32,0)</f>
        <v>1</v>
      </c>
      <c r="S413" s="452" t="str">
        <f>MATCH($F413,Reference!$J$45:$J$54,0)</f>
        <v>10</v>
      </c>
      <c r="T413" s="453" t="str">
        <f>MATCH($K413,Reference!$J$37:$J$39,0)</f>
        <v>3</v>
      </c>
      <c r="U413" s="454" t="str">
        <f t="shared" si="735"/>
        <v>2</v>
      </c>
      <c r="V413" s="454" t="str">
        <f t="shared" si="3"/>
        <v>1</v>
      </c>
      <c r="W413" s="455">
        <v>0.0</v>
      </c>
      <c r="X413" s="454" t="str">
        <f t="shared" si="736"/>
        <v>2</v>
      </c>
      <c r="Y413" s="456" t="str">
        <f t="shared" si="5"/>
        <v>FALSE</v>
      </c>
      <c r="Z413" s="456" t="str">
        <f t="shared" si="6"/>
        <v>FALSE</v>
      </c>
      <c r="AA413" s="457" t="str">
        <f t="shared" ref="AA413:AB413" si="743">1-I413</f>
        <v>0%</v>
      </c>
      <c r="AB413" s="457" t="str">
        <f t="shared" si="743"/>
        <v>0%</v>
      </c>
      <c r="AC413" s="456" t="str">
        <f t="shared" si="8"/>
        <v>2</v>
      </c>
      <c r="AD413" s="458" t="str">
        <f t="shared" si="738"/>
        <v>0</v>
      </c>
      <c r="AE413" s="458" t="str">
        <f t="shared" si="10"/>
        <v>1</v>
      </c>
      <c r="AF413" s="459" t="str">
        <f t="shared" si="739"/>
        <v>0</v>
      </c>
      <c r="AG413" s="460"/>
      <c r="AH413" s="14"/>
      <c r="AI413" s="14"/>
      <c r="AJ413" s="14"/>
      <c r="AK413" s="14"/>
      <c r="AL413" s="14"/>
      <c r="AM413" s="14"/>
      <c r="AN413" s="14"/>
      <c r="AO413" s="14"/>
      <c r="AP413" s="14"/>
      <c r="AQ413" s="14"/>
      <c r="AR413" s="14"/>
      <c r="AS413" s="14"/>
      <c r="AT413" s="14"/>
    </row>
    <row r="414">
      <c r="A414" s="463"/>
      <c r="B414" s="443">
        <v>2.0</v>
      </c>
      <c r="C414" s="444" t="s">
        <v>1004</v>
      </c>
      <c r="D414" s="445" t="s">
        <v>10</v>
      </c>
      <c r="E414" s="445" t="s">
        <v>10</v>
      </c>
      <c r="F414" s="445" t="s">
        <v>77</v>
      </c>
      <c r="G414" s="447">
        <v>2.0</v>
      </c>
      <c r="H414" s="447">
        <v>0.0</v>
      </c>
      <c r="I414" s="746">
        <v>1.0</v>
      </c>
      <c r="J414" s="448">
        <v>1.0</v>
      </c>
      <c r="K414" s="644" t="s">
        <v>188</v>
      </c>
      <c r="L414" s="449"/>
      <c r="M414" s="644">
        <v>3.0</v>
      </c>
      <c r="N414" s="644">
        <v>2.0</v>
      </c>
      <c r="O414" s="450" t="s">
        <v>1005</v>
      </c>
      <c r="P414" s="14"/>
      <c r="Q414" s="452" t="str">
        <f>MATCH($D414,Reference!$J$5:$J$9,0)</f>
        <v>1</v>
      </c>
      <c r="R414" s="452" t="str">
        <f>MATCH($E414,Reference!$J$26:$J$32,0)</f>
        <v>1</v>
      </c>
      <c r="S414" s="452" t="str">
        <f>MATCH($F414,Reference!$J$45:$J$54,0)</f>
        <v>10</v>
      </c>
      <c r="T414" s="453" t="str">
        <f>MATCH($K414,Reference!$J$37:$J$39,0)</f>
        <v>3</v>
      </c>
      <c r="U414" s="454" t="str">
        <f t="shared" si="735"/>
        <v>2</v>
      </c>
      <c r="V414" s="454" t="str">
        <f t="shared" si="3"/>
        <v>1</v>
      </c>
      <c r="W414" s="455">
        <v>0.0</v>
      </c>
      <c r="X414" s="454" t="str">
        <f t="shared" si="736"/>
        <v>2</v>
      </c>
      <c r="Y414" s="456" t="str">
        <f t="shared" si="5"/>
        <v>FALSE</v>
      </c>
      <c r="Z414" s="456" t="str">
        <f t="shared" si="6"/>
        <v>FALSE</v>
      </c>
      <c r="AA414" s="457" t="str">
        <f t="shared" ref="AA414:AB414" si="744">1-I414</f>
        <v>0%</v>
      </c>
      <c r="AB414" s="457" t="str">
        <f t="shared" si="744"/>
        <v>0%</v>
      </c>
      <c r="AC414" s="456" t="str">
        <f t="shared" si="8"/>
        <v>2</v>
      </c>
      <c r="AD414" s="458" t="str">
        <f t="shared" si="738"/>
        <v>0</v>
      </c>
      <c r="AE414" s="458" t="str">
        <f t="shared" si="10"/>
        <v>1</v>
      </c>
      <c r="AF414" s="459" t="str">
        <f t="shared" si="739"/>
        <v>0</v>
      </c>
      <c r="AG414" s="460"/>
      <c r="AH414" s="14"/>
      <c r="AI414" s="14"/>
      <c r="AJ414" s="14"/>
      <c r="AK414" s="14"/>
      <c r="AL414" s="14"/>
      <c r="AM414" s="14"/>
      <c r="AN414" s="14"/>
      <c r="AO414" s="14"/>
      <c r="AP414" s="14"/>
      <c r="AQ414" s="14"/>
      <c r="AR414" s="14"/>
      <c r="AS414" s="14"/>
      <c r="AT414" s="14"/>
    </row>
    <row r="415">
      <c r="A415" s="442"/>
      <c r="B415" s="443">
        <v>2.0</v>
      </c>
      <c r="C415" s="444" t="s">
        <v>1006</v>
      </c>
      <c r="D415" s="445" t="s">
        <v>10</v>
      </c>
      <c r="E415" s="445" t="s">
        <v>10</v>
      </c>
      <c r="F415" s="445" t="s">
        <v>77</v>
      </c>
      <c r="G415" s="447">
        <v>2.0</v>
      </c>
      <c r="H415" s="447">
        <v>0.0</v>
      </c>
      <c r="I415" s="746">
        <v>1.0</v>
      </c>
      <c r="J415" s="448">
        <v>1.0</v>
      </c>
      <c r="K415" s="644" t="s">
        <v>188</v>
      </c>
      <c r="L415" s="449" t="s">
        <v>238</v>
      </c>
      <c r="M415" s="644">
        <v>3.0</v>
      </c>
      <c r="N415" s="644">
        <v>2.0</v>
      </c>
      <c r="O415" s="450"/>
      <c r="P415" s="14"/>
      <c r="Q415" s="452" t="str">
        <f>MATCH($D415,Reference!$J$5:$J$9,0)</f>
        <v>1</v>
      </c>
      <c r="R415" s="452" t="str">
        <f>MATCH($E415,Reference!$J$26:$J$32,0)</f>
        <v>1</v>
      </c>
      <c r="S415" s="452" t="str">
        <f>MATCH($F415,Reference!$J$45:$J$54,0)</f>
        <v>10</v>
      </c>
      <c r="T415" s="453" t="str">
        <f>MATCH($K415,Reference!$J$37:$J$39,0)</f>
        <v>3</v>
      </c>
      <c r="U415" s="454" t="str">
        <f t="shared" si="735"/>
        <v>2</v>
      </c>
      <c r="V415" s="454" t="str">
        <f t="shared" si="3"/>
        <v>1</v>
      </c>
      <c r="W415" s="455">
        <v>0.0</v>
      </c>
      <c r="X415" s="454" t="str">
        <f t="shared" si="736"/>
        <v>2</v>
      </c>
      <c r="Y415" s="456" t="str">
        <f t="shared" si="5"/>
        <v>FALSE</v>
      </c>
      <c r="Z415" s="456" t="str">
        <f t="shared" si="6"/>
        <v>FALSE</v>
      </c>
      <c r="AA415" s="457" t="str">
        <f t="shared" ref="AA415:AB415" si="745">1-I415</f>
        <v>0%</v>
      </c>
      <c r="AB415" s="457" t="str">
        <f t="shared" si="745"/>
        <v>0%</v>
      </c>
      <c r="AC415" s="456" t="str">
        <f t="shared" si="8"/>
        <v>2</v>
      </c>
      <c r="AD415" s="458" t="str">
        <f t="shared" si="738"/>
        <v>0</v>
      </c>
      <c r="AE415" s="458" t="str">
        <f t="shared" si="10"/>
        <v>1</v>
      </c>
      <c r="AF415" s="459" t="str">
        <f t="shared" si="739"/>
        <v>0</v>
      </c>
      <c r="AG415" s="460"/>
      <c r="AH415" s="14"/>
      <c r="AI415" s="14"/>
      <c r="AJ415" s="14"/>
      <c r="AK415" s="14"/>
      <c r="AL415" s="14"/>
      <c r="AM415" s="14"/>
      <c r="AN415" s="14"/>
      <c r="AO415" s="14"/>
      <c r="AP415" s="14"/>
      <c r="AQ415" s="14"/>
      <c r="AR415" s="14"/>
      <c r="AS415" s="14"/>
      <c r="AT415" s="14"/>
    </row>
    <row r="416">
      <c r="A416" s="442"/>
      <c r="B416" s="443">
        <v>2.0</v>
      </c>
      <c r="C416" s="444" t="s">
        <v>1007</v>
      </c>
      <c r="D416" s="445" t="s">
        <v>10</v>
      </c>
      <c r="E416" s="445" t="s">
        <v>10</v>
      </c>
      <c r="F416" s="445" t="s">
        <v>77</v>
      </c>
      <c r="G416" s="447">
        <v>2.0</v>
      </c>
      <c r="H416" s="447">
        <v>0.0</v>
      </c>
      <c r="I416" s="746">
        <v>1.0</v>
      </c>
      <c r="J416" s="448">
        <v>1.0</v>
      </c>
      <c r="K416" s="644" t="s">
        <v>188</v>
      </c>
      <c r="L416" s="449" t="s">
        <v>498</v>
      </c>
      <c r="M416" s="644">
        <v>2.0</v>
      </c>
      <c r="N416" s="644">
        <v>1.0</v>
      </c>
      <c r="O416" s="450" t="s">
        <v>365</v>
      </c>
      <c r="P416" s="5"/>
      <c r="Q416" s="452" t="str">
        <f>MATCH($D416,Reference!$J$5:$J$9,0)</f>
        <v>1</v>
      </c>
      <c r="R416" s="452" t="str">
        <f>MATCH($E416,Reference!$J$26:$J$32,0)</f>
        <v>1</v>
      </c>
      <c r="S416" s="452" t="str">
        <f>MATCH($F416,Reference!$J$45:$J$54,0)</f>
        <v>10</v>
      </c>
      <c r="T416" s="453" t="str">
        <f>MATCH($K416,Reference!$J$37:$J$39,0)</f>
        <v>3</v>
      </c>
      <c r="U416" s="454" t="str">
        <f t="shared" si="735"/>
        <v>2</v>
      </c>
      <c r="V416" s="454" t="str">
        <f t="shared" si="3"/>
        <v>1</v>
      </c>
      <c r="W416" s="455">
        <v>0.0</v>
      </c>
      <c r="X416" s="454" t="str">
        <f t="shared" si="736"/>
        <v>2</v>
      </c>
      <c r="Y416" s="456" t="str">
        <f t="shared" si="5"/>
        <v>FALSE</v>
      </c>
      <c r="Z416" s="456" t="str">
        <f t="shared" si="6"/>
        <v>FALSE</v>
      </c>
      <c r="AA416" s="457" t="str">
        <f t="shared" ref="AA416:AB416" si="746">1-I416</f>
        <v>0%</v>
      </c>
      <c r="AB416" s="457" t="str">
        <f t="shared" si="746"/>
        <v>0%</v>
      </c>
      <c r="AC416" s="456" t="str">
        <f t="shared" si="8"/>
        <v>2</v>
      </c>
      <c r="AD416" s="458" t="str">
        <f t="shared" si="738"/>
        <v>0</v>
      </c>
      <c r="AE416" s="458" t="str">
        <f t="shared" si="10"/>
        <v>1</v>
      </c>
      <c r="AF416" s="459" t="str">
        <f t="shared" si="739"/>
        <v>0</v>
      </c>
      <c r="AG416" s="460"/>
      <c r="AH416" s="14"/>
      <c r="AI416" s="14"/>
      <c r="AJ416" s="14"/>
      <c r="AK416" s="14"/>
      <c r="AL416" s="14"/>
      <c r="AM416" s="14"/>
      <c r="AN416" s="14"/>
      <c r="AO416" s="14"/>
      <c r="AP416" s="14"/>
      <c r="AQ416" s="14"/>
      <c r="AR416" s="14"/>
      <c r="AS416" s="14"/>
      <c r="AT416" s="14"/>
    </row>
    <row r="417">
      <c r="A417" s="466"/>
      <c r="B417" s="443">
        <v>2.0</v>
      </c>
      <c r="C417" s="444" t="s">
        <v>1008</v>
      </c>
      <c r="D417" s="445" t="s">
        <v>10</v>
      </c>
      <c r="E417" s="445" t="s">
        <v>10</v>
      </c>
      <c r="F417" s="445" t="s">
        <v>77</v>
      </c>
      <c r="G417" s="447">
        <v>2.0</v>
      </c>
      <c r="H417" s="447">
        <v>0.0</v>
      </c>
      <c r="I417" s="746">
        <v>1.0</v>
      </c>
      <c r="J417" s="448">
        <v>1.0</v>
      </c>
      <c r="K417" s="644" t="s">
        <v>188</v>
      </c>
      <c r="L417" s="449"/>
      <c r="M417" s="644">
        <v>2.0</v>
      </c>
      <c r="N417" s="644">
        <v>2.0</v>
      </c>
      <c r="O417" s="450" t="s">
        <v>189</v>
      </c>
      <c r="P417" s="14"/>
      <c r="Q417" s="452" t="str">
        <f>MATCH($D417,Reference!$J$5:$J$9,0)</f>
        <v>1</v>
      </c>
      <c r="R417" s="452" t="str">
        <f>MATCH($E417,Reference!$J$26:$J$32,0)</f>
        <v>1</v>
      </c>
      <c r="S417" s="452" t="str">
        <f>MATCH($F417,Reference!$J$45:$J$54,0)</f>
        <v>10</v>
      </c>
      <c r="T417" s="453" t="str">
        <f>MATCH($K417,Reference!$J$37:$J$39,0)</f>
        <v>3</v>
      </c>
      <c r="U417" s="454" t="str">
        <f t="shared" si="735"/>
        <v>2</v>
      </c>
      <c r="V417" s="454" t="str">
        <f t="shared" si="3"/>
        <v>1</v>
      </c>
      <c r="W417" s="455">
        <v>0.0</v>
      </c>
      <c r="X417" s="454" t="str">
        <f t="shared" si="736"/>
        <v>2</v>
      </c>
      <c r="Y417" s="456" t="str">
        <f t="shared" si="5"/>
        <v>FALSE</v>
      </c>
      <c r="Z417" s="456" t="str">
        <f t="shared" si="6"/>
        <v>FALSE</v>
      </c>
      <c r="AA417" s="457" t="str">
        <f t="shared" ref="AA417:AB417" si="747">1-I417</f>
        <v>0%</v>
      </c>
      <c r="AB417" s="457" t="str">
        <f t="shared" si="747"/>
        <v>0%</v>
      </c>
      <c r="AC417" s="456" t="str">
        <f t="shared" si="8"/>
        <v>2</v>
      </c>
      <c r="AD417" s="458" t="str">
        <f t="shared" si="738"/>
        <v>0</v>
      </c>
      <c r="AE417" s="458" t="str">
        <f t="shared" si="10"/>
        <v>1</v>
      </c>
      <c r="AF417" s="459" t="str">
        <f t="shared" si="739"/>
        <v>0</v>
      </c>
      <c r="AG417" s="460"/>
      <c r="AH417" s="14"/>
      <c r="AI417" s="14"/>
      <c r="AJ417" s="14"/>
      <c r="AK417" s="14"/>
      <c r="AL417" s="14"/>
      <c r="AM417" s="14"/>
      <c r="AN417" s="14"/>
      <c r="AO417" s="14"/>
      <c r="AP417" s="14"/>
      <c r="AQ417" s="14"/>
      <c r="AR417" s="14"/>
      <c r="AS417" s="14"/>
      <c r="AT417" s="14"/>
    </row>
    <row r="418">
      <c r="A418" s="466"/>
      <c r="B418" s="443">
        <v>2.0</v>
      </c>
      <c r="C418" s="444" t="s">
        <v>1009</v>
      </c>
      <c r="D418" s="445" t="s">
        <v>10</v>
      </c>
      <c r="E418" s="445" t="s">
        <v>10</v>
      </c>
      <c r="F418" s="445" t="s">
        <v>77</v>
      </c>
      <c r="G418" s="447">
        <v>2.0</v>
      </c>
      <c r="H418" s="447">
        <v>0.0</v>
      </c>
      <c r="I418" s="746">
        <v>1.0</v>
      </c>
      <c r="J418" s="448">
        <v>1.0</v>
      </c>
      <c r="K418" s="644" t="s">
        <v>188</v>
      </c>
      <c r="L418" s="449"/>
      <c r="M418" s="644">
        <v>2.0</v>
      </c>
      <c r="N418" s="644">
        <v>2.0</v>
      </c>
      <c r="O418" s="450" t="s">
        <v>426</v>
      </c>
      <c r="P418" s="14"/>
      <c r="Q418" s="452" t="str">
        <f>MATCH($D418,Reference!$J$5:$J$9,0)</f>
        <v>1</v>
      </c>
      <c r="R418" s="452" t="str">
        <f>MATCH($E418,Reference!$J$26:$J$32,0)</f>
        <v>1</v>
      </c>
      <c r="S418" s="452" t="str">
        <f>MATCH($F418,Reference!$J$45:$J$54,0)</f>
        <v>10</v>
      </c>
      <c r="T418" s="453" t="str">
        <f>MATCH($K418,Reference!$J$37:$J$39,0)</f>
        <v>3</v>
      </c>
      <c r="U418" s="454" t="str">
        <f t="shared" si="735"/>
        <v>2</v>
      </c>
      <c r="V418" s="454" t="str">
        <f t="shared" si="3"/>
        <v>1</v>
      </c>
      <c r="W418" s="455">
        <v>0.0</v>
      </c>
      <c r="X418" s="454" t="str">
        <f t="shared" si="736"/>
        <v>2</v>
      </c>
      <c r="Y418" s="456" t="str">
        <f t="shared" si="5"/>
        <v>FALSE</v>
      </c>
      <c r="Z418" s="456" t="str">
        <f t="shared" si="6"/>
        <v>FALSE</v>
      </c>
      <c r="AA418" s="457" t="str">
        <f t="shared" ref="AA418:AB418" si="748">1-I418</f>
        <v>0%</v>
      </c>
      <c r="AB418" s="457" t="str">
        <f t="shared" si="748"/>
        <v>0%</v>
      </c>
      <c r="AC418" s="456" t="str">
        <f t="shared" si="8"/>
        <v>2</v>
      </c>
      <c r="AD418" s="458" t="str">
        <f t="shared" si="738"/>
        <v>0</v>
      </c>
      <c r="AE418" s="458" t="str">
        <f t="shared" si="10"/>
        <v>1</v>
      </c>
      <c r="AF418" s="459" t="str">
        <f t="shared" si="739"/>
        <v>0</v>
      </c>
      <c r="AG418" s="460"/>
      <c r="AH418" s="14"/>
      <c r="AI418" s="14"/>
      <c r="AJ418" s="14"/>
      <c r="AK418" s="14"/>
      <c r="AL418" s="14"/>
      <c r="AM418" s="14"/>
      <c r="AN418" s="14"/>
      <c r="AO418" s="14"/>
      <c r="AP418" s="14"/>
      <c r="AQ418" s="14"/>
      <c r="AR418" s="14"/>
      <c r="AS418" s="14"/>
      <c r="AT418" s="14"/>
    </row>
    <row r="419">
      <c r="A419" s="442"/>
      <c r="B419" s="467">
        <v>2.0</v>
      </c>
      <c r="C419" s="468" t="s">
        <v>1010</v>
      </c>
      <c r="D419" s="445" t="s">
        <v>10</v>
      </c>
      <c r="E419" s="445" t="s">
        <v>10</v>
      </c>
      <c r="F419" s="445" t="s">
        <v>77</v>
      </c>
      <c r="G419" s="447">
        <v>2.0</v>
      </c>
      <c r="H419" s="447">
        <v>0.0</v>
      </c>
      <c r="I419" s="746">
        <v>1.0</v>
      </c>
      <c r="J419" s="448">
        <v>1.0</v>
      </c>
      <c r="K419" s="445" t="s">
        <v>188</v>
      </c>
      <c r="L419" s="445" t="s">
        <v>498</v>
      </c>
      <c r="M419" s="445">
        <v>2.0</v>
      </c>
      <c r="N419" s="447">
        <v>1.0</v>
      </c>
      <c r="O419" s="450" t="s">
        <v>1011</v>
      </c>
      <c r="P419" s="14"/>
      <c r="Q419" s="452" t="str">
        <f>MATCH($D419,Reference!$J$5:$J$9,0)</f>
        <v>1</v>
      </c>
      <c r="R419" s="452" t="str">
        <f>MATCH($E419,Reference!$J$26:$J$32,0)</f>
        <v>1</v>
      </c>
      <c r="S419" s="452" t="str">
        <f>MATCH($F419,Reference!$J$45:$J$54,0)</f>
        <v>10</v>
      </c>
      <c r="T419" s="453" t="str">
        <f>MATCH($K419,Reference!$J$37:$J$39,0)</f>
        <v>3</v>
      </c>
      <c r="U419" s="454" t="str">
        <f t="shared" si="735"/>
        <v>2</v>
      </c>
      <c r="V419" s="454" t="str">
        <f t="shared" si="3"/>
        <v>1</v>
      </c>
      <c r="W419" s="455">
        <v>0.0</v>
      </c>
      <c r="X419" s="454" t="str">
        <f t="shared" si="736"/>
        <v>2</v>
      </c>
      <c r="Y419" s="456" t="str">
        <f t="shared" si="5"/>
        <v>FALSE</v>
      </c>
      <c r="Z419" s="456" t="str">
        <f t="shared" si="6"/>
        <v>FALSE</v>
      </c>
      <c r="AA419" s="457" t="str">
        <f t="shared" ref="AA419:AB419" si="749">1-I419</f>
        <v>0%</v>
      </c>
      <c r="AB419" s="457" t="str">
        <f t="shared" si="749"/>
        <v>0%</v>
      </c>
      <c r="AC419" s="456" t="str">
        <f t="shared" si="8"/>
        <v>2</v>
      </c>
      <c r="AD419" s="458" t="str">
        <f t="shared" si="738"/>
        <v>0</v>
      </c>
      <c r="AE419" s="458" t="str">
        <f t="shared" si="10"/>
        <v>1</v>
      </c>
      <c r="AF419" s="459" t="str">
        <f t="shared" si="739"/>
        <v>0</v>
      </c>
      <c r="AG419" s="460"/>
      <c r="AH419" s="14"/>
      <c r="AI419" s="14"/>
      <c r="AJ419" s="14"/>
      <c r="AK419" s="14"/>
      <c r="AL419" s="14"/>
      <c r="AM419" s="14"/>
      <c r="AN419" s="14"/>
      <c r="AO419" s="14"/>
      <c r="AP419" s="14"/>
      <c r="AQ419" s="14"/>
      <c r="AR419" s="14"/>
      <c r="AS419" s="14"/>
      <c r="AT419" s="14"/>
    </row>
    <row r="420">
      <c r="A420" s="571"/>
      <c r="B420" s="467">
        <v>2.0</v>
      </c>
      <c r="C420" s="468" t="s">
        <v>1012</v>
      </c>
      <c r="D420" s="445" t="s">
        <v>10</v>
      </c>
      <c r="E420" s="445" t="s">
        <v>10</v>
      </c>
      <c r="F420" s="445" t="s">
        <v>77</v>
      </c>
      <c r="G420" s="447">
        <v>2.0</v>
      </c>
      <c r="H420" s="447">
        <v>0.0</v>
      </c>
      <c r="I420" s="746">
        <v>1.0</v>
      </c>
      <c r="J420" s="448">
        <v>1.0</v>
      </c>
      <c r="K420" s="644" t="s">
        <v>188</v>
      </c>
      <c r="L420" s="449"/>
      <c r="M420" s="644">
        <v>1.0</v>
      </c>
      <c r="N420" s="644">
        <v>1.0</v>
      </c>
      <c r="O420" s="450" t="s">
        <v>1013</v>
      </c>
      <c r="P420" s="14"/>
      <c r="Q420" s="452" t="str">
        <f>MATCH($D420,Reference!$J$5:$J$9,0)</f>
        <v>1</v>
      </c>
      <c r="R420" s="452" t="str">
        <f>MATCH($E420,Reference!$J$26:$J$32,0)</f>
        <v>1</v>
      </c>
      <c r="S420" s="452" t="str">
        <f>MATCH($F420,Reference!$J$45:$J$54,0)</f>
        <v>10</v>
      </c>
      <c r="T420" s="453" t="str">
        <f>MATCH($K420,Reference!$J$37:$J$39,0)</f>
        <v>3</v>
      </c>
      <c r="U420" s="454" t="str">
        <f t="shared" si="735"/>
        <v>2</v>
      </c>
      <c r="V420" s="454" t="str">
        <f t="shared" si="3"/>
        <v>1</v>
      </c>
      <c r="W420" s="455">
        <v>0.0</v>
      </c>
      <c r="X420" s="454" t="str">
        <f t="shared" si="736"/>
        <v>2</v>
      </c>
      <c r="Y420" s="456" t="str">
        <f t="shared" si="5"/>
        <v>FALSE</v>
      </c>
      <c r="Z420" s="456" t="str">
        <f t="shared" si="6"/>
        <v>FALSE</v>
      </c>
      <c r="AA420" s="457" t="str">
        <f t="shared" ref="AA420:AB420" si="750">1-I420</f>
        <v>0%</v>
      </c>
      <c r="AB420" s="457" t="str">
        <f t="shared" si="750"/>
        <v>0%</v>
      </c>
      <c r="AC420" s="456" t="str">
        <f t="shared" si="8"/>
        <v>2</v>
      </c>
      <c r="AD420" s="458" t="str">
        <f t="shared" si="738"/>
        <v>0</v>
      </c>
      <c r="AE420" s="458" t="str">
        <f t="shared" si="10"/>
        <v>1</v>
      </c>
      <c r="AF420" s="459" t="str">
        <f t="shared" si="739"/>
        <v>0</v>
      </c>
      <c r="AG420" s="460"/>
      <c r="AH420" s="14"/>
      <c r="AI420" s="14"/>
      <c r="AJ420" s="14"/>
      <c r="AK420" s="14"/>
      <c r="AL420" s="14"/>
      <c r="AM420" s="14"/>
      <c r="AN420" s="14"/>
      <c r="AO420" s="14"/>
      <c r="AP420" s="14"/>
      <c r="AQ420" s="14"/>
      <c r="AR420" s="14"/>
      <c r="AS420" s="14"/>
      <c r="AT420" s="14"/>
    </row>
    <row r="421">
      <c r="A421" s="442"/>
      <c r="B421" s="467">
        <v>2.0</v>
      </c>
      <c r="C421" s="468" t="s">
        <v>1014</v>
      </c>
      <c r="D421" s="445" t="s">
        <v>10</v>
      </c>
      <c r="E421" s="445" t="s">
        <v>10</v>
      </c>
      <c r="F421" s="445" t="s">
        <v>77</v>
      </c>
      <c r="G421" s="447">
        <v>2.0</v>
      </c>
      <c r="H421" s="447">
        <v>0.0</v>
      </c>
      <c r="I421" s="746">
        <v>1.0</v>
      </c>
      <c r="J421" s="448">
        <v>1.0</v>
      </c>
      <c r="K421" s="644" t="s">
        <v>188</v>
      </c>
      <c r="L421" s="449" t="s">
        <v>238</v>
      </c>
      <c r="M421" s="644">
        <v>2.0</v>
      </c>
      <c r="N421" s="644">
        <v>3.0</v>
      </c>
      <c r="O421" s="450"/>
      <c r="P421" s="14"/>
      <c r="Q421" s="452" t="str">
        <f>MATCH($D421,Reference!$J$5:$J$9,0)</f>
        <v>1</v>
      </c>
      <c r="R421" s="452" t="str">
        <f>MATCH($E421,Reference!$J$26:$J$32,0)</f>
        <v>1</v>
      </c>
      <c r="S421" s="452" t="str">
        <f>MATCH($F421,Reference!$J$45:$J$54,0)</f>
        <v>10</v>
      </c>
      <c r="T421" s="453" t="str">
        <f>MATCH($K421,Reference!$J$37:$J$39,0)</f>
        <v>3</v>
      </c>
      <c r="U421" s="454" t="str">
        <f t="shared" si="735"/>
        <v>2</v>
      </c>
      <c r="V421" s="454" t="str">
        <f t="shared" si="3"/>
        <v>1</v>
      </c>
      <c r="W421" s="455">
        <v>0.0</v>
      </c>
      <c r="X421" s="454" t="str">
        <f t="shared" si="736"/>
        <v>2</v>
      </c>
      <c r="Y421" s="456" t="str">
        <f t="shared" si="5"/>
        <v>FALSE</v>
      </c>
      <c r="Z421" s="456" t="str">
        <f t="shared" si="6"/>
        <v>FALSE</v>
      </c>
      <c r="AA421" s="457" t="str">
        <f t="shared" ref="AA421:AB421" si="751">1-I421</f>
        <v>0%</v>
      </c>
      <c r="AB421" s="457" t="str">
        <f t="shared" si="751"/>
        <v>0%</v>
      </c>
      <c r="AC421" s="456" t="str">
        <f t="shared" si="8"/>
        <v>2</v>
      </c>
      <c r="AD421" s="458" t="str">
        <f t="shared" si="738"/>
        <v>0</v>
      </c>
      <c r="AE421" s="458" t="str">
        <f t="shared" si="10"/>
        <v>1</v>
      </c>
      <c r="AF421" s="459" t="str">
        <f t="shared" si="739"/>
        <v>0</v>
      </c>
      <c r="AG421" s="460"/>
      <c r="AH421" s="14"/>
      <c r="AI421" s="14"/>
      <c r="AJ421" s="14"/>
      <c r="AK421" s="14"/>
      <c r="AL421" s="14"/>
      <c r="AM421" s="14"/>
      <c r="AN421" s="14"/>
      <c r="AO421" s="14"/>
      <c r="AP421" s="14"/>
      <c r="AQ421" s="14"/>
      <c r="AR421" s="14"/>
      <c r="AS421" s="14"/>
      <c r="AT421" s="14"/>
    </row>
    <row r="422">
      <c r="A422" s="509"/>
      <c r="B422" s="443">
        <v>3.0</v>
      </c>
      <c r="C422" s="444" t="s">
        <v>1015</v>
      </c>
      <c r="D422" s="445" t="s">
        <v>10</v>
      </c>
      <c r="E422" s="445" t="s">
        <v>10</v>
      </c>
      <c r="F422" s="445" t="s">
        <v>77</v>
      </c>
      <c r="G422" s="447">
        <v>2.0</v>
      </c>
      <c r="H422" s="447">
        <v>0.0</v>
      </c>
      <c r="I422" s="746">
        <v>1.0</v>
      </c>
      <c r="J422" s="448">
        <v>1.0</v>
      </c>
      <c r="K422" s="644" t="s">
        <v>188</v>
      </c>
      <c r="L422" s="449"/>
      <c r="M422" s="644">
        <v>1.0</v>
      </c>
      <c r="N422" s="644">
        <v>4.0</v>
      </c>
      <c r="O422" s="450" t="s">
        <v>426</v>
      </c>
      <c r="P422" s="14"/>
      <c r="Q422" s="452" t="str">
        <f>MATCH($D422,Reference!$J$5:$J$9,0)</f>
        <v>1</v>
      </c>
      <c r="R422" s="452" t="str">
        <f>MATCH($E422,Reference!$J$26:$J$32,0)</f>
        <v>1</v>
      </c>
      <c r="S422" s="452" t="str">
        <f>MATCH($F422,Reference!$J$45:$J$54,0)</f>
        <v>10</v>
      </c>
      <c r="T422" s="453" t="str">
        <f>MATCH($K422,Reference!$J$37:$J$39,0)</f>
        <v>3</v>
      </c>
      <c r="U422" s="454" t="str">
        <f t="shared" si="735"/>
        <v>2</v>
      </c>
      <c r="V422" s="454" t="str">
        <f t="shared" si="3"/>
        <v>1</v>
      </c>
      <c r="W422" s="455">
        <v>0.0</v>
      </c>
      <c r="X422" s="454" t="str">
        <f t="shared" si="736"/>
        <v>2</v>
      </c>
      <c r="Y422" s="456" t="str">
        <f t="shared" si="5"/>
        <v>FALSE</v>
      </c>
      <c r="Z422" s="456" t="str">
        <f t="shared" si="6"/>
        <v>FALSE</v>
      </c>
      <c r="AA422" s="457" t="str">
        <f t="shared" ref="AA422:AB422" si="752">1-I422</f>
        <v>0%</v>
      </c>
      <c r="AB422" s="457" t="str">
        <f t="shared" si="752"/>
        <v>0%</v>
      </c>
      <c r="AC422" s="456" t="str">
        <f t="shared" si="8"/>
        <v>2</v>
      </c>
      <c r="AD422" s="458" t="str">
        <f t="shared" si="738"/>
        <v>0</v>
      </c>
      <c r="AE422" s="458" t="str">
        <f t="shared" si="10"/>
        <v>1</v>
      </c>
      <c r="AF422" s="459" t="str">
        <f t="shared" si="739"/>
        <v>0</v>
      </c>
      <c r="AG422" s="460"/>
      <c r="AH422" s="14"/>
      <c r="AI422" s="14"/>
      <c r="AJ422" s="14"/>
      <c r="AK422" s="14"/>
      <c r="AL422" s="14"/>
      <c r="AM422" s="14"/>
      <c r="AN422" s="14"/>
      <c r="AO422" s="14"/>
      <c r="AP422" s="14"/>
      <c r="AQ422" s="14"/>
      <c r="AR422" s="14"/>
      <c r="AS422" s="14"/>
      <c r="AT422" s="14"/>
    </row>
    <row r="423">
      <c r="A423" s="463"/>
      <c r="B423" s="443">
        <v>3.0</v>
      </c>
      <c r="C423" s="444" t="s">
        <v>1016</v>
      </c>
      <c r="D423" s="445" t="s">
        <v>10</v>
      </c>
      <c r="E423" s="445" t="s">
        <v>10</v>
      </c>
      <c r="F423" s="445" t="s">
        <v>77</v>
      </c>
      <c r="G423" s="447">
        <v>2.0</v>
      </c>
      <c r="H423" s="447">
        <v>0.0</v>
      </c>
      <c r="I423" s="746">
        <v>1.0</v>
      </c>
      <c r="J423" s="448">
        <v>1.0</v>
      </c>
      <c r="K423" s="644" t="s">
        <v>188</v>
      </c>
      <c r="L423" s="449"/>
      <c r="M423" s="644">
        <v>2.0</v>
      </c>
      <c r="N423" s="644">
        <v>2.0</v>
      </c>
      <c r="O423" s="450" t="s">
        <v>996</v>
      </c>
      <c r="P423" s="14"/>
      <c r="Q423" s="452" t="str">
        <f>MATCH($D423,Reference!$J$5:$J$9,0)</f>
        <v>1</v>
      </c>
      <c r="R423" s="452" t="str">
        <f>MATCH($E423,Reference!$J$26:$J$32,0)</f>
        <v>1</v>
      </c>
      <c r="S423" s="452" t="str">
        <f>MATCH($F423,Reference!$J$45:$J$54,0)</f>
        <v>10</v>
      </c>
      <c r="T423" s="453" t="str">
        <f>MATCH($K423,Reference!$J$37:$J$39,0)</f>
        <v>3</v>
      </c>
      <c r="U423" s="454" t="str">
        <f t="shared" si="735"/>
        <v>2</v>
      </c>
      <c r="V423" s="454" t="str">
        <f t="shared" si="3"/>
        <v>1</v>
      </c>
      <c r="W423" s="455">
        <v>0.0</v>
      </c>
      <c r="X423" s="454" t="str">
        <f t="shared" si="736"/>
        <v>2</v>
      </c>
      <c r="Y423" s="456" t="str">
        <f t="shared" si="5"/>
        <v>FALSE</v>
      </c>
      <c r="Z423" s="456" t="str">
        <f t="shared" si="6"/>
        <v>FALSE</v>
      </c>
      <c r="AA423" s="457" t="str">
        <f t="shared" ref="AA423:AB423" si="753">1-I423</f>
        <v>0%</v>
      </c>
      <c r="AB423" s="457" t="str">
        <f t="shared" si="753"/>
        <v>0%</v>
      </c>
      <c r="AC423" s="456" t="str">
        <f t="shared" si="8"/>
        <v>2</v>
      </c>
      <c r="AD423" s="458" t="str">
        <f t="shared" si="738"/>
        <v>0</v>
      </c>
      <c r="AE423" s="458" t="str">
        <f t="shared" si="10"/>
        <v>1</v>
      </c>
      <c r="AF423" s="459" t="str">
        <f t="shared" si="739"/>
        <v>0</v>
      </c>
      <c r="AG423" s="460"/>
      <c r="AH423" s="14"/>
      <c r="AI423" s="14"/>
      <c r="AJ423" s="14"/>
      <c r="AK423" s="14"/>
      <c r="AL423" s="14"/>
      <c r="AM423" s="14"/>
      <c r="AN423" s="14"/>
      <c r="AO423" s="14"/>
      <c r="AP423" s="14"/>
      <c r="AQ423" s="14"/>
      <c r="AR423" s="14"/>
      <c r="AS423" s="14"/>
      <c r="AT423" s="14"/>
    </row>
    <row r="424">
      <c r="A424" s="509"/>
      <c r="B424" s="467">
        <v>3.0</v>
      </c>
      <c r="C424" s="468" t="s">
        <v>1017</v>
      </c>
      <c r="D424" s="445" t="s">
        <v>10</v>
      </c>
      <c r="E424" s="445" t="s">
        <v>10</v>
      </c>
      <c r="F424" s="445" t="s">
        <v>77</v>
      </c>
      <c r="G424" s="447">
        <v>2.0</v>
      </c>
      <c r="H424" s="447">
        <v>0.0</v>
      </c>
      <c r="I424" s="746">
        <v>1.0</v>
      </c>
      <c r="J424" s="448">
        <v>1.0</v>
      </c>
      <c r="K424" s="644" t="s">
        <v>188</v>
      </c>
      <c r="L424" s="449" t="s">
        <v>238</v>
      </c>
      <c r="M424" s="644">
        <v>3.0</v>
      </c>
      <c r="N424" s="644">
        <v>3.0</v>
      </c>
      <c r="O424" s="450" t="s">
        <v>189</v>
      </c>
      <c r="P424" s="14"/>
      <c r="Q424" s="452" t="str">
        <f>MATCH($D424,Reference!$J$5:$J$9,0)</f>
        <v>1</v>
      </c>
      <c r="R424" s="452" t="str">
        <f>MATCH($E424,Reference!$J$26:$J$32,0)</f>
        <v>1</v>
      </c>
      <c r="S424" s="452" t="str">
        <f>MATCH($F424,Reference!$J$45:$J$54,0)</f>
        <v>10</v>
      </c>
      <c r="T424" s="453" t="str">
        <f>MATCH($K424,Reference!$J$37:$J$39,0)</f>
        <v>3</v>
      </c>
      <c r="U424" s="454" t="str">
        <f t="shared" si="735"/>
        <v>2</v>
      </c>
      <c r="V424" s="454" t="str">
        <f t="shared" si="3"/>
        <v>1</v>
      </c>
      <c r="W424" s="455">
        <v>0.0</v>
      </c>
      <c r="X424" s="454" t="str">
        <f t="shared" si="736"/>
        <v>2</v>
      </c>
      <c r="Y424" s="456" t="str">
        <f t="shared" si="5"/>
        <v>FALSE</v>
      </c>
      <c r="Z424" s="456" t="str">
        <f t="shared" si="6"/>
        <v>FALSE</v>
      </c>
      <c r="AA424" s="457" t="str">
        <f t="shared" ref="AA424:AB424" si="754">1-I424</f>
        <v>0%</v>
      </c>
      <c r="AB424" s="457" t="str">
        <f t="shared" si="754"/>
        <v>0%</v>
      </c>
      <c r="AC424" s="456" t="str">
        <f t="shared" si="8"/>
        <v>2</v>
      </c>
      <c r="AD424" s="458" t="str">
        <f t="shared" si="738"/>
        <v>0</v>
      </c>
      <c r="AE424" s="458" t="str">
        <f t="shared" si="10"/>
        <v>1</v>
      </c>
      <c r="AF424" s="459" t="str">
        <f t="shared" si="739"/>
        <v>0</v>
      </c>
      <c r="AG424" s="460"/>
      <c r="AH424" s="14"/>
      <c r="AI424" s="14"/>
      <c r="AJ424" s="14"/>
      <c r="AK424" s="14"/>
      <c r="AL424" s="14"/>
      <c r="AM424" s="14"/>
      <c r="AN424" s="14"/>
      <c r="AO424" s="14"/>
      <c r="AP424" s="14"/>
      <c r="AQ424" s="14"/>
      <c r="AR424" s="14"/>
      <c r="AS424" s="14"/>
      <c r="AT424" s="14"/>
    </row>
    <row r="425">
      <c r="A425" s="469"/>
      <c r="B425" s="467">
        <v>3.0</v>
      </c>
      <c r="C425" s="468" t="s">
        <v>1018</v>
      </c>
      <c r="D425" s="445" t="s">
        <v>10</v>
      </c>
      <c r="E425" s="445" t="s">
        <v>10</v>
      </c>
      <c r="F425" s="445" t="s">
        <v>77</v>
      </c>
      <c r="G425" s="447">
        <v>2.0</v>
      </c>
      <c r="H425" s="447">
        <v>0.0</v>
      </c>
      <c r="I425" s="746">
        <v>1.0</v>
      </c>
      <c r="J425" s="448">
        <v>1.0</v>
      </c>
      <c r="K425" s="445" t="s">
        <v>188</v>
      </c>
      <c r="L425" s="445"/>
      <c r="M425" s="445">
        <v>5.0</v>
      </c>
      <c r="N425" s="447">
        <v>1.0</v>
      </c>
      <c r="O425" s="450"/>
      <c r="P425" s="14"/>
      <c r="Q425" s="452" t="str">
        <f>MATCH($D425,Reference!$J$5:$J$9,0)</f>
        <v>1</v>
      </c>
      <c r="R425" s="452" t="str">
        <f>MATCH($E425,Reference!$J$26:$J$32,0)</f>
        <v>1</v>
      </c>
      <c r="S425" s="452" t="str">
        <f>MATCH($F425,Reference!$J$45:$J$54,0)</f>
        <v>10</v>
      </c>
      <c r="T425" s="453" t="str">
        <f>MATCH($K425,Reference!$J$37:$J$39,0)</f>
        <v>3</v>
      </c>
      <c r="U425" s="454" t="str">
        <f t="shared" si="735"/>
        <v>2</v>
      </c>
      <c r="V425" s="454" t="str">
        <f t="shared" si="3"/>
        <v>1</v>
      </c>
      <c r="W425" s="455">
        <v>0.0</v>
      </c>
      <c r="X425" s="454" t="str">
        <f t="shared" si="736"/>
        <v>2</v>
      </c>
      <c r="Y425" s="456" t="str">
        <f t="shared" si="5"/>
        <v>FALSE</v>
      </c>
      <c r="Z425" s="456" t="str">
        <f t="shared" si="6"/>
        <v>FALSE</v>
      </c>
      <c r="AA425" s="457" t="str">
        <f t="shared" ref="AA425:AB425" si="755">1-I425</f>
        <v>0%</v>
      </c>
      <c r="AB425" s="457" t="str">
        <f t="shared" si="755"/>
        <v>0%</v>
      </c>
      <c r="AC425" s="456" t="str">
        <f t="shared" si="8"/>
        <v>2</v>
      </c>
      <c r="AD425" s="458" t="str">
        <f t="shared" si="738"/>
        <v>0</v>
      </c>
      <c r="AE425" s="458" t="str">
        <f t="shared" si="10"/>
        <v>1</v>
      </c>
      <c r="AF425" s="459" t="str">
        <f t="shared" si="739"/>
        <v>0</v>
      </c>
      <c r="AG425" s="460"/>
      <c r="AH425" s="14"/>
      <c r="AI425" s="14"/>
      <c r="AJ425" s="14"/>
      <c r="AK425" s="14"/>
      <c r="AL425" s="14"/>
      <c r="AM425" s="14"/>
      <c r="AN425" s="14"/>
      <c r="AO425" s="14"/>
      <c r="AP425" s="14"/>
      <c r="AQ425" s="14"/>
      <c r="AR425" s="14"/>
      <c r="AS425" s="14"/>
      <c r="AT425" s="14"/>
    </row>
    <row r="426">
      <c r="A426" s="466"/>
      <c r="B426" s="443">
        <v>3.0</v>
      </c>
      <c r="C426" s="444" t="s">
        <v>1019</v>
      </c>
      <c r="D426" s="445" t="s">
        <v>10</v>
      </c>
      <c r="E426" s="445" t="s">
        <v>10</v>
      </c>
      <c r="F426" s="445" t="s">
        <v>77</v>
      </c>
      <c r="G426" s="447">
        <v>2.0</v>
      </c>
      <c r="H426" s="447">
        <v>0.0</v>
      </c>
      <c r="I426" s="746">
        <v>1.0</v>
      </c>
      <c r="J426" s="448">
        <v>1.0</v>
      </c>
      <c r="K426" s="644" t="s">
        <v>188</v>
      </c>
      <c r="L426" s="449"/>
      <c r="M426" s="644">
        <v>2.0</v>
      </c>
      <c r="N426" s="644">
        <v>2.0</v>
      </c>
      <c r="O426" s="450" t="s">
        <v>1020</v>
      </c>
      <c r="P426" s="14"/>
      <c r="Q426" s="452" t="str">
        <f>MATCH($D426,Reference!$J$5:$J$9,0)</f>
        <v>1</v>
      </c>
      <c r="R426" s="452" t="str">
        <f>MATCH($E426,Reference!$J$26:$J$32,0)</f>
        <v>1</v>
      </c>
      <c r="S426" s="452" t="str">
        <f>MATCH($F426,Reference!$J$45:$J$54,0)</f>
        <v>10</v>
      </c>
      <c r="T426" s="453" t="str">
        <f>MATCH($K426,Reference!$J$37:$J$39,0)</f>
        <v>3</v>
      </c>
      <c r="U426" s="454" t="str">
        <f t="shared" si="735"/>
        <v>2</v>
      </c>
      <c r="V426" s="454" t="str">
        <f t="shared" si="3"/>
        <v>1</v>
      </c>
      <c r="W426" s="455">
        <v>0.0</v>
      </c>
      <c r="X426" s="454" t="str">
        <f t="shared" si="736"/>
        <v>2</v>
      </c>
      <c r="Y426" s="456" t="str">
        <f t="shared" si="5"/>
        <v>FALSE</v>
      </c>
      <c r="Z426" s="456" t="str">
        <f t="shared" si="6"/>
        <v>FALSE</v>
      </c>
      <c r="AA426" s="457" t="str">
        <f t="shared" ref="AA426:AB426" si="756">1-I426</f>
        <v>0%</v>
      </c>
      <c r="AB426" s="457" t="str">
        <f t="shared" si="756"/>
        <v>0%</v>
      </c>
      <c r="AC426" s="456" t="str">
        <f t="shared" si="8"/>
        <v>2</v>
      </c>
      <c r="AD426" s="458" t="str">
        <f t="shared" si="738"/>
        <v>0</v>
      </c>
      <c r="AE426" s="458" t="str">
        <f t="shared" si="10"/>
        <v>1</v>
      </c>
      <c r="AF426" s="459" t="str">
        <f t="shared" si="739"/>
        <v>0</v>
      </c>
      <c r="AG426" s="460"/>
      <c r="AH426" s="14"/>
      <c r="AI426" s="14"/>
      <c r="AJ426" s="14"/>
      <c r="AK426" s="14"/>
      <c r="AL426" s="14"/>
      <c r="AM426" s="14"/>
      <c r="AN426" s="14"/>
      <c r="AO426" s="14"/>
      <c r="AP426" s="14"/>
      <c r="AQ426" s="14"/>
      <c r="AR426" s="14"/>
      <c r="AS426" s="14"/>
      <c r="AT426" s="14"/>
    </row>
    <row r="427">
      <c r="A427" s="466"/>
      <c r="B427" s="443">
        <v>3.0</v>
      </c>
      <c r="C427" s="444" t="s">
        <v>1021</v>
      </c>
      <c r="D427" s="445" t="s">
        <v>10</v>
      </c>
      <c r="E427" s="445" t="s">
        <v>10</v>
      </c>
      <c r="F427" s="445" t="s">
        <v>77</v>
      </c>
      <c r="G427" s="447">
        <v>2.0</v>
      </c>
      <c r="H427" s="447">
        <v>0.0</v>
      </c>
      <c r="I427" s="746">
        <v>1.0</v>
      </c>
      <c r="J427" s="448">
        <v>1.0</v>
      </c>
      <c r="K427" s="644" t="s">
        <v>188</v>
      </c>
      <c r="L427" s="449"/>
      <c r="M427" s="644">
        <v>2.0</v>
      </c>
      <c r="N427" s="644">
        <v>3.0</v>
      </c>
      <c r="O427" s="450" t="s">
        <v>1022</v>
      </c>
      <c r="P427" s="14"/>
      <c r="Q427" s="452" t="str">
        <f>MATCH($D427,Reference!$J$5:$J$9,0)</f>
        <v>1</v>
      </c>
      <c r="R427" s="452" t="str">
        <f>MATCH($E427,Reference!$J$26:$J$32,0)</f>
        <v>1</v>
      </c>
      <c r="S427" s="452" t="str">
        <f>MATCH($F427,Reference!$J$45:$J$54,0)</f>
        <v>10</v>
      </c>
      <c r="T427" s="453" t="str">
        <f>MATCH($K427,Reference!$J$37:$J$39,0)</f>
        <v>3</v>
      </c>
      <c r="U427" s="454" t="str">
        <f t="shared" si="735"/>
        <v>2</v>
      </c>
      <c r="V427" s="454" t="str">
        <f t="shared" si="3"/>
        <v>1</v>
      </c>
      <c r="W427" s="455">
        <v>0.0</v>
      </c>
      <c r="X427" s="454" t="str">
        <f t="shared" si="736"/>
        <v>2</v>
      </c>
      <c r="Y427" s="456" t="str">
        <f t="shared" si="5"/>
        <v>FALSE</v>
      </c>
      <c r="Z427" s="456" t="str">
        <f t="shared" si="6"/>
        <v>FALSE</v>
      </c>
      <c r="AA427" s="457" t="str">
        <f t="shared" ref="AA427:AB427" si="757">1-I427</f>
        <v>0%</v>
      </c>
      <c r="AB427" s="457" t="str">
        <f t="shared" si="757"/>
        <v>0%</v>
      </c>
      <c r="AC427" s="456" t="str">
        <f t="shared" si="8"/>
        <v>2</v>
      </c>
      <c r="AD427" s="458" t="str">
        <f t="shared" si="738"/>
        <v>0</v>
      </c>
      <c r="AE427" s="458" t="str">
        <f t="shared" si="10"/>
        <v>1</v>
      </c>
      <c r="AF427" s="459" t="str">
        <f t="shared" si="739"/>
        <v>0</v>
      </c>
      <c r="AG427" s="460"/>
      <c r="AH427" s="14"/>
      <c r="AI427" s="14"/>
      <c r="AJ427" s="14"/>
      <c r="AK427" s="14"/>
      <c r="AL427" s="14"/>
      <c r="AM427" s="14"/>
      <c r="AN427" s="14"/>
      <c r="AO427" s="14"/>
      <c r="AP427" s="14"/>
      <c r="AQ427" s="14"/>
      <c r="AR427" s="14"/>
      <c r="AS427" s="14"/>
      <c r="AT427" s="14"/>
    </row>
    <row r="428">
      <c r="A428" s="472"/>
      <c r="B428" s="467">
        <v>3.0</v>
      </c>
      <c r="C428" s="468" t="s">
        <v>1023</v>
      </c>
      <c r="D428" s="445" t="s">
        <v>10</v>
      </c>
      <c r="E428" s="445" t="s">
        <v>10</v>
      </c>
      <c r="F428" s="445" t="s">
        <v>77</v>
      </c>
      <c r="G428" s="447">
        <v>2.0</v>
      </c>
      <c r="H428" s="447">
        <v>0.0</v>
      </c>
      <c r="I428" s="746">
        <v>1.0</v>
      </c>
      <c r="J428" s="448">
        <v>1.0</v>
      </c>
      <c r="K428" s="644" t="s">
        <v>188</v>
      </c>
      <c r="L428" s="449"/>
      <c r="M428" s="644">
        <v>3.0</v>
      </c>
      <c r="N428" s="644">
        <v>2.0</v>
      </c>
      <c r="O428" s="450" t="s">
        <v>1024</v>
      </c>
      <c r="P428" s="14"/>
      <c r="Q428" s="452" t="str">
        <f>MATCH($D428,Reference!$J$5:$J$9,0)</f>
        <v>1</v>
      </c>
      <c r="R428" s="452" t="str">
        <f>MATCH($E428,Reference!$J$26:$J$32,0)</f>
        <v>1</v>
      </c>
      <c r="S428" s="452" t="str">
        <f>MATCH($F428,Reference!$J$45:$J$54,0)</f>
        <v>10</v>
      </c>
      <c r="T428" s="453" t="str">
        <f>MATCH($K428,Reference!$J$37:$J$39,0)</f>
        <v>3</v>
      </c>
      <c r="U428" s="454" t="str">
        <f t="shared" si="735"/>
        <v>2</v>
      </c>
      <c r="V428" s="454" t="str">
        <f t="shared" si="3"/>
        <v>1</v>
      </c>
      <c r="W428" s="455">
        <v>0.0</v>
      </c>
      <c r="X428" s="454" t="str">
        <f t="shared" si="736"/>
        <v>2</v>
      </c>
      <c r="Y428" s="456" t="str">
        <f t="shared" si="5"/>
        <v>FALSE</v>
      </c>
      <c r="Z428" s="456" t="str">
        <f t="shared" si="6"/>
        <v>FALSE</v>
      </c>
      <c r="AA428" s="457" t="str">
        <f t="shared" ref="AA428:AB428" si="758">1-I428</f>
        <v>0%</v>
      </c>
      <c r="AB428" s="457" t="str">
        <f t="shared" si="758"/>
        <v>0%</v>
      </c>
      <c r="AC428" s="456" t="str">
        <f t="shared" si="8"/>
        <v>2</v>
      </c>
      <c r="AD428" s="458" t="str">
        <f t="shared" si="738"/>
        <v>0</v>
      </c>
      <c r="AE428" s="458" t="str">
        <f t="shared" si="10"/>
        <v>1</v>
      </c>
      <c r="AF428" s="459" t="str">
        <f t="shared" si="739"/>
        <v>0</v>
      </c>
      <c r="AG428" s="460"/>
      <c r="AH428" s="14"/>
      <c r="AI428" s="14"/>
      <c r="AJ428" s="14"/>
      <c r="AK428" s="14"/>
      <c r="AL428" s="14"/>
      <c r="AM428" s="14"/>
      <c r="AN428" s="14"/>
      <c r="AO428" s="14"/>
      <c r="AP428" s="14"/>
      <c r="AQ428" s="14"/>
      <c r="AR428" s="14"/>
      <c r="AS428" s="14"/>
      <c r="AT428" s="14"/>
    </row>
    <row r="429">
      <c r="A429" s="466"/>
      <c r="B429" s="467">
        <v>3.0</v>
      </c>
      <c r="C429" s="468" t="s">
        <v>1025</v>
      </c>
      <c r="D429" s="445" t="s">
        <v>10</v>
      </c>
      <c r="E429" s="445" t="s">
        <v>10</v>
      </c>
      <c r="F429" s="445" t="s">
        <v>77</v>
      </c>
      <c r="G429" s="447">
        <v>2.0</v>
      </c>
      <c r="H429" s="447">
        <v>0.0</v>
      </c>
      <c r="I429" s="746">
        <v>1.0</v>
      </c>
      <c r="J429" s="448">
        <v>1.0</v>
      </c>
      <c r="K429" s="644" t="s">
        <v>188</v>
      </c>
      <c r="L429" s="449" t="s">
        <v>238</v>
      </c>
      <c r="M429" s="644">
        <v>1.0</v>
      </c>
      <c r="N429" s="644">
        <v>4.0</v>
      </c>
      <c r="O429" s="450" t="s">
        <v>189</v>
      </c>
      <c r="P429" s="14"/>
      <c r="Q429" s="452" t="str">
        <f>MATCH($D429,Reference!$J$5:$J$9,0)</f>
        <v>1</v>
      </c>
      <c r="R429" s="452" t="str">
        <f>MATCH($E429,Reference!$J$26:$J$32,0)</f>
        <v>1</v>
      </c>
      <c r="S429" s="452" t="str">
        <f>MATCH($F429,Reference!$J$45:$J$54,0)</f>
        <v>10</v>
      </c>
      <c r="T429" s="453" t="str">
        <f>MATCH($K429,Reference!$J$37:$J$39,0)</f>
        <v>3</v>
      </c>
      <c r="U429" s="454" t="str">
        <f t="shared" si="735"/>
        <v>2</v>
      </c>
      <c r="V429" s="454" t="str">
        <f t="shared" si="3"/>
        <v>1</v>
      </c>
      <c r="W429" s="455">
        <v>0.0</v>
      </c>
      <c r="X429" s="454" t="str">
        <f t="shared" si="736"/>
        <v>2</v>
      </c>
      <c r="Y429" s="456" t="str">
        <f t="shared" si="5"/>
        <v>FALSE</v>
      </c>
      <c r="Z429" s="456" t="str">
        <f t="shared" si="6"/>
        <v>FALSE</v>
      </c>
      <c r="AA429" s="457" t="str">
        <f t="shared" ref="AA429:AB429" si="759">1-I429</f>
        <v>0%</v>
      </c>
      <c r="AB429" s="457" t="str">
        <f t="shared" si="759"/>
        <v>0%</v>
      </c>
      <c r="AC429" s="456" t="str">
        <f t="shared" si="8"/>
        <v>2</v>
      </c>
      <c r="AD429" s="458" t="str">
        <f t="shared" si="738"/>
        <v>0</v>
      </c>
      <c r="AE429" s="458" t="str">
        <f t="shared" si="10"/>
        <v>1</v>
      </c>
      <c r="AF429" s="459" t="str">
        <f t="shared" si="739"/>
        <v>0</v>
      </c>
      <c r="AG429" s="460"/>
      <c r="AH429" s="14"/>
      <c r="AI429" s="14"/>
      <c r="AJ429" s="14"/>
      <c r="AK429" s="14"/>
      <c r="AL429" s="14"/>
      <c r="AM429" s="14"/>
      <c r="AN429" s="14"/>
      <c r="AO429" s="14"/>
      <c r="AP429" s="14"/>
      <c r="AQ429" s="14"/>
      <c r="AR429" s="14"/>
      <c r="AS429" s="14"/>
      <c r="AT429" s="14"/>
    </row>
    <row r="430">
      <c r="A430" s="466"/>
      <c r="B430" s="467">
        <v>3.0</v>
      </c>
      <c r="C430" s="468" t="s">
        <v>1026</v>
      </c>
      <c r="D430" s="445" t="s">
        <v>10</v>
      </c>
      <c r="E430" s="445" t="s">
        <v>10</v>
      </c>
      <c r="F430" s="445" t="s">
        <v>77</v>
      </c>
      <c r="G430" s="447">
        <v>2.0</v>
      </c>
      <c r="H430" s="447">
        <v>0.0</v>
      </c>
      <c r="I430" s="746">
        <v>1.0</v>
      </c>
      <c r="J430" s="448">
        <v>1.0</v>
      </c>
      <c r="K430" s="644" t="s">
        <v>188</v>
      </c>
      <c r="L430" s="449"/>
      <c r="M430" s="644">
        <v>3.0</v>
      </c>
      <c r="N430" s="644">
        <v>1.0</v>
      </c>
      <c r="O430" s="450" t="s">
        <v>365</v>
      </c>
      <c r="P430" s="14"/>
      <c r="Q430" s="452" t="str">
        <f>MATCH($D430,Reference!$J$5:$J$9,0)</f>
        <v>1</v>
      </c>
      <c r="R430" s="452" t="str">
        <f>MATCH($E430,Reference!$J$26:$J$32,0)</f>
        <v>1</v>
      </c>
      <c r="S430" s="452" t="str">
        <f>MATCH($F430,Reference!$J$45:$J$54,0)</f>
        <v>10</v>
      </c>
      <c r="T430" s="453" t="str">
        <f>MATCH($K430,Reference!$J$37:$J$39,0)</f>
        <v>3</v>
      </c>
      <c r="U430" s="454" t="str">
        <f t="shared" si="735"/>
        <v>2</v>
      </c>
      <c r="V430" s="454" t="str">
        <f t="shared" si="3"/>
        <v>1</v>
      </c>
      <c r="W430" s="455">
        <v>0.0</v>
      </c>
      <c r="X430" s="454" t="str">
        <f t="shared" si="736"/>
        <v>2</v>
      </c>
      <c r="Y430" s="456" t="str">
        <f t="shared" si="5"/>
        <v>FALSE</v>
      </c>
      <c r="Z430" s="456" t="str">
        <f t="shared" si="6"/>
        <v>FALSE</v>
      </c>
      <c r="AA430" s="457" t="str">
        <f t="shared" ref="AA430:AB430" si="760">1-I430</f>
        <v>0%</v>
      </c>
      <c r="AB430" s="457" t="str">
        <f t="shared" si="760"/>
        <v>0%</v>
      </c>
      <c r="AC430" s="456" t="str">
        <f t="shared" si="8"/>
        <v>2</v>
      </c>
      <c r="AD430" s="458" t="str">
        <f t="shared" si="738"/>
        <v>0</v>
      </c>
      <c r="AE430" s="458" t="str">
        <f t="shared" si="10"/>
        <v>1</v>
      </c>
      <c r="AF430" s="459" t="str">
        <f t="shared" si="739"/>
        <v>0</v>
      </c>
      <c r="AG430" s="460"/>
      <c r="AH430" s="14"/>
      <c r="AI430" s="14"/>
      <c r="AJ430" s="14"/>
      <c r="AK430" s="14"/>
      <c r="AL430" s="14"/>
      <c r="AM430" s="14"/>
      <c r="AN430" s="14"/>
      <c r="AO430" s="14"/>
      <c r="AP430" s="14"/>
      <c r="AQ430" s="14"/>
      <c r="AR430" s="14"/>
      <c r="AS430" s="14"/>
      <c r="AT430" s="14"/>
    </row>
    <row r="431">
      <c r="A431" s="463"/>
      <c r="B431" s="467">
        <v>4.0</v>
      </c>
      <c r="C431" s="468" t="s">
        <v>1027</v>
      </c>
      <c r="D431" s="445" t="s">
        <v>10</v>
      </c>
      <c r="E431" s="445" t="s">
        <v>10</v>
      </c>
      <c r="F431" s="445" t="s">
        <v>77</v>
      </c>
      <c r="G431" s="447">
        <v>2.0</v>
      </c>
      <c r="H431" s="447">
        <v>0.0</v>
      </c>
      <c r="I431" s="746">
        <v>1.0</v>
      </c>
      <c r="J431" s="448">
        <v>1.0</v>
      </c>
      <c r="K431" s="644" t="s">
        <v>188</v>
      </c>
      <c r="L431" s="449"/>
      <c r="M431" s="644">
        <v>4.0</v>
      </c>
      <c r="N431" s="644">
        <v>5.0</v>
      </c>
      <c r="O431" s="450"/>
      <c r="P431" s="14"/>
      <c r="Q431" s="452" t="str">
        <f>MATCH($D431,Reference!$J$5:$J$9,0)</f>
        <v>1</v>
      </c>
      <c r="R431" s="452" t="str">
        <f>MATCH($E431,Reference!$J$26:$J$32,0)</f>
        <v>1</v>
      </c>
      <c r="S431" s="452" t="str">
        <f>MATCH($F431,Reference!$J$45:$J$54,0)</f>
        <v>10</v>
      </c>
      <c r="T431" s="453" t="str">
        <f>MATCH($K431,Reference!$J$37:$J$39,0)</f>
        <v>3</v>
      </c>
      <c r="U431" s="454" t="str">
        <f t="shared" si="735"/>
        <v>2</v>
      </c>
      <c r="V431" s="454" t="str">
        <f t="shared" si="3"/>
        <v>1</v>
      </c>
      <c r="W431" s="455">
        <v>0.0</v>
      </c>
      <c r="X431" s="454" t="str">
        <f t="shared" si="736"/>
        <v>2</v>
      </c>
      <c r="Y431" s="456" t="str">
        <f t="shared" si="5"/>
        <v>FALSE</v>
      </c>
      <c r="Z431" s="456" t="str">
        <f t="shared" si="6"/>
        <v>FALSE</v>
      </c>
      <c r="AA431" s="457" t="str">
        <f t="shared" ref="AA431:AB431" si="761">1-I431</f>
        <v>0%</v>
      </c>
      <c r="AB431" s="457" t="str">
        <f t="shared" si="761"/>
        <v>0%</v>
      </c>
      <c r="AC431" s="456" t="str">
        <f t="shared" si="8"/>
        <v>2</v>
      </c>
      <c r="AD431" s="458" t="str">
        <f t="shared" si="738"/>
        <v>0</v>
      </c>
      <c r="AE431" s="458" t="str">
        <f t="shared" si="10"/>
        <v>1</v>
      </c>
      <c r="AF431" s="459" t="str">
        <f t="shared" si="739"/>
        <v>0</v>
      </c>
      <c r="AG431" s="460"/>
      <c r="AH431" s="14"/>
      <c r="AI431" s="14"/>
      <c r="AJ431" s="14"/>
      <c r="AK431" s="14"/>
      <c r="AL431" s="14"/>
      <c r="AM431" s="14"/>
      <c r="AN431" s="14"/>
      <c r="AO431" s="14"/>
      <c r="AP431" s="14"/>
      <c r="AQ431" s="14"/>
      <c r="AR431" s="14"/>
      <c r="AS431" s="14"/>
      <c r="AT431" s="14"/>
    </row>
    <row r="432">
      <c r="A432" s="442"/>
      <c r="B432" s="443">
        <v>4.0</v>
      </c>
      <c r="C432" s="444" t="s">
        <v>1028</v>
      </c>
      <c r="D432" s="445" t="s">
        <v>10</v>
      </c>
      <c r="E432" s="445" t="s">
        <v>10</v>
      </c>
      <c r="F432" s="445" t="s">
        <v>77</v>
      </c>
      <c r="G432" s="447">
        <v>2.0</v>
      </c>
      <c r="H432" s="447">
        <v>0.0</v>
      </c>
      <c r="I432" s="746">
        <v>1.0</v>
      </c>
      <c r="J432" s="448">
        <v>1.0</v>
      </c>
      <c r="K432" s="644" t="s">
        <v>188</v>
      </c>
      <c r="L432" s="449"/>
      <c r="M432" s="644">
        <v>2.0</v>
      </c>
      <c r="N432" s="644">
        <v>4.0</v>
      </c>
      <c r="O432" s="450" t="s">
        <v>1029</v>
      </c>
      <c r="P432" s="14"/>
      <c r="Q432" s="452" t="str">
        <f>MATCH($D432,Reference!$J$5:$J$9,0)</f>
        <v>1</v>
      </c>
      <c r="R432" s="452" t="str">
        <f>MATCH($E432,Reference!$J$26:$J$32,0)</f>
        <v>1</v>
      </c>
      <c r="S432" s="452" t="str">
        <f>MATCH($F432,Reference!$J$45:$J$54,0)</f>
        <v>10</v>
      </c>
      <c r="T432" s="453" t="str">
        <f>MATCH($K432,Reference!$J$37:$J$39,0)</f>
        <v>3</v>
      </c>
      <c r="U432" s="454" t="str">
        <f t="shared" si="735"/>
        <v>2</v>
      </c>
      <c r="V432" s="454" t="str">
        <f t="shared" si="3"/>
        <v>1</v>
      </c>
      <c r="W432" s="455">
        <v>0.0</v>
      </c>
      <c r="X432" s="454" t="str">
        <f t="shared" si="736"/>
        <v>2</v>
      </c>
      <c r="Y432" s="456" t="str">
        <f t="shared" si="5"/>
        <v>FALSE</v>
      </c>
      <c r="Z432" s="456" t="str">
        <f t="shared" si="6"/>
        <v>FALSE</v>
      </c>
      <c r="AA432" s="457" t="str">
        <f t="shared" ref="AA432:AB432" si="762">1-I432</f>
        <v>0%</v>
      </c>
      <c r="AB432" s="457" t="str">
        <f t="shared" si="762"/>
        <v>0%</v>
      </c>
      <c r="AC432" s="456" t="str">
        <f t="shared" si="8"/>
        <v>2</v>
      </c>
      <c r="AD432" s="458" t="str">
        <f t="shared" si="738"/>
        <v>0</v>
      </c>
      <c r="AE432" s="458" t="str">
        <f t="shared" si="10"/>
        <v>1</v>
      </c>
      <c r="AF432" s="459" t="str">
        <f t="shared" si="739"/>
        <v>0</v>
      </c>
      <c r="AG432" s="460"/>
      <c r="AH432" s="14"/>
      <c r="AI432" s="14"/>
      <c r="AJ432" s="14"/>
      <c r="AK432" s="14"/>
      <c r="AL432" s="14"/>
      <c r="AM432" s="14"/>
      <c r="AN432" s="14"/>
      <c r="AO432" s="14"/>
      <c r="AP432" s="14"/>
      <c r="AQ432" s="14"/>
      <c r="AR432" s="14"/>
      <c r="AS432" s="14"/>
      <c r="AT432" s="14"/>
    </row>
    <row r="433">
      <c r="A433" s="442"/>
      <c r="B433" s="443">
        <v>4.0</v>
      </c>
      <c r="C433" s="444" t="s">
        <v>1030</v>
      </c>
      <c r="D433" s="445" t="s">
        <v>10</v>
      </c>
      <c r="E433" s="445" t="s">
        <v>10</v>
      </c>
      <c r="F433" s="445" t="s">
        <v>77</v>
      </c>
      <c r="G433" s="447">
        <v>2.0</v>
      </c>
      <c r="H433" s="447">
        <v>0.0</v>
      </c>
      <c r="I433" s="746">
        <v>1.0</v>
      </c>
      <c r="J433" s="448">
        <v>1.0</v>
      </c>
      <c r="K433" s="644" t="s">
        <v>188</v>
      </c>
      <c r="L433" s="449"/>
      <c r="M433" s="644">
        <v>2.0</v>
      </c>
      <c r="N433" s="644">
        <v>4.0</v>
      </c>
      <c r="O433" s="450" t="s">
        <v>1013</v>
      </c>
      <c r="P433" s="14"/>
      <c r="Q433" s="452" t="str">
        <f>MATCH($D433,Reference!$J$5:$J$9,0)</f>
        <v>1</v>
      </c>
      <c r="R433" s="452" t="str">
        <f>MATCH($E433,Reference!$J$26:$J$32,0)</f>
        <v>1</v>
      </c>
      <c r="S433" s="452" t="str">
        <f>MATCH($F433,Reference!$J$45:$J$54,0)</f>
        <v>10</v>
      </c>
      <c r="T433" s="453" t="str">
        <f>MATCH($K433,Reference!$J$37:$J$39,0)</f>
        <v>3</v>
      </c>
      <c r="U433" s="454" t="str">
        <f t="shared" si="735"/>
        <v>2</v>
      </c>
      <c r="V433" s="454" t="str">
        <f t="shared" si="3"/>
        <v>1</v>
      </c>
      <c r="W433" s="455">
        <v>0.0</v>
      </c>
      <c r="X433" s="454" t="str">
        <f t="shared" si="736"/>
        <v>2</v>
      </c>
      <c r="Y433" s="456" t="str">
        <f t="shared" si="5"/>
        <v>FALSE</v>
      </c>
      <c r="Z433" s="456" t="str">
        <f t="shared" si="6"/>
        <v>FALSE</v>
      </c>
      <c r="AA433" s="457" t="str">
        <f t="shared" ref="AA433:AB433" si="763">1-I433</f>
        <v>0%</v>
      </c>
      <c r="AB433" s="457" t="str">
        <f t="shared" si="763"/>
        <v>0%</v>
      </c>
      <c r="AC433" s="456" t="str">
        <f t="shared" si="8"/>
        <v>2</v>
      </c>
      <c r="AD433" s="458" t="str">
        <f t="shared" si="738"/>
        <v>0</v>
      </c>
      <c r="AE433" s="458" t="str">
        <f t="shared" si="10"/>
        <v>1</v>
      </c>
      <c r="AF433" s="459" t="str">
        <f t="shared" si="739"/>
        <v>0</v>
      </c>
      <c r="AG433" s="460"/>
      <c r="AH433" s="14"/>
      <c r="AI433" s="14"/>
      <c r="AJ433" s="14"/>
      <c r="AK433" s="14"/>
      <c r="AL433" s="14"/>
      <c r="AM433" s="14"/>
      <c r="AN433" s="14"/>
      <c r="AO433" s="14"/>
      <c r="AP433" s="14"/>
      <c r="AQ433" s="14"/>
      <c r="AR433" s="14"/>
      <c r="AS433" s="14"/>
      <c r="AT433" s="14"/>
    </row>
    <row r="434">
      <c r="A434" s="463"/>
      <c r="B434" s="443">
        <v>4.0</v>
      </c>
      <c r="C434" s="444" t="s">
        <v>1031</v>
      </c>
      <c r="D434" s="445" t="s">
        <v>10</v>
      </c>
      <c r="E434" s="445" t="s">
        <v>10</v>
      </c>
      <c r="F434" s="445" t="s">
        <v>77</v>
      </c>
      <c r="G434" s="447">
        <v>2.0</v>
      </c>
      <c r="H434" s="447">
        <v>0.0</v>
      </c>
      <c r="I434" s="746">
        <v>1.0</v>
      </c>
      <c r="J434" s="448">
        <v>1.0</v>
      </c>
      <c r="K434" s="644" t="s">
        <v>188</v>
      </c>
      <c r="L434" s="449" t="s">
        <v>238</v>
      </c>
      <c r="M434" s="644">
        <v>2.0</v>
      </c>
      <c r="N434" s="644">
        <v>7.0</v>
      </c>
      <c r="O434" s="450"/>
      <c r="P434" s="14"/>
      <c r="Q434" s="452" t="str">
        <f>MATCH($D434,Reference!$J$5:$J$9,0)</f>
        <v>1</v>
      </c>
      <c r="R434" s="452" t="str">
        <f>MATCH($E434,Reference!$J$26:$J$32,0)</f>
        <v>1</v>
      </c>
      <c r="S434" s="452" t="str">
        <f>MATCH($F434,Reference!$J$45:$J$54,0)</f>
        <v>10</v>
      </c>
      <c r="T434" s="453" t="str">
        <f>MATCH($K434,Reference!$J$37:$J$39,0)</f>
        <v>3</v>
      </c>
      <c r="U434" s="454" t="str">
        <f t="shared" si="735"/>
        <v>2</v>
      </c>
      <c r="V434" s="454" t="str">
        <f t="shared" si="3"/>
        <v>1</v>
      </c>
      <c r="W434" s="455">
        <v>0.0</v>
      </c>
      <c r="X434" s="454" t="str">
        <f t="shared" si="736"/>
        <v>2</v>
      </c>
      <c r="Y434" s="456" t="str">
        <f t="shared" si="5"/>
        <v>FALSE</v>
      </c>
      <c r="Z434" s="456" t="str">
        <f t="shared" si="6"/>
        <v>FALSE</v>
      </c>
      <c r="AA434" s="457" t="str">
        <f t="shared" ref="AA434:AB434" si="764">1-I434</f>
        <v>0%</v>
      </c>
      <c r="AB434" s="457" t="str">
        <f t="shared" si="764"/>
        <v>0%</v>
      </c>
      <c r="AC434" s="456" t="str">
        <f t="shared" si="8"/>
        <v>2</v>
      </c>
      <c r="AD434" s="458" t="str">
        <f t="shared" si="738"/>
        <v>0</v>
      </c>
      <c r="AE434" s="458" t="str">
        <f t="shared" si="10"/>
        <v>1</v>
      </c>
      <c r="AF434" s="459" t="str">
        <f t="shared" si="739"/>
        <v>0</v>
      </c>
      <c r="AG434" s="460"/>
      <c r="AH434" s="14"/>
      <c r="AI434" s="14"/>
      <c r="AJ434" s="14"/>
      <c r="AK434" s="14"/>
      <c r="AL434" s="14"/>
      <c r="AM434" s="14"/>
      <c r="AN434" s="14"/>
      <c r="AO434" s="14"/>
      <c r="AP434" s="14"/>
      <c r="AQ434" s="14"/>
      <c r="AR434" s="14"/>
      <c r="AS434" s="14"/>
      <c r="AT434" s="14"/>
    </row>
    <row r="435">
      <c r="A435" s="442"/>
      <c r="B435" s="443">
        <v>4.0</v>
      </c>
      <c r="C435" s="444" t="s">
        <v>1032</v>
      </c>
      <c r="D435" s="445" t="s">
        <v>10</v>
      </c>
      <c r="E435" s="445" t="s">
        <v>10</v>
      </c>
      <c r="F435" s="445" t="s">
        <v>77</v>
      </c>
      <c r="G435" s="447">
        <v>2.0</v>
      </c>
      <c r="H435" s="447">
        <v>0.0</v>
      </c>
      <c r="I435" s="746">
        <v>1.0</v>
      </c>
      <c r="J435" s="448">
        <v>1.0</v>
      </c>
      <c r="K435" s="644" t="s">
        <v>188</v>
      </c>
      <c r="L435" s="449"/>
      <c r="M435" s="644">
        <v>4.0</v>
      </c>
      <c r="N435" s="644">
        <v>4.0</v>
      </c>
      <c r="O435" s="450" t="s">
        <v>426</v>
      </c>
      <c r="P435" s="14"/>
      <c r="Q435" s="452" t="str">
        <f>MATCH($D435,Reference!$J$5:$J$9,0)</f>
        <v>1</v>
      </c>
      <c r="R435" s="452" t="str">
        <f>MATCH($E435,Reference!$J$26:$J$32,0)</f>
        <v>1</v>
      </c>
      <c r="S435" s="452" t="str">
        <f>MATCH($F435,Reference!$J$45:$J$54,0)</f>
        <v>10</v>
      </c>
      <c r="T435" s="453" t="str">
        <f>MATCH($K435,Reference!$J$37:$J$39,0)</f>
        <v>3</v>
      </c>
      <c r="U435" s="454" t="str">
        <f t="shared" si="735"/>
        <v>2</v>
      </c>
      <c r="V435" s="454" t="str">
        <f t="shared" si="3"/>
        <v>1</v>
      </c>
      <c r="W435" s="455">
        <v>0.0</v>
      </c>
      <c r="X435" s="454" t="str">
        <f t="shared" si="736"/>
        <v>2</v>
      </c>
      <c r="Y435" s="456" t="str">
        <f t="shared" si="5"/>
        <v>FALSE</v>
      </c>
      <c r="Z435" s="456" t="str">
        <f t="shared" si="6"/>
        <v>FALSE</v>
      </c>
      <c r="AA435" s="457" t="str">
        <f t="shared" ref="AA435:AB435" si="765">1-I435</f>
        <v>0%</v>
      </c>
      <c r="AB435" s="457" t="str">
        <f t="shared" si="765"/>
        <v>0%</v>
      </c>
      <c r="AC435" s="456" t="str">
        <f t="shared" si="8"/>
        <v>2</v>
      </c>
      <c r="AD435" s="458" t="str">
        <f t="shared" si="738"/>
        <v>0</v>
      </c>
      <c r="AE435" s="458" t="str">
        <f t="shared" si="10"/>
        <v>1</v>
      </c>
      <c r="AF435" s="459" t="str">
        <f t="shared" si="739"/>
        <v>0</v>
      </c>
      <c r="AG435" s="460"/>
      <c r="AH435" s="14"/>
      <c r="AI435" s="14"/>
      <c r="AJ435" s="14"/>
      <c r="AK435" s="14"/>
      <c r="AL435" s="14"/>
      <c r="AM435" s="14"/>
      <c r="AN435" s="14"/>
      <c r="AO435" s="14"/>
      <c r="AP435" s="14"/>
      <c r="AQ435" s="14"/>
      <c r="AR435" s="14"/>
      <c r="AS435" s="14"/>
      <c r="AT435" s="14"/>
    </row>
    <row r="436">
      <c r="A436" s="463"/>
      <c r="B436" s="443">
        <v>4.0</v>
      </c>
      <c r="C436" s="444" t="s">
        <v>1033</v>
      </c>
      <c r="D436" s="445" t="s">
        <v>10</v>
      </c>
      <c r="E436" s="445" t="s">
        <v>10</v>
      </c>
      <c r="F436" s="445" t="s">
        <v>77</v>
      </c>
      <c r="G436" s="447">
        <v>2.0</v>
      </c>
      <c r="H436" s="447">
        <v>0.0</v>
      </c>
      <c r="I436" s="746">
        <v>1.0</v>
      </c>
      <c r="J436" s="448">
        <v>1.0</v>
      </c>
      <c r="K436" s="644" t="s">
        <v>188</v>
      </c>
      <c r="L436" s="449"/>
      <c r="M436" s="644">
        <v>3.0</v>
      </c>
      <c r="N436" s="644">
        <v>5.0</v>
      </c>
      <c r="O436" s="450" t="s">
        <v>189</v>
      </c>
      <c r="P436" s="14"/>
      <c r="Q436" s="452" t="str">
        <f>MATCH($D436,Reference!$J$5:$J$9,0)</f>
        <v>1</v>
      </c>
      <c r="R436" s="452" t="str">
        <f>MATCH($E436,Reference!$J$26:$J$32,0)</f>
        <v>1</v>
      </c>
      <c r="S436" s="452" t="str">
        <f>MATCH($F436,Reference!$J$45:$J$54,0)</f>
        <v>10</v>
      </c>
      <c r="T436" s="453" t="str">
        <f>MATCH($K436,Reference!$J$37:$J$39,0)</f>
        <v>3</v>
      </c>
      <c r="U436" s="454" t="str">
        <f t="shared" si="735"/>
        <v>2</v>
      </c>
      <c r="V436" s="454" t="str">
        <f t="shared" si="3"/>
        <v>1</v>
      </c>
      <c r="W436" s="455">
        <v>0.0</v>
      </c>
      <c r="X436" s="454" t="str">
        <f t="shared" si="736"/>
        <v>2</v>
      </c>
      <c r="Y436" s="456" t="str">
        <f t="shared" si="5"/>
        <v>FALSE</v>
      </c>
      <c r="Z436" s="456" t="str">
        <f t="shared" si="6"/>
        <v>FALSE</v>
      </c>
      <c r="AA436" s="457" t="str">
        <f t="shared" ref="AA436:AB436" si="766">1-I436</f>
        <v>0%</v>
      </c>
      <c r="AB436" s="457" t="str">
        <f t="shared" si="766"/>
        <v>0%</v>
      </c>
      <c r="AC436" s="456" t="str">
        <f t="shared" si="8"/>
        <v>2</v>
      </c>
      <c r="AD436" s="458" t="str">
        <f t="shared" si="738"/>
        <v>0</v>
      </c>
      <c r="AE436" s="458" t="str">
        <f t="shared" si="10"/>
        <v>1</v>
      </c>
      <c r="AF436" s="459" t="str">
        <f t="shared" si="739"/>
        <v>0</v>
      </c>
      <c r="AG436" s="460"/>
      <c r="AH436" s="14"/>
      <c r="AI436" s="14"/>
      <c r="AJ436" s="14"/>
      <c r="AK436" s="14"/>
      <c r="AL436" s="14"/>
      <c r="AM436" s="14"/>
      <c r="AN436" s="14"/>
      <c r="AO436" s="14"/>
      <c r="AP436" s="14"/>
      <c r="AQ436" s="14"/>
      <c r="AR436" s="14"/>
      <c r="AS436" s="14"/>
      <c r="AT436" s="14"/>
    </row>
    <row r="437">
      <c r="A437" s="509"/>
      <c r="B437" s="443">
        <v>4.0</v>
      </c>
      <c r="C437" s="444" t="s">
        <v>1034</v>
      </c>
      <c r="D437" s="445" t="s">
        <v>10</v>
      </c>
      <c r="E437" s="445" t="s">
        <v>10</v>
      </c>
      <c r="F437" s="445" t="s">
        <v>77</v>
      </c>
      <c r="G437" s="447">
        <v>2.0</v>
      </c>
      <c r="H437" s="447">
        <v>0.0</v>
      </c>
      <c r="I437" s="746">
        <v>1.0</v>
      </c>
      <c r="J437" s="448">
        <v>1.0</v>
      </c>
      <c r="K437" s="644" t="s">
        <v>188</v>
      </c>
      <c r="L437" s="449"/>
      <c r="M437" s="644">
        <v>2.0</v>
      </c>
      <c r="N437" s="644">
        <v>5.0</v>
      </c>
      <c r="O437" s="450" t="s">
        <v>365</v>
      </c>
      <c r="P437" s="14"/>
      <c r="Q437" s="452" t="str">
        <f>MATCH($D437,Reference!$J$5:$J$9,0)</f>
        <v>1</v>
      </c>
      <c r="R437" s="452" t="str">
        <f>MATCH($E437,Reference!$J$26:$J$32,0)</f>
        <v>1</v>
      </c>
      <c r="S437" s="452" t="str">
        <f>MATCH($F437,Reference!$J$45:$J$54,0)</f>
        <v>10</v>
      </c>
      <c r="T437" s="453" t="str">
        <f>MATCH($K437,Reference!$J$37:$J$39,0)</f>
        <v>3</v>
      </c>
      <c r="U437" s="454" t="str">
        <f t="shared" si="735"/>
        <v>2</v>
      </c>
      <c r="V437" s="454" t="str">
        <f t="shared" si="3"/>
        <v>1</v>
      </c>
      <c r="W437" s="455">
        <v>0.0</v>
      </c>
      <c r="X437" s="454" t="str">
        <f t="shared" si="736"/>
        <v>2</v>
      </c>
      <c r="Y437" s="456" t="str">
        <f t="shared" si="5"/>
        <v>FALSE</v>
      </c>
      <c r="Z437" s="456" t="str">
        <f t="shared" si="6"/>
        <v>FALSE</v>
      </c>
      <c r="AA437" s="457" t="str">
        <f t="shared" ref="AA437:AB437" si="767">1-I437</f>
        <v>0%</v>
      </c>
      <c r="AB437" s="457" t="str">
        <f t="shared" si="767"/>
        <v>0%</v>
      </c>
      <c r="AC437" s="456" t="str">
        <f t="shared" si="8"/>
        <v>2</v>
      </c>
      <c r="AD437" s="458" t="str">
        <f t="shared" si="738"/>
        <v>0</v>
      </c>
      <c r="AE437" s="458" t="str">
        <f t="shared" si="10"/>
        <v>1</v>
      </c>
      <c r="AF437" s="459" t="str">
        <f t="shared" si="739"/>
        <v>0</v>
      </c>
      <c r="AG437" s="460"/>
      <c r="AH437" s="14"/>
      <c r="AI437" s="14"/>
      <c r="AJ437" s="14"/>
      <c r="AK437" s="14"/>
      <c r="AL437" s="14"/>
      <c r="AM437" s="14"/>
      <c r="AN437" s="14"/>
      <c r="AO437" s="14"/>
      <c r="AP437" s="14"/>
      <c r="AQ437" s="14"/>
      <c r="AR437" s="14"/>
      <c r="AS437" s="14"/>
      <c r="AT437" s="14"/>
    </row>
    <row r="438">
      <c r="A438" s="469"/>
      <c r="B438" s="443">
        <v>5.0</v>
      </c>
      <c r="C438" s="444" t="s">
        <v>1035</v>
      </c>
      <c r="D438" s="445" t="s">
        <v>10</v>
      </c>
      <c r="E438" s="445" t="s">
        <v>10</v>
      </c>
      <c r="F438" s="445" t="s">
        <v>77</v>
      </c>
      <c r="G438" s="447">
        <v>2.0</v>
      </c>
      <c r="H438" s="447">
        <v>0.0</v>
      </c>
      <c r="I438" s="746">
        <v>1.0</v>
      </c>
      <c r="J438" s="448">
        <v>1.0</v>
      </c>
      <c r="K438" s="644" t="s">
        <v>188</v>
      </c>
      <c r="L438" s="449"/>
      <c r="M438" s="644">
        <v>5.0</v>
      </c>
      <c r="N438" s="644">
        <v>4.0</v>
      </c>
      <c r="O438" s="450" t="s">
        <v>189</v>
      </c>
      <c r="P438" s="14"/>
      <c r="Q438" s="452" t="str">
        <f>MATCH($D438,Reference!$J$5:$J$9,0)</f>
        <v>1</v>
      </c>
      <c r="R438" s="452" t="str">
        <f>MATCH($E438,Reference!$J$26:$J$32,0)</f>
        <v>1</v>
      </c>
      <c r="S438" s="452" t="str">
        <f>MATCH($F438,Reference!$J$45:$J$54,0)</f>
        <v>10</v>
      </c>
      <c r="T438" s="453" t="str">
        <f>MATCH($K438,Reference!$J$37:$J$39,0)</f>
        <v>3</v>
      </c>
      <c r="U438" s="454" t="str">
        <f t="shared" si="735"/>
        <v>2</v>
      </c>
      <c r="V438" s="454" t="str">
        <f t="shared" si="3"/>
        <v>1</v>
      </c>
      <c r="W438" s="455">
        <v>0.0</v>
      </c>
      <c r="X438" s="454" t="str">
        <f t="shared" si="736"/>
        <v>2</v>
      </c>
      <c r="Y438" s="456" t="str">
        <f t="shared" si="5"/>
        <v>FALSE</v>
      </c>
      <c r="Z438" s="456" t="str">
        <f t="shared" si="6"/>
        <v>FALSE</v>
      </c>
      <c r="AA438" s="457" t="str">
        <f t="shared" ref="AA438:AB438" si="768">1-I438</f>
        <v>0%</v>
      </c>
      <c r="AB438" s="457" t="str">
        <f t="shared" si="768"/>
        <v>0%</v>
      </c>
      <c r="AC438" s="456" t="str">
        <f t="shared" si="8"/>
        <v>2</v>
      </c>
      <c r="AD438" s="458" t="str">
        <f t="shared" si="738"/>
        <v>0</v>
      </c>
      <c r="AE438" s="458" t="str">
        <f t="shared" si="10"/>
        <v>1</v>
      </c>
      <c r="AF438" s="459" t="str">
        <f t="shared" si="739"/>
        <v>0</v>
      </c>
      <c r="AG438" s="460"/>
      <c r="AH438" s="14"/>
      <c r="AI438" s="14"/>
      <c r="AJ438" s="14"/>
      <c r="AK438" s="14"/>
      <c r="AL438" s="14"/>
      <c r="AM438" s="14"/>
      <c r="AN438" s="14"/>
      <c r="AO438" s="14"/>
      <c r="AP438" s="14"/>
      <c r="AQ438" s="14"/>
      <c r="AR438" s="14"/>
      <c r="AS438" s="14"/>
      <c r="AT438" s="14"/>
    </row>
    <row r="439">
      <c r="A439" s="466"/>
      <c r="B439" s="443">
        <v>5.0</v>
      </c>
      <c r="C439" s="444" t="s">
        <v>1036</v>
      </c>
      <c r="D439" s="445" t="s">
        <v>10</v>
      </c>
      <c r="E439" s="445" t="s">
        <v>10</v>
      </c>
      <c r="F439" s="445" t="s">
        <v>77</v>
      </c>
      <c r="G439" s="447">
        <v>2.0</v>
      </c>
      <c r="H439" s="447">
        <v>0.0</v>
      </c>
      <c r="I439" s="746">
        <v>1.0</v>
      </c>
      <c r="J439" s="448">
        <v>1.0</v>
      </c>
      <c r="K439" s="644" t="s">
        <v>188</v>
      </c>
      <c r="L439" s="449"/>
      <c r="M439" s="644">
        <v>4.0</v>
      </c>
      <c r="N439" s="644">
        <v>5.0</v>
      </c>
      <c r="O439" s="450" t="s">
        <v>1037</v>
      </c>
      <c r="P439" s="14"/>
      <c r="Q439" s="452" t="str">
        <f>MATCH($D439,Reference!$J$5:$J$9,0)</f>
        <v>1</v>
      </c>
      <c r="R439" s="452" t="str">
        <f>MATCH($E439,Reference!$J$26:$J$32,0)</f>
        <v>1</v>
      </c>
      <c r="S439" s="452" t="str">
        <f>MATCH($F439,Reference!$J$45:$J$54,0)</f>
        <v>10</v>
      </c>
      <c r="T439" s="453" t="str">
        <f>MATCH($K439,Reference!$J$37:$J$39,0)</f>
        <v>3</v>
      </c>
      <c r="U439" s="454" t="str">
        <f t="shared" si="735"/>
        <v>2</v>
      </c>
      <c r="V439" s="454" t="str">
        <f t="shared" si="3"/>
        <v>1</v>
      </c>
      <c r="W439" s="455">
        <v>0.0</v>
      </c>
      <c r="X439" s="454" t="str">
        <f t="shared" si="736"/>
        <v>2</v>
      </c>
      <c r="Y439" s="456" t="str">
        <f t="shared" si="5"/>
        <v>FALSE</v>
      </c>
      <c r="Z439" s="456" t="str">
        <f t="shared" si="6"/>
        <v>FALSE</v>
      </c>
      <c r="AA439" s="457" t="str">
        <f t="shared" ref="AA439:AB439" si="769">1-I439</f>
        <v>0%</v>
      </c>
      <c r="AB439" s="457" t="str">
        <f t="shared" si="769"/>
        <v>0%</v>
      </c>
      <c r="AC439" s="456" t="str">
        <f t="shared" si="8"/>
        <v>2</v>
      </c>
      <c r="AD439" s="458" t="str">
        <f t="shared" si="738"/>
        <v>0</v>
      </c>
      <c r="AE439" s="458" t="str">
        <f t="shared" si="10"/>
        <v>1</v>
      </c>
      <c r="AF439" s="459" t="str">
        <f t="shared" si="739"/>
        <v>0</v>
      </c>
      <c r="AG439" s="460"/>
      <c r="AH439" s="14"/>
      <c r="AI439" s="14"/>
      <c r="AJ439" s="14"/>
      <c r="AK439" s="14"/>
      <c r="AL439" s="14"/>
      <c r="AM439" s="14"/>
      <c r="AN439" s="14"/>
      <c r="AO439" s="14"/>
      <c r="AP439" s="14"/>
      <c r="AQ439" s="14"/>
      <c r="AR439" s="14"/>
      <c r="AS439" s="14"/>
      <c r="AT439" s="14"/>
    </row>
    <row r="440">
      <c r="A440" s="442"/>
      <c r="B440" s="443">
        <v>5.0</v>
      </c>
      <c r="C440" s="444" t="s">
        <v>1038</v>
      </c>
      <c r="D440" s="445" t="s">
        <v>10</v>
      </c>
      <c r="E440" s="445" t="s">
        <v>10</v>
      </c>
      <c r="F440" s="445" t="s">
        <v>77</v>
      </c>
      <c r="G440" s="447">
        <v>2.0</v>
      </c>
      <c r="H440" s="447">
        <v>0.0</v>
      </c>
      <c r="I440" s="746">
        <v>1.0</v>
      </c>
      <c r="J440" s="448">
        <v>1.0</v>
      </c>
      <c r="K440" s="644" t="s">
        <v>188</v>
      </c>
      <c r="L440" s="449"/>
      <c r="M440" s="644">
        <v>4.0</v>
      </c>
      <c r="N440" s="644">
        <v>4.0</v>
      </c>
      <c r="O440" s="450" t="s">
        <v>1039</v>
      </c>
      <c r="P440" s="14"/>
      <c r="Q440" s="452" t="str">
        <f>MATCH($D440,Reference!$J$5:$J$9,0)</f>
        <v>1</v>
      </c>
      <c r="R440" s="452" t="str">
        <f>MATCH($E440,Reference!$J$26:$J$32,0)</f>
        <v>1</v>
      </c>
      <c r="S440" s="452" t="str">
        <f>MATCH($F440,Reference!$J$45:$J$54,0)</f>
        <v>10</v>
      </c>
      <c r="T440" s="453" t="str">
        <f>MATCH($K440,Reference!$J$37:$J$39,0)</f>
        <v>3</v>
      </c>
      <c r="U440" s="454" t="str">
        <f t="shared" si="735"/>
        <v>2</v>
      </c>
      <c r="V440" s="454" t="str">
        <f t="shared" si="3"/>
        <v>1</v>
      </c>
      <c r="W440" s="455">
        <v>0.0</v>
      </c>
      <c r="X440" s="454" t="str">
        <f t="shared" si="736"/>
        <v>2</v>
      </c>
      <c r="Y440" s="456" t="str">
        <f t="shared" si="5"/>
        <v>FALSE</v>
      </c>
      <c r="Z440" s="456" t="str">
        <f t="shared" si="6"/>
        <v>FALSE</v>
      </c>
      <c r="AA440" s="457" t="str">
        <f t="shared" ref="AA440:AB440" si="770">1-I440</f>
        <v>0%</v>
      </c>
      <c r="AB440" s="457" t="str">
        <f t="shared" si="770"/>
        <v>0%</v>
      </c>
      <c r="AC440" s="456" t="str">
        <f t="shared" si="8"/>
        <v>2</v>
      </c>
      <c r="AD440" s="458" t="str">
        <f t="shared" si="738"/>
        <v>0</v>
      </c>
      <c r="AE440" s="458" t="str">
        <f t="shared" si="10"/>
        <v>1</v>
      </c>
      <c r="AF440" s="459" t="str">
        <f t="shared" si="739"/>
        <v>0</v>
      </c>
      <c r="AG440" s="460"/>
      <c r="AH440" s="14"/>
      <c r="AI440" s="14"/>
      <c r="AJ440" s="14"/>
      <c r="AK440" s="14"/>
      <c r="AL440" s="14"/>
      <c r="AM440" s="14"/>
      <c r="AN440" s="14"/>
      <c r="AO440" s="14"/>
      <c r="AP440" s="14"/>
      <c r="AQ440" s="14"/>
      <c r="AR440" s="14"/>
      <c r="AS440" s="14"/>
      <c r="AT440" s="14"/>
    </row>
    <row r="441">
      <c r="A441" s="509"/>
      <c r="B441" s="443">
        <v>5.0</v>
      </c>
      <c r="C441" s="444" t="s">
        <v>1040</v>
      </c>
      <c r="D441" s="445" t="s">
        <v>10</v>
      </c>
      <c r="E441" s="445" t="s">
        <v>10</v>
      </c>
      <c r="F441" s="445" t="s">
        <v>77</v>
      </c>
      <c r="G441" s="447">
        <v>2.0</v>
      </c>
      <c r="H441" s="447">
        <v>0.0</v>
      </c>
      <c r="I441" s="746">
        <v>1.0</v>
      </c>
      <c r="J441" s="448">
        <v>1.0</v>
      </c>
      <c r="K441" s="644" t="s">
        <v>188</v>
      </c>
      <c r="L441" s="449"/>
      <c r="M441" s="644">
        <v>2.0</v>
      </c>
      <c r="N441" s="644">
        <v>7.0</v>
      </c>
      <c r="O441" s="450" t="s">
        <v>1041</v>
      </c>
      <c r="P441" s="14"/>
      <c r="Q441" s="452" t="str">
        <f>MATCH($D441,Reference!$J$5:$J$9,0)</f>
        <v>1</v>
      </c>
      <c r="R441" s="452" t="str">
        <f>MATCH($E441,Reference!$J$26:$J$32,0)</f>
        <v>1</v>
      </c>
      <c r="S441" s="452" t="str">
        <f>MATCH($F441,Reference!$J$45:$J$54,0)</f>
        <v>10</v>
      </c>
      <c r="T441" s="453" t="str">
        <f>MATCH($K441,Reference!$J$37:$J$39,0)</f>
        <v>3</v>
      </c>
      <c r="U441" s="454" t="str">
        <f t="shared" si="735"/>
        <v>2</v>
      </c>
      <c r="V441" s="454" t="str">
        <f t="shared" si="3"/>
        <v>1</v>
      </c>
      <c r="W441" s="455">
        <v>0.0</v>
      </c>
      <c r="X441" s="454" t="str">
        <f t="shared" si="736"/>
        <v>2</v>
      </c>
      <c r="Y441" s="456" t="str">
        <f t="shared" si="5"/>
        <v>FALSE</v>
      </c>
      <c r="Z441" s="456" t="str">
        <f t="shared" si="6"/>
        <v>FALSE</v>
      </c>
      <c r="AA441" s="457" t="str">
        <f t="shared" ref="AA441:AB441" si="771">1-I441</f>
        <v>0%</v>
      </c>
      <c r="AB441" s="457" t="str">
        <f t="shared" si="771"/>
        <v>0%</v>
      </c>
      <c r="AC441" s="456" t="str">
        <f t="shared" si="8"/>
        <v>2</v>
      </c>
      <c r="AD441" s="458" t="str">
        <f t="shared" si="738"/>
        <v>0</v>
      </c>
      <c r="AE441" s="458" t="str">
        <f t="shared" si="10"/>
        <v>1</v>
      </c>
      <c r="AF441" s="459" t="str">
        <f t="shared" si="739"/>
        <v>0</v>
      </c>
      <c r="AG441" s="460"/>
      <c r="AH441" s="14"/>
      <c r="AI441" s="14"/>
      <c r="AJ441" s="14"/>
      <c r="AK441" s="14"/>
      <c r="AL441" s="14"/>
      <c r="AM441" s="14"/>
      <c r="AN441" s="14"/>
      <c r="AO441" s="14"/>
      <c r="AP441" s="14"/>
      <c r="AQ441" s="14"/>
      <c r="AR441" s="14"/>
      <c r="AS441" s="14"/>
      <c r="AT441" s="14"/>
    </row>
    <row r="442">
      <c r="A442" s="463"/>
      <c r="B442" s="443">
        <v>5.0</v>
      </c>
      <c r="C442" s="444" t="s">
        <v>1042</v>
      </c>
      <c r="D442" s="445" t="s">
        <v>10</v>
      </c>
      <c r="E442" s="445" t="s">
        <v>10</v>
      </c>
      <c r="F442" s="445" t="s">
        <v>77</v>
      </c>
      <c r="G442" s="447">
        <v>2.0</v>
      </c>
      <c r="H442" s="447">
        <v>0.0</v>
      </c>
      <c r="I442" s="746">
        <v>1.0</v>
      </c>
      <c r="J442" s="448">
        <v>1.0</v>
      </c>
      <c r="K442" s="644" t="s">
        <v>188</v>
      </c>
      <c r="L442" s="449"/>
      <c r="M442" s="644">
        <v>4.0</v>
      </c>
      <c r="N442" s="644">
        <v>4.0</v>
      </c>
      <c r="O442" s="450" t="s">
        <v>1043</v>
      </c>
      <c r="P442" s="14"/>
      <c r="Q442" s="452" t="str">
        <f>MATCH($D442,Reference!$J$5:$J$9,0)</f>
        <v>1</v>
      </c>
      <c r="R442" s="452" t="str">
        <f>MATCH($E442,Reference!$J$26:$J$32,0)</f>
        <v>1</v>
      </c>
      <c r="S442" s="452" t="str">
        <f>MATCH($F442,Reference!$J$45:$J$54,0)</f>
        <v>10</v>
      </c>
      <c r="T442" s="453" t="str">
        <f>MATCH($K442,Reference!$J$37:$J$39,0)</f>
        <v>3</v>
      </c>
      <c r="U442" s="454" t="str">
        <f t="shared" si="735"/>
        <v>2</v>
      </c>
      <c r="V442" s="454" t="str">
        <f t="shared" si="3"/>
        <v>1</v>
      </c>
      <c r="W442" s="455">
        <v>0.0</v>
      </c>
      <c r="X442" s="454" t="str">
        <f t="shared" si="736"/>
        <v>2</v>
      </c>
      <c r="Y442" s="456" t="str">
        <f t="shared" si="5"/>
        <v>FALSE</v>
      </c>
      <c r="Z442" s="456" t="str">
        <f t="shared" si="6"/>
        <v>FALSE</v>
      </c>
      <c r="AA442" s="457" t="str">
        <f t="shared" ref="AA442:AB442" si="772">1-I442</f>
        <v>0%</v>
      </c>
      <c r="AB442" s="457" t="str">
        <f t="shared" si="772"/>
        <v>0%</v>
      </c>
      <c r="AC442" s="456" t="str">
        <f t="shared" si="8"/>
        <v>2</v>
      </c>
      <c r="AD442" s="458" t="str">
        <f t="shared" si="738"/>
        <v>0</v>
      </c>
      <c r="AE442" s="458" t="str">
        <f t="shared" si="10"/>
        <v>1</v>
      </c>
      <c r="AF442" s="459" t="str">
        <f t="shared" si="739"/>
        <v>0</v>
      </c>
      <c r="AG442" s="460"/>
      <c r="AH442" s="14"/>
      <c r="AI442" s="14"/>
      <c r="AJ442" s="14"/>
      <c r="AK442" s="14"/>
      <c r="AL442" s="14"/>
      <c r="AM442" s="14"/>
      <c r="AN442" s="14"/>
      <c r="AO442" s="14"/>
      <c r="AP442" s="14"/>
      <c r="AQ442" s="14"/>
      <c r="AR442" s="14"/>
      <c r="AS442" s="14"/>
      <c r="AT442" s="14"/>
    </row>
    <row r="443">
      <c r="A443" s="442"/>
      <c r="B443" s="443">
        <v>5.0</v>
      </c>
      <c r="C443" s="444" t="s">
        <v>1044</v>
      </c>
      <c r="D443" s="445" t="s">
        <v>10</v>
      </c>
      <c r="E443" s="445" t="s">
        <v>10</v>
      </c>
      <c r="F443" s="445" t="s">
        <v>77</v>
      </c>
      <c r="G443" s="447">
        <v>2.0</v>
      </c>
      <c r="H443" s="447">
        <v>0.0</v>
      </c>
      <c r="I443" s="746">
        <v>1.0</v>
      </c>
      <c r="J443" s="448">
        <v>1.0</v>
      </c>
      <c r="K443" s="644" t="s">
        <v>188</v>
      </c>
      <c r="L443" s="449"/>
      <c r="M443" s="644">
        <v>4.0</v>
      </c>
      <c r="N443" s="644">
        <v>2.0</v>
      </c>
      <c r="O443" s="450" t="s">
        <v>1045</v>
      </c>
      <c r="P443" s="14"/>
      <c r="Q443" s="452" t="str">
        <f>MATCH($D443,Reference!$J$5:$J$9,0)</f>
        <v>1</v>
      </c>
      <c r="R443" s="452" t="str">
        <f>MATCH($E443,Reference!$J$26:$J$32,0)</f>
        <v>1</v>
      </c>
      <c r="S443" s="452" t="str">
        <f>MATCH($F443,Reference!$J$45:$J$54,0)</f>
        <v>10</v>
      </c>
      <c r="T443" s="453" t="str">
        <f>MATCH($K443,Reference!$J$37:$J$39,0)</f>
        <v>3</v>
      </c>
      <c r="U443" s="454" t="str">
        <f t="shared" si="735"/>
        <v>2</v>
      </c>
      <c r="V443" s="454" t="str">
        <f t="shared" si="3"/>
        <v>1</v>
      </c>
      <c r="W443" s="455">
        <v>0.0</v>
      </c>
      <c r="X443" s="454" t="str">
        <f t="shared" si="736"/>
        <v>2</v>
      </c>
      <c r="Y443" s="456" t="str">
        <f t="shared" si="5"/>
        <v>FALSE</v>
      </c>
      <c r="Z443" s="456" t="str">
        <f t="shared" si="6"/>
        <v>FALSE</v>
      </c>
      <c r="AA443" s="457" t="str">
        <f t="shared" ref="AA443:AB443" si="773">1-I443</f>
        <v>0%</v>
      </c>
      <c r="AB443" s="457" t="str">
        <f t="shared" si="773"/>
        <v>0%</v>
      </c>
      <c r="AC443" s="456" t="str">
        <f t="shared" si="8"/>
        <v>2</v>
      </c>
      <c r="AD443" s="458" t="str">
        <f t="shared" si="738"/>
        <v>0</v>
      </c>
      <c r="AE443" s="458" t="str">
        <f t="shared" si="10"/>
        <v>1</v>
      </c>
      <c r="AF443" s="459" t="str">
        <f t="shared" si="739"/>
        <v>0</v>
      </c>
      <c r="AG443" s="460"/>
      <c r="AH443" s="14"/>
      <c r="AI443" s="14"/>
      <c r="AJ443" s="14"/>
      <c r="AK443" s="14"/>
      <c r="AL443" s="14"/>
      <c r="AM443" s="14"/>
      <c r="AN443" s="14"/>
      <c r="AO443" s="14"/>
      <c r="AP443" s="14"/>
      <c r="AQ443" s="14"/>
      <c r="AR443" s="14"/>
      <c r="AS443" s="14"/>
      <c r="AT443" s="14"/>
    </row>
    <row r="444">
      <c r="A444" s="463"/>
      <c r="B444" s="443">
        <v>6.0</v>
      </c>
      <c r="C444" s="444" t="s">
        <v>1046</v>
      </c>
      <c r="D444" s="445" t="s">
        <v>10</v>
      </c>
      <c r="E444" s="445" t="s">
        <v>10</v>
      </c>
      <c r="F444" s="445" t="s">
        <v>77</v>
      </c>
      <c r="G444" s="447">
        <v>2.0</v>
      </c>
      <c r="H444" s="447">
        <v>0.0</v>
      </c>
      <c r="I444" s="746">
        <v>1.0</v>
      </c>
      <c r="J444" s="448">
        <v>1.0</v>
      </c>
      <c r="K444" s="644" t="s">
        <v>188</v>
      </c>
      <c r="L444" s="449"/>
      <c r="M444" s="644">
        <v>4.0</v>
      </c>
      <c r="N444" s="644">
        <v>7.0</v>
      </c>
      <c r="O444" s="450" t="s">
        <v>426</v>
      </c>
      <c r="P444" s="14"/>
      <c r="Q444" s="452" t="str">
        <f>MATCH($D444,Reference!$J$5:$J$9,0)</f>
        <v>1</v>
      </c>
      <c r="R444" s="452" t="str">
        <f>MATCH($E444,Reference!$J$26:$J$32,0)</f>
        <v>1</v>
      </c>
      <c r="S444" s="452" t="str">
        <f>MATCH($F444,Reference!$J$45:$J$54,0)</f>
        <v>10</v>
      </c>
      <c r="T444" s="453" t="str">
        <f>MATCH($K444,Reference!$J$37:$J$39,0)</f>
        <v>3</v>
      </c>
      <c r="U444" s="454" t="str">
        <f t="shared" si="735"/>
        <v>2</v>
      </c>
      <c r="V444" s="454" t="str">
        <f t="shared" si="3"/>
        <v>1</v>
      </c>
      <c r="W444" s="455">
        <v>0.0</v>
      </c>
      <c r="X444" s="454" t="str">
        <f t="shared" si="736"/>
        <v>2</v>
      </c>
      <c r="Y444" s="456" t="str">
        <f t="shared" si="5"/>
        <v>FALSE</v>
      </c>
      <c r="Z444" s="456" t="str">
        <f t="shared" si="6"/>
        <v>FALSE</v>
      </c>
      <c r="AA444" s="457" t="str">
        <f t="shared" ref="AA444:AB444" si="774">1-I444</f>
        <v>0%</v>
      </c>
      <c r="AB444" s="457" t="str">
        <f t="shared" si="774"/>
        <v>0%</v>
      </c>
      <c r="AC444" s="456" t="str">
        <f t="shared" si="8"/>
        <v>2</v>
      </c>
      <c r="AD444" s="458" t="str">
        <f t="shared" si="738"/>
        <v>0</v>
      </c>
      <c r="AE444" s="458" t="str">
        <f t="shared" si="10"/>
        <v>1</v>
      </c>
      <c r="AF444" s="459" t="str">
        <f t="shared" si="739"/>
        <v>0</v>
      </c>
      <c r="AG444" s="460"/>
      <c r="AH444" s="14"/>
      <c r="AI444" s="14"/>
      <c r="AJ444" s="14"/>
      <c r="AK444" s="14"/>
      <c r="AL444" s="14"/>
      <c r="AM444" s="14"/>
      <c r="AN444" s="14"/>
      <c r="AO444" s="14"/>
      <c r="AP444" s="14"/>
      <c r="AQ444" s="14"/>
      <c r="AR444" s="14"/>
      <c r="AS444" s="14"/>
      <c r="AT444" s="14"/>
    </row>
    <row r="445">
      <c r="A445" s="442"/>
      <c r="B445" s="443">
        <v>6.0</v>
      </c>
      <c r="C445" s="444" t="s">
        <v>1047</v>
      </c>
      <c r="D445" s="445" t="s">
        <v>10</v>
      </c>
      <c r="E445" s="445" t="s">
        <v>10</v>
      </c>
      <c r="F445" s="445" t="s">
        <v>77</v>
      </c>
      <c r="G445" s="447">
        <v>2.0</v>
      </c>
      <c r="H445" s="447">
        <v>0.0</v>
      </c>
      <c r="I445" s="746">
        <v>1.0</v>
      </c>
      <c r="J445" s="448">
        <v>1.0</v>
      </c>
      <c r="K445" s="644" t="s">
        <v>188</v>
      </c>
      <c r="L445" s="449"/>
      <c r="M445" s="644">
        <v>6.0</v>
      </c>
      <c r="N445" s="644">
        <v>7.0</v>
      </c>
      <c r="O445" s="450"/>
      <c r="P445" s="14"/>
      <c r="Q445" s="452" t="str">
        <f>MATCH($D445,Reference!$J$5:$J$9,0)</f>
        <v>1</v>
      </c>
      <c r="R445" s="452" t="str">
        <f>MATCH($E445,Reference!$J$26:$J$32,0)</f>
        <v>1</v>
      </c>
      <c r="S445" s="452" t="str">
        <f>MATCH($F445,Reference!$J$45:$J$54,0)</f>
        <v>10</v>
      </c>
      <c r="T445" s="453" t="str">
        <f>MATCH($K445,Reference!$J$37:$J$39,0)</f>
        <v>3</v>
      </c>
      <c r="U445" s="454" t="str">
        <f t="shared" si="735"/>
        <v>2</v>
      </c>
      <c r="V445" s="454" t="str">
        <f t="shared" si="3"/>
        <v>1</v>
      </c>
      <c r="W445" s="455">
        <v>0.0</v>
      </c>
      <c r="X445" s="454" t="str">
        <f t="shared" si="736"/>
        <v>2</v>
      </c>
      <c r="Y445" s="456" t="str">
        <f t="shared" si="5"/>
        <v>FALSE</v>
      </c>
      <c r="Z445" s="456" t="str">
        <f t="shared" si="6"/>
        <v>FALSE</v>
      </c>
      <c r="AA445" s="457" t="str">
        <f t="shared" ref="AA445:AB445" si="775">1-I445</f>
        <v>0%</v>
      </c>
      <c r="AB445" s="457" t="str">
        <f t="shared" si="775"/>
        <v>0%</v>
      </c>
      <c r="AC445" s="456" t="str">
        <f t="shared" si="8"/>
        <v>2</v>
      </c>
      <c r="AD445" s="458" t="str">
        <f t="shared" si="738"/>
        <v>0</v>
      </c>
      <c r="AE445" s="458" t="str">
        <f t="shared" si="10"/>
        <v>1</v>
      </c>
      <c r="AF445" s="459" t="str">
        <f t="shared" si="739"/>
        <v>0</v>
      </c>
      <c r="AG445" s="460"/>
      <c r="AH445" s="14"/>
      <c r="AI445" s="14"/>
      <c r="AJ445" s="14"/>
      <c r="AK445" s="14"/>
      <c r="AL445" s="14"/>
      <c r="AM445" s="14"/>
      <c r="AN445" s="14"/>
      <c r="AO445" s="14"/>
      <c r="AP445" s="14"/>
      <c r="AQ445" s="14"/>
      <c r="AR445" s="14"/>
      <c r="AS445" s="14"/>
      <c r="AT445" s="14"/>
    </row>
    <row r="446">
      <c r="A446" s="442"/>
      <c r="B446" s="443">
        <v>6.0</v>
      </c>
      <c r="C446" s="444" t="s">
        <v>1048</v>
      </c>
      <c r="D446" s="445" t="s">
        <v>10</v>
      </c>
      <c r="E446" s="445" t="s">
        <v>10</v>
      </c>
      <c r="F446" s="445" t="s">
        <v>77</v>
      </c>
      <c r="G446" s="447">
        <v>2.0</v>
      </c>
      <c r="H446" s="447">
        <v>0.0</v>
      </c>
      <c r="I446" s="746">
        <v>1.0</v>
      </c>
      <c r="J446" s="448">
        <v>1.0</v>
      </c>
      <c r="K446" s="644" t="s">
        <v>188</v>
      </c>
      <c r="L446" s="449"/>
      <c r="M446" s="644">
        <v>6.0</v>
      </c>
      <c r="N446" s="644">
        <v>5.0</v>
      </c>
      <c r="O446" s="450" t="s">
        <v>189</v>
      </c>
      <c r="P446" s="14"/>
      <c r="Q446" s="452" t="str">
        <f>MATCH($D446,Reference!$J$5:$J$9,0)</f>
        <v>1</v>
      </c>
      <c r="R446" s="452" t="str">
        <f>MATCH($E446,Reference!$J$26:$J$32,0)</f>
        <v>1</v>
      </c>
      <c r="S446" s="452" t="str">
        <f>MATCH($F446,Reference!$J$45:$J$54,0)</f>
        <v>10</v>
      </c>
      <c r="T446" s="453" t="str">
        <f>MATCH($K446,Reference!$J$37:$J$39,0)</f>
        <v>3</v>
      </c>
      <c r="U446" s="454" t="str">
        <f t="shared" si="735"/>
        <v>2</v>
      </c>
      <c r="V446" s="454" t="str">
        <f t="shared" si="3"/>
        <v>1</v>
      </c>
      <c r="W446" s="455">
        <v>0.0</v>
      </c>
      <c r="X446" s="454" t="str">
        <f t="shared" si="736"/>
        <v>2</v>
      </c>
      <c r="Y446" s="456" t="str">
        <f t="shared" si="5"/>
        <v>FALSE</v>
      </c>
      <c r="Z446" s="456" t="str">
        <f t="shared" si="6"/>
        <v>FALSE</v>
      </c>
      <c r="AA446" s="457" t="str">
        <f t="shared" ref="AA446:AB446" si="776">1-I446</f>
        <v>0%</v>
      </c>
      <c r="AB446" s="457" t="str">
        <f t="shared" si="776"/>
        <v>0%</v>
      </c>
      <c r="AC446" s="456" t="str">
        <f t="shared" si="8"/>
        <v>2</v>
      </c>
      <c r="AD446" s="458" t="str">
        <f t="shared" si="738"/>
        <v>0</v>
      </c>
      <c r="AE446" s="458" t="str">
        <f t="shared" si="10"/>
        <v>1</v>
      </c>
      <c r="AF446" s="459" t="str">
        <f t="shared" si="739"/>
        <v>0</v>
      </c>
      <c r="AG446" s="460"/>
      <c r="AH446" s="14"/>
      <c r="AI446" s="14"/>
      <c r="AJ446" s="14"/>
      <c r="AK446" s="14"/>
      <c r="AL446" s="14"/>
      <c r="AM446" s="14"/>
      <c r="AN446" s="14"/>
      <c r="AO446" s="14"/>
      <c r="AP446" s="14"/>
      <c r="AQ446" s="14"/>
      <c r="AR446" s="14"/>
      <c r="AS446" s="14"/>
      <c r="AT446" s="14"/>
    </row>
    <row r="447">
      <c r="A447" s="466"/>
      <c r="B447" s="443">
        <v>6.0</v>
      </c>
      <c r="C447" s="444" t="s">
        <v>1049</v>
      </c>
      <c r="D447" s="445" t="s">
        <v>10</v>
      </c>
      <c r="E447" s="445" t="s">
        <v>10</v>
      </c>
      <c r="F447" s="445" t="s">
        <v>77</v>
      </c>
      <c r="G447" s="447">
        <v>2.0</v>
      </c>
      <c r="H447" s="447">
        <v>0.0</v>
      </c>
      <c r="I447" s="746">
        <v>1.0</v>
      </c>
      <c r="J447" s="448">
        <v>1.0</v>
      </c>
      <c r="K447" s="644" t="s">
        <v>188</v>
      </c>
      <c r="L447" s="449"/>
      <c r="M447" s="644">
        <v>5.0</v>
      </c>
      <c r="N447" s="644">
        <v>2.0</v>
      </c>
      <c r="O447" s="450" t="s">
        <v>365</v>
      </c>
      <c r="P447" s="14"/>
      <c r="Q447" s="452" t="str">
        <f>MATCH($D447,Reference!$J$5:$J$9,0)</f>
        <v>1</v>
      </c>
      <c r="R447" s="452" t="str">
        <f>MATCH($E447,Reference!$J$26:$J$32,0)</f>
        <v>1</v>
      </c>
      <c r="S447" s="452" t="str">
        <f>MATCH($F447,Reference!$J$45:$J$54,0)</f>
        <v>10</v>
      </c>
      <c r="T447" s="453" t="str">
        <f>MATCH($K447,Reference!$J$37:$J$39,0)</f>
        <v>3</v>
      </c>
      <c r="U447" s="454" t="str">
        <f t="shared" si="735"/>
        <v>2</v>
      </c>
      <c r="V447" s="454" t="str">
        <f t="shared" si="3"/>
        <v>1</v>
      </c>
      <c r="W447" s="455">
        <v>0.0</v>
      </c>
      <c r="X447" s="454" t="str">
        <f t="shared" si="736"/>
        <v>2</v>
      </c>
      <c r="Y447" s="456" t="str">
        <f t="shared" si="5"/>
        <v>FALSE</v>
      </c>
      <c r="Z447" s="456" t="str">
        <f t="shared" si="6"/>
        <v>FALSE</v>
      </c>
      <c r="AA447" s="457" t="str">
        <f t="shared" ref="AA447:AB447" si="777">1-I447</f>
        <v>0%</v>
      </c>
      <c r="AB447" s="457" t="str">
        <f t="shared" si="777"/>
        <v>0%</v>
      </c>
      <c r="AC447" s="456" t="str">
        <f t="shared" si="8"/>
        <v>2</v>
      </c>
      <c r="AD447" s="458" t="str">
        <f t="shared" si="738"/>
        <v>0</v>
      </c>
      <c r="AE447" s="458" t="str">
        <f t="shared" si="10"/>
        <v>1</v>
      </c>
      <c r="AF447" s="459" t="str">
        <f t="shared" si="739"/>
        <v>0</v>
      </c>
      <c r="AG447" s="460"/>
      <c r="AH447" s="14"/>
      <c r="AI447" s="14"/>
      <c r="AJ447" s="14"/>
      <c r="AK447" s="14"/>
      <c r="AL447" s="14"/>
      <c r="AM447" s="14"/>
      <c r="AN447" s="14"/>
      <c r="AO447" s="14"/>
      <c r="AP447" s="14"/>
      <c r="AQ447" s="14"/>
      <c r="AR447" s="14"/>
      <c r="AS447" s="14"/>
      <c r="AT447" s="14"/>
    </row>
    <row r="448">
      <c r="A448" s="442"/>
      <c r="B448" s="443">
        <v>7.0</v>
      </c>
      <c r="C448" s="444" t="s">
        <v>1050</v>
      </c>
      <c r="D448" s="445" t="s">
        <v>10</v>
      </c>
      <c r="E448" s="445" t="s">
        <v>10</v>
      </c>
      <c r="F448" s="445" t="s">
        <v>77</v>
      </c>
      <c r="G448" s="447">
        <v>2.0</v>
      </c>
      <c r="H448" s="447">
        <v>0.0</v>
      </c>
      <c r="I448" s="746">
        <v>1.0</v>
      </c>
      <c r="J448" s="448">
        <v>1.0</v>
      </c>
      <c r="K448" s="644" t="s">
        <v>188</v>
      </c>
      <c r="L448" s="449" t="s">
        <v>238</v>
      </c>
      <c r="M448" s="644">
        <v>9.0</v>
      </c>
      <c r="N448" s="644">
        <v>5.0</v>
      </c>
      <c r="O448" s="450"/>
      <c r="P448" s="14"/>
      <c r="Q448" s="452" t="str">
        <f>MATCH($D448,Reference!$J$5:$J$9,0)</f>
        <v>1</v>
      </c>
      <c r="R448" s="452" t="str">
        <f>MATCH($E448,Reference!$J$26:$J$32,0)</f>
        <v>1</v>
      </c>
      <c r="S448" s="452" t="str">
        <f>MATCH($F448,Reference!$J$45:$J$54,0)</f>
        <v>10</v>
      </c>
      <c r="T448" s="453" t="str">
        <f>MATCH($K448,Reference!$J$37:$J$39,0)</f>
        <v>3</v>
      </c>
      <c r="U448" s="454" t="str">
        <f t="shared" si="735"/>
        <v>2</v>
      </c>
      <c r="V448" s="454" t="str">
        <f t="shared" si="3"/>
        <v>1</v>
      </c>
      <c r="W448" s="455">
        <v>0.0</v>
      </c>
      <c r="X448" s="454" t="str">
        <f t="shared" si="736"/>
        <v>2</v>
      </c>
      <c r="Y448" s="456" t="str">
        <f t="shared" si="5"/>
        <v>FALSE</v>
      </c>
      <c r="Z448" s="456" t="str">
        <f t="shared" si="6"/>
        <v>FALSE</v>
      </c>
      <c r="AA448" s="457" t="str">
        <f t="shared" ref="AA448:AB448" si="778">1-I448</f>
        <v>0%</v>
      </c>
      <c r="AB448" s="457" t="str">
        <f t="shared" si="778"/>
        <v>0%</v>
      </c>
      <c r="AC448" s="456" t="str">
        <f t="shared" si="8"/>
        <v>2</v>
      </c>
      <c r="AD448" s="458" t="str">
        <f t="shared" si="738"/>
        <v>0</v>
      </c>
      <c r="AE448" s="458" t="str">
        <f t="shared" si="10"/>
        <v>1</v>
      </c>
      <c r="AF448" s="459" t="str">
        <f t="shared" si="739"/>
        <v>0</v>
      </c>
      <c r="AG448" s="460"/>
      <c r="AH448" s="14"/>
      <c r="AI448" s="14"/>
      <c r="AJ448" s="14"/>
      <c r="AK448" s="14"/>
      <c r="AL448" s="14"/>
      <c r="AM448" s="14"/>
      <c r="AN448" s="14"/>
      <c r="AO448" s="14"/>
      <c r="AP448" s="14"/>
      <c r="AQ448" s="14"/>
      <c r="AR448" s="14"/>
      <c r="AS448" s="14"/>
      <c r="AT448" s="14"/>
    </row>
    <row r="449">
      <c r="A449" s="442"/>
      <c r="B449" s="443">
        <v>7.0</v>
      </c>
      <c r="C449" s="444" t="s">
        <v>1051</v>
      </c>
      <c r="D449" s="445" t="s">
        <v>10</v>
      </c>
      <c r="E449" s="445" t="s">
        <v>10</v>
      </c>
      <c r="F449" s="445" t="s">
        <v>77</v>
      </c>
      <c r="G449" s="447">
        <v>2.0</v>
      </c>
      <c r="H449" s="447">
        <v>0.0</v>
      </c>
      <c r="I449" s="746">
        <v>1.0</v>
      </c>
      <c r="J449" s="448">
        <v>1.0</v>
      </c>
      <c r="K449" s="644" t="s">
        <v>188</v>
      </c>
      <c r="L449" s="449"/>
      <c r="M449" s="644">
        <v>6.0</v>
      </c>
      <c r="N449" s="644">
        <v>6.0</v>
      </c>
      <c r="O449" s="450" t="s">
        <v>1052</v>
      </c>
      <c r="P449" s="14"/>
      <c r="Q449" s="452" t="str">
        <f>MATCH($D449,Reference!$J$5:$J$9,0)</f>
        <v>1</v>
      </c>
      <c r="R449" s="452" t="str">
        <f>MATCH($E449,Reference!$J$26:$J$32,0)</f>
        <v>1</v>
      </c>
      <c r="S449" s="452" t="str">
        <f>MATCH($F449,Reference!$J$45:$J$54,0)</f>
        <v>10</v>
      </c>
      <c r="T449" s="453" t="str">
        <f>MATCH($K449,Reference!$J$37:$J$39,0)</f>
        <v>3</v>
      </c>
      <c r="U449" s="454" t="str">
        <f t="shared" si="735"/>
        <v>2</v>
      </c>
      <c r="V449" s="454" t="str">
        <f t="shared" si="3"/>
        <v>1</v>
      </c>
      <c r="W449" s="455">
        <v>0.0</v>
      </c>
      <c r="X449" s="454" t="str">
        <f t="shared" si="736"/>
        <v>2</v>
      </c>
      <c r="Y449" s="456" t="str">
        <f t="shared" si="5"/>
        <v>FALSE</v>
      </c>
      <c r="Z449" s="456" t="str">
        <f t="shared" si="6"/>
        <v>FALSE</v>
      </c>
      <c r="AA449" s="457" t="str">
        <f t="shared" ref="AA449:AB449" si="779">1-I449</f>
        <v>0%</v>
      </c>
      <c r="AB449" s="457" t="str">
        <f t="shared" si="779"/>
        <v>0%</v>
      </c>
      <c r="AC449" s="456" t="str">
        <f t="shared" si="8"/>
        <v>2</v>
      </c>
      <c r="AD449" s="458" t="str">
        <f t="shared" si="738"/>
        <v>0</v>
      </c>
      <c r="AE449" s="458" t="str">
        <f t="shared" si="10"/>
        <v>1</v>
      </c>
      <c r="AF449" s="459" t="str">
        <f t="shared" si="739"/>
        <v>0</v>
      </c>
      <c r="AG449" s="460"/>
      <c r="AH449" s="14"/>
      <c r="AI449" s="14"/>
      <c r="AJ449" s="14"/>
      <c r="AK449" s="14"/>
      <c r="AL449" s="14"/>
      <c r="AM449" s="14"/>
      <c r="AN449" s="14"/>
      <c r="AO449" s="14"/>
      <c r="AP449" s="14"/>
      <c r="AQ449" s="14"/>
      <c r="AR449" s="14"/>
      <c r="AS449" s="14"/>
      <c r="AT449" s="14"/>
    </row>
    <row r="450">
      <c r="A450" s="509"/>
      <c r="B450" s="443">
        <v>7.0</v>
      </c>
      <c r="C450" s="444" t="s">
        <v>1053</v>
      </c>
      <c r="D450" s="445" t="s">
        <v>10</v>
      </c>
      <c r="E450" s="445" t="s">
        <v>10</v>
      </c>
      <c r="F450" s="445" t="s">
        <v>77</v>
      </c>
      <c r="G450" s="447">
        <v>2.0</v>
      </c>
      <c r="H450" s="447">
        <v>0.0</v>
      </c>
      <c r="I450" s="746">
        <v>1.0</v>
      </c>
      <c r="J450" s="448">
        <v>1.0</v>
      </c>
      <c r="K450" s="644" t="s">
        <v>188</v>
      </c>
      <c r="L450" s="449"/>
      <c r="M450" s="644">
        <v>7.0</v>
      </c>
      <c r="N450" s="644">
        <v>7.0</v>
      </c>
      <c r="O450" s="450"/>
      <c r="P450" s="14"/>
      <c r="Q450" s="452" t="str">
        <f>MATCH($D450,Reference!$J$5:$J$9,0)</f>
        <v>1</v>
      </c>
      <c r="R450" s="452" t="str">
        <f>MATCH($E450,Reference!$J$26:$J$32,0)</f>
        <v>1</v>
      </c>
      <c r="S450" s="452" t="str">
        <f>MATCH($F450,Reference!$J$45:$J$54,0)</f>
        <v>10</v>
      </c>
      <c r="T450" s="453" t="str">
        <f>MATCH($K450,Reference!$J$37:$J$39,0)</f>
        <v>3</v>
      </c>
      <c r="U450" s="454" t="str">
        <f t="shared" si="735"/>
        <v>2</v>
      </c>
      <c r="V450" s="454" t="str">
        <f t="shared" si="3"/>
        <v>1</v>
      </c>
      <c r="W450" s="455">
        <v>0.0</v>
      </c>
      <c r="X450" s="454" t="str">
        <f t="shared" si="736"/>
        <v>2</v>
      </c>
      <c r="Y450" s="456" t="str">
        <f t="shared" si="5"/>
        <v>FALSE</v>
      </c>
      <c r="Z450" s="456" t="str">
        <f t="shared" si="6"/>
        <v>FALSE</v>
      </c>
      <c r="AA450" s="457" t="str">
        <f t="shared" ref="AA450:AB450" si="780">1-I450</f>
        <v>0%</v>
      </c>
      <c r="AB450" s="457" t="str">
        <f t="shared" si="780"/>
        <v>0%</v>
      </c>
      <c r="AC450" s="456" t="str">
        <f t="shared" si="8"/>
        <v>2</v>
      </c>
      <c r="AD450" s="458" t="str">
        <f t="shared" si="738"/>
        <v>0</v>
      </c>
      <c r="AE450" s="458" t="str">
        <f t="shared" si="10"/>
        <v>1</v>
      </c>
      <c r="AF450" s="459" t="str">
        <f t="shared" si="739"/>
        <v>0</v>
      </c>
      <c r="AG450" s="460"/>
      <c r="AH450" s="14"/>
      <c r="AI450" s="14"/>
      <c r="AJ450" s="14"/>
      <c r="AK450" s="14"/>
      <c r="AL450" s="14"/>
      <c r="AM450" s="14"/>
      <c r="AN450" s="14"/>
      <c r="AO450" s="14"/>
      <c r="AP450" s="14"/>
      <c r="AQ450" s="14"/>
      <c r="AR450" s="14"/>
      <c r="AS450" s="14"/>
      <c r="AT450" s="14"/>
    </row>
    <row r="451">
      <c r="A451" s="466"/>
      <c r="B451" s="442">
        <v>0.0</v>
      </c>
      <c r="C451" s="482" t="s">
        <v>1054</v>
      </c>
      <c r="D451" s="483" t="s">
        <v>15</v>
      </c>
      <c r="E451" s="483" t="s">
        <v>33</v>
      </c>
      <c r="F451" s="512" t="s">
        <v>77</v>
      </c>
      <c r="G451" s="485">
        <v>0.0</v>
      </c>
      <c r="H451" s="485">
        <v>0.0</v>
      </c>
      <c r="I451" s="486">
        <v>1.0</v>
      </c>
      <c r="J451" s="486">
        <v>1.0</v>
      </c>
      <c r="K451" s="499" t="s">
        <v>188</v>
      </c>
      <c r="L451" s="499"/>
      <c r="M451" s="499">
        <v>1.0</v>
      </c>
      <c r="N451" s="499">
        <v>1.0</v>
      </c>
      <c r="O451" s="223"/>
      <c r="P451" s="14"/>
      <c r="Q451" s="452" t="str">
        <f>MATCH($D451,Reference!$J$5:$J$9,0)</f>
        <v>2</v>
      </c>
      <c r="R451" s="452" t="str">
        <f>MATCH($E451,Reference!$J$26:$J$32,0)</f>
        <v>2</v>
      </c>
      <c r="S451" s="452" t="str">
        <f>MATCH($F451,Reference!$J$45:$J$54,0)</f>
        <v>10</v>
      </c>
      <c r="T451" s="453" t="str">
        <f>MATCH($K451,Reference!$J$37:$J$39,0)</f>
        <v>3</v>
      </c>
      <c r="U451" s="454" t="str">
        <f t="shared" si="735"/>
        <v>0</v>
      </c>
      <c r="V451" s="454" t="str">
        <f t="shared" si="3"/>
        <v>0</v>
      </c>
      <c r="W451" s="454" t="str">
        <f t="shared" ref="W451:W549" si="782">(MIN(G451,2)+H451-U451)*50</f>
        <v>0</v>
      </c>
      <c r="X451" s="454" t="str">
        <f t="shared" si="736"/>
        <v>0</v>
      </c>
      <c r="Y451" s="456" t="str">
        <f t="shared" si="5"/>
        <v>TRUE</v>
      </c>
      <c r="Z451" s="456" t="str">
        <f t="shared" si="6"/>
        <v>TRUE</v>
      </c>
      <c r="AA451" s="457" t="str">
        <f t="shared" ref="AA451:AB451" si="781">1-I451</f>
        <v>0%</v>
      </c>
      <c r="AB451" s="457" t="str">
        <f t="shared" si="781"/>
        <v>0%</v>
      </c>
      <c r="AC451" s="456" t="str">
        <f t="shared" si="8"/>
        <v>0</v>
      </c>
      <c r="AD451" s="458" t="str">
        <f t="shared" si="738"/>
        <v>0</v>
      </c>
      <c r="AE451" s="458" t="str">
        <f t="shared" si="10"/>
        <v>0</v>
      </c>
      <c r="AF451" s="459" t="str">
        <f t="shared" ref="AF451:AF549" si="784">(MIN(H451,2)+G451-U451)*5</f>
        <v>0</v>
      </c>
      <c r="AG451" s="460"/>
      <c r="AH451" s="14"/>
      <c r="AI451" s="14"/>
      <c r="AJ451" s="14"/>
      <c r="AK451" s="14"/>
      <c r="AL451" s="14"/>
      <c r="AM451" s="14"/>
      <c r="AN451" s="14"/>
      <c r="AO451" s="14"/>
      <c r="AP451" s="14"/>
      <c r="AQ451" s="14"/>
      <c r="AR451" s="14"/>
      <c r="AS451" s="14"/>
      <c r="AT451" s="14"/>
    </row>
    <row r="452">
      <c r="A452" s="442"/>
      <c r="B452" s="442">
        <v>1.0</v>
      </c>
      <c r="C452" s="482" t="s">
        <v>1055</v>
      </c>
      <c r="D452" s="483" t="s">
        <v>15</v>
      </c>
      <c r="E452" s="483" t="s">
        <v>33</v>
      </c>
      <c r="F452" s="512" t="s">
        <v>77</v>
      </c>
      <c r="G452" s="471">
        <v>2.0</v>
      </c>
      <c r="H452" s="471">
        <v>0.0</v>
      </c>
      <c r="I452" s="486">
        <v>1.0</v>
      </c>
      <c r="J452" s="486">
        <v>1.0</v>
      </c>
      <c r="K452" s="499" t="s">
        <v>188</v>
      </c>
      <c r="L452" s="499"/>
      <c r="M452" s="499">
        <v>2.0</v>
      </c>
      <c r="N452" s="499">
        <v>1.0</v>
      </c>
      <c r="O452" s="223" t="s">
        <v>1056</v>
      </c>
      <c r="P452" s="14"/>
      <c r="Q452" s="452" t="str">
        <f>MATCH($D452,Reference!$J$5:$J$9,0)</f>
        <v>2</v>
      </c>
      <c r="R452" s="452" t="str">
        <f>MATCH($E452,Reference!$J$26:$J$32,0)</f>
        <v>2</v>
      </c>
      <c r="S452" s="452" t="str">
        <f>MATCH($F452,Reference!$J$45:$J$54,0)</f>
        <v>10</v>
      </c>
      <c r="T452" s="453" t="str">
        <f>MATCH($K452,Reference!$J$37:$J$39,0)</f>
        <v>3</v>
      </c>
      <c r="U452" s="454" t="str">
        <f t="shared" si="735"/>
        <v>2</v>
      </c>
      <c r="V452" s="454" t="str">
        <f t="shared" si="3"/>
        <v>1</v>
      </c>
      <c r="W452" s="454" t="str">
        <f t="shared" si="782"/>
        <v>0</v>
      </c>
      <c r="X452" s="454" t="str">
        <f t="shared" si="736"/>
        <v>2</v>
      </c>
      <c r="Y452" s="456" t="str">
        <f t="shared" si="5"/>
        <v>FALSE</v>
      </c>
      <c r="Z452" s="456" t="str">
        <f t="shared" si="6"/>
        <v>FALSE</v>
      </c>
      <c r="AA452" s="457" t="str">
        <f t="shared" ref="AA452:AB452" si="783">1-I452</f>
        <v>0%</v>
      </c>
      <c r="AB452" s="457" t="str">
        <f t="shared" si="783"/>
        <v>0%</v>
      </c>
      <c r="AC452" s="456" t="str">
        <f t="shared" si="8"/>
        <v>2</v>
      </c>
      <c r="AD452" s="458" t="str">
        <f t="shared" si="738"/>
        <v>0</v>
      </c>
      <c r="AE452" s="458" t="str">
        <f t="shared" si="10"/>
        <v>1</v>
      </c>
      <c r="AF452" s="459" t="str">
        <f t="shared" si="784"/>
        <v>0</v>
      </c>
      <c r="AG452" s="460"/>
      <c r="AH452" s="14"/>
      <c r="AI452" s="14"/>
      <c r="AJ452" s="14"/>
      <c r="AK452" s="14"/>
      <c r="AL452" s="14"/>
      <c r="AM452" s="14"/>
      <c r="AN452" s="14"/>
      <c r="AO452" s="14"/>
      <c r="AP452" s="14"/>
      <c r="AQ452" s="14"/>
      <c r="AR452" s="14"/>
      <c r="AS452" s="14"/>
      <c r="AT452" s="14"/>
    </row>
    <row r="453">
      <c r="A453" s="442"/>
      <c r="B453" s="442">
        <v>1.0</v>
      </c>
      <c r="C453" s="482" t="s">
        <v>1057</v>
      </c>
      <c r="D453" s="483" t="s">
        <v>15</v>
      </c>
      <c r="E453" s="483" t="s">
        <v>33</v>
      </c>
      <c r="F453" s="484" t="s">
        <v>77</v>
      </c>
      <c r="G453" s="471">
        <v>2.0</v>
      </c>
      <c r="H453" s="471">
        <v>0.0</v>
      </c>
      <c r="I453" s="486">
        <v>1.0</v>
      </c>
      <c r="J453" s="486">
        <v>1.0</v>
      </c>
      <c r="K453" s="499" t="s">
        <v>188</v>
      </c>
      <c r="L453" s="499"/>
      <c r="M453" s="499">
        <v>1.0</v>
      </c>
      <c r="N453" s="499">
        <v>1.0</v>
      </c>
      <c r="O453" s="223" t="s">
        <v>492</v>
      </c>
      <c r="P453" s="681"/>
      <c r="Q453" s="452" t="str">
        <f>MATCH($D453,Reference!$J$5:$J$9,0)</f>
        <v>2</v>
      </c>
      <c r="R453" s="452" t="str">
        <f>MATCH($E453,Reference!$J$26:$J$32,0)</f>
        <v>2</v>
      </c>
      <c r="S453" s="452" t="str">
        <f>MATCH($F453,Reference!$J$45:$J$54,0)</f>
        <v>10</v>
      </c>
      <c r="T453" s="453" t="str">
        <f>MATCH($K453,Reference!$J$37:$J$39,0)</f>
        <v>3</v>
      </c>
      <c r="U453" s="454" t="str">
        <f t="shared" si="735"/>
        <v>2</v>
      </c>
      <c r="V453" s="454" t="str">
        <f t="shared" si="3"/>
        <v>1</v>
      </c>
      <c r="W453" s="454" t="str">
        <f t="shared" si="782"/>
        <v>0</v>
      </c>
      <c r="X453" s="454" t="str">
        <f t="shared" si="736"/>
        <v>2</v>
      </c>
      <c r="Y453" s="456" t="str">
        <f t="shared" si="5"/>
        <v>FALSE</v>
      </c>
      <c r="Z453" s="456" t="str">
        <f t="shared" si="6"/>
        <v>FALSE</v>
      </c>
      <c r="AA453" s="457" t="str">
        <f t="shared" ref="AA453:AB453" si="785">1-I453</f>
        <v>0%</v>
      </c>
      <c r="AB453" s="457" t="str">
        <f t="shared" si="785"/>
        <v>0%</v>
      </c>
      <c r="AC453" s="456" t="str">
        <f t="shared" si="8"/>
        <v>2</v>
      </c>
      <c r="AD453" s="458" t="str">
        <f t="shared" si="738"/>
        <v>0</v>
      </c>
      <c r="AE453" s="458" t="str">
        <f t="shared" si="10"/>
        <v>1</v>
      </c>
      <c r="AF453" s="459" t="str">
        <f t="shared" si="784"/>
        <v>0</v>
      </c>
      <c r="AG453" s="460"/>
      <c r="AH453" s="14"/>
      <c r="AI453" s="14"/>
      <c r="AJ453" s="14"/>
      <c r="AK453" s="14"/>
      <c r="AL453" s="14"/>
      <c r="AM453" s="14"/>
      <c r="AN453" s="14"/>
      <c r="AO453" s="14"/>
      <c r="AP453" s="14"/>
      <c r="AQ453" s="14"/>
      <c r="AR453" s="14"/>
      <c r="AS453" s="14"/>
      <c r="AT453" s="14"/>
    </row>
    <row r="454">
      <c r="A454" s="442"/>
      <c r="B454" s="463">
        <v>1.0</v>
      </c>
      <c r="C454" s="538" t="s">
        <v>1058</v>
      </c>
      <c r="D454" s="539" t="s">
        <v>15</v>
      </c>
      <c r="E454" s="539" t="s">
        <v>35</v>
      </c>
      <c r="F454" s="540" t="s">
        <v>77</v>
      </c>
      <c r="G454" s="541">
        <v>2.0</v>
      </c>
      <c r="H454" s="541">
        <v>0.0</v>
      </c>
      <c r="I454" s="494">
        <v>1.0</v>
      </c>
      <c r="J454" s="494">
        <v>1.0</v>
      </c>
      <c r="K454" s="542" t="s">
        <v>188</v>
      </c>
      <c r="L454" s="542" t="s">
        <v>198</v>
      </c>
      <c r="M454" s="542">
        <v>2.0</v>
      </c>
      <c r="N454" s="542">
        <v>1.0</v>
      </c>
      <c r="O454" s="543" t="s">
        <v>1059</v>
      </c>
      <c r="P454" s="14"/>
      <c r="Q454" s="452" t="str">
        <f>MATCH($D454,Reference!$J$5:$J$9,0)</f>
        <v>2</v>
      </c>
      <c r="R454" s="452" t="str">
        <f>MATCH($E454,Reference!$J$26:$J$32,0)</f>
        <v>5</v>
      </c>
      <c r="S454" s="452" t="str">
        <f>MATCH($F454,Reference!$J$45:$J$54,0)</f>
        <v>10</v>
      </c>
      <c r="T454" s="453" t="str">
        <f>MATCH($K454,Reference!$J$37:$J$39,0)</f>
        <v>3</v>
      </c>
      <c r="U454" s="454" t="str">
        <f t="shared" si="735"/>
        <v>2</v>
      </c>
      <c r="V454" s="454" t="str">
        <f t="shared" si="3"/>
        <v>1</v>
      </c>
      <c r="W454" s="454" t="str">
        <f t="shared" si="782"/>
        <v>0</v>
      </c>
      <c r="X454" s="454" t="str">
        <f t="shared" si="736"/>
        <v>2</v>
      </c>
      <c r="Y454" s="456" t="str">
        <f t="shared" si="5"/>
        <v>FALSE</v>
      </c>
      <c r="Z454" s="456" t="str">
        <f t="shared" si="6"/>
        <v>FALSE</v>
      </c>
      <c r="AA454" s="457" t="str">
        <f t="shared" ref="AA454:AB454" si="786">1-I454</f>
        <v>0%</v>
      </c>
      <c r="AB454" s="457" t="str">
        <f t="shared" si="786"/>
        <v>0%</v>
      </c>
      <c r="AC454" s="456" t="str">
        <f t="shared" si="8"/>
        <v>2</v>
      </c>
      <c r="AD454" s="458" t="str">
        <f t="shared" si="738"/>
        <v>0</v>
      </c>
      <c r="AE454" s="458" t="str">
        <f t="shared" si="10"/>
        <v>1</v>
      </c>
      <c r="AF454" s="459" t="str">
        <f t="shared" si="784"/>
        <v>0</v>
      </c>
      <c r="AG454" s="460"/>
      <c r="AH454" s="14"/>
      <c r="AI454" s="14"/>
      <c r="AJ454" s="14"/>
      <c r="AK454" s="14"/>
      <c r="AL454" s="14"/>
      <c r="AM454" s="14"/>
      <c r="AN454" s="14"/>
      <c r="AO454" s="14"/>
      <c r="AP454" s="14"/>
      <c r="AQ454" s="14"/>
      <c r="AR454" s="14"/>
      <c r="AS454" s="14"/>
      <c r="AT454" s="14"/>
    </row>
    <row r="455">
      <c r="A455" s="442"/>
      <c r="B455" s="463">
        <v>1.0</v>
      </c>
      <c r="C455" s="538" t="s">
        <v>1060</v>
      </c>
      <c r="D455" s="539" t="s">
        <v>15</v>
      </c>
      <c r="E455" s="539" t="s">
        <v>35</v>
      </c>
      <c r="F455" s="540" t="s">
        <v>77</v>
      </c>
      <c r="G455" s="541">
        <v>2.0</v>
      </c>
      <c r="H455" s="541">
        <v>0.0</v>
      </c>
      <c r="I455" s="494">
        <v>1.0</v>
      </c>
      <c r="J455" s="494">
        <v>1.0</v>
      </c>
      <c r="K455" s="542" t="s">
        <v>188</v>
      </c>
      <c r="L455" s="542"/>
      <c r="M455" s="542">
        <v>1.0</v>
      </c>
      <c r="N455" s="542">
        <v>2.0</v>
      </c>
      <c r="O455" s="543" t="s">
        <v>1061</v>
      </c>
      <c r="P455" s="14"/>
      <c r="Q455" s="452" t="str">
        <f>MATCH($D455,Reference!$J$5:$J$9,0)</f>
        <v>2</v>
      </c>
      <c r="R455" s="452" t="str">
        <f>MATCH($E455,Reference!$J$26:$J$32,0)</f>
        <v>5</v>
      </c>
      <c r="S455" s="452" t="str">
        <f>MATCH($F455,Reference!$J$45:$J$54,0)</f>
        <v>10</v>
      </c>
      <c r="T455" s="453" t="str">
        <f>MATCH($K455,Reference!$J$37:$J$39,0)</f>
        <v>3</v>
      </c>
      <c r="U455" s="454" t="str">
        <f t="shared" si="735"/>
        <v>2</v>
      </c>
      <c r="V455" s="454" t="str">
        <f t="shared" si="3"/>
        <v>1</v>
      </c>
      <c r="W455" s="454" t="str">
        <f t="shared" si="782"/>
        <v>0</v>
      </c>
      <c r="X455" s="454" t="str">
        <f t="shared" si="736"/>
        <v>2</v>
      </c>
      <c r="Y455" s="456" t="str">
        <f t="shared" si="5"/>
        <v>FALSE</v>
      </c>
      <c r="Z455" s="456" t="str">
        <f t="shared" si="6"/>
        <v>FALSE</v>
      </c>
      <c r="AA455" s="457" t="str">
        <f t="shared" ref="AA455:AB455" si="787">1-I455</f>
        <v>0%</v>
      </c>
      <c r="AB455" s="457" t="str">
        <f t="shared" si="787"/>
        <v>0%</v>
      </c>
      <c r="AC455" s="456" t="str">
        <f t="shared" si="8"/>
        <v>2</v>
      </c>
      <c r="AD455" s="458" t="str">
        <f t="shared" si="738"/>
        <v>0</v>
      </c>
      <c r="AE455" s="458" t="str">
        <f t="shared" si="10"/>
        <v>1</v>
      </c>
      <c r="AF455" s="459" t="str">
        <f t="shared" si="784"/>
        <v>0</v>
      </c>
      <c r="AG455" s="460"/>
      <c r="AH455" s="14"/>
      <c r="AI455" s="14"/>
      <c r="AJ455" s="14"/>
      <c r="AK455" s="14"/>
      <c r="AL455" s="14"/>
      <c r="AM455" s="14"/>
      <c r="AN455" s="14"/>
      <c r="AO455" s="14"/>
      <c r="AP455" s="14"/>
      <c r="AQ455" s="14"/>
      <c r="AR455" s="14"/>
      <c r="AS455" s="14"/>
      <c r="AT455" s="14"/>
    </row>
    <row r="456">
      <c r="A456" s="442"/>
      <c r="B456" s="466">
        <v>1.0</v>
      </c>
      <c r="C456" s="475" t="s">
        <v>1062</v>
      </c>
      <c r="D456" s="476" t="s">
        <v>15</v>
      </c>
      <c r="E456" s="477" t="s">
        <v>36</v>
      </c>
      <c r="F456" s="477" t="s">
        <v>77</v>
      </c>
      <c r="G456" s="478">
        <v>2.0</v>
      </c>
      <c r="H456" s="478">
        <v>0.0</v>
      </c>
      <c r="I456" s="479">
        <v>1.0</v>
      </c>
      <c r="J456" s="479">
        <v>1.0</v>
      </c>
      <c r="K456" s="477" t="s">
        <v>188</v>
      </c>
      <c r="L456" s="477"/>
      <c r="M456" s="477">
        <v>1.0</v>
      </c>
      <c r="N456" s="477">
        <v>2.0</v>
      </c>
      <c r="O456" s="480" t="s">
        <v>1063</v>
      </c>
      <c r="P456" s="14"/>
      <c r="Q456" s="452" t="str">
        <f>MATCH($D456,Reference!$J$5:$J$9,0)</f>
        <v>2</v>
      </c>
      <c r="R456" s="452" t="str">
        <f>MATCH($E456,Reference!$J$26:$J$32,0)</f>
        <v>7</v>
      </c>
      <c r="S456" s="452" t="str">
        <f>MATCH($F456,Reference!$J$45:$J$54,0)</f>
        <v>10</v>
      </c>
      <c r="T456" s="453" t="str">
        <f>MATCH($K456,Reference!$J$37:$J$39,0)</f>
        <v>3</v>
      </c>
      <c r="U456" s="454" t="str">
        <f t="shared" si="735"/>
        <v>2</v>
      </c>
      <c r="V456" s="454" t="str">
        <f t="shared" si="3"/>
        <v>1</v>
      </c>
      <c r="W456" s="454" t="str">
        <f t="shared" si="782"/>
        <v>0</v>
      </c>
      <c r="X456" s="454" t="str">
        <f t="shared" si="736"/>
        <v>2</v>
      </c>
      <c r="Y456" s="456" t="str">
        <f t="shared" si="5"/>
        <v>FALSE</v>
      </c>
      <c r="Z456" s="456" t="str">
        <f t="shared" si="6"/>
        <v>FALSE</v>
      </c>
      <c r="AA456" s="457" t="str">
        <f t="shared" ref="AA456:AB456" si="788">1-I456</f>
        <v>0%</v>
      </c>
      <c r="AB456" s="457" t="str">
        <f t="shared" si="788"/>
        <v>0%</v>
      </c>
      <c r="AC456" s="456" t="str">
        <f t="shared" si="8"/>
        <v>2</v>
      </c>
      <c r="AD456" s="458" t="str">
        <f t="shared" si="738"/>
        <v>0</v>
      </c>
      <c r="AE456" s="458" t="str">
        <f t="shared" si="10"/>
        <v>1</v>
      </c>
      <c r="AF456" s="459" t="str">
        <f t="shared" si="784"/>
        <v>0</v>
      </c>
      <c r="AG456" s="460"/>
      <c r="AH456" s="14"/>
      <c r="AI456" s="14"/>
      <c r="AJ456" s="14"/>
      <c r="AK456" s="14"/>
      <c r="AL456" s="14"/>
      <c r="AM456" s="14"/>
      <c r="AN456" s="14"/>
      <c r="AO456" s="14"/>
      <c r="AP456" s="14"/>
      <c r="AQ456" s="14"/>
      <c r="AR456" s="14"/>
      <c r="AS456" s="14"/>
      <c r="AT456" s="14"/>
    </row>
    <row r="457">
      <c r="A457" s="463"/>
      <c r="B457" s="442">
        <v>1.0</v>
      </c>
      <c r="C457" s="482" t="s">
        <v>1064</v>
      </c>
      <c r="D457" s="483" t="s">
        <v>15</v>
      </c>
      <c r="E457" s="483" t="s">
        <v>33</v>
      </c>
      <c r="F457" s="484" t="s">
        <v>77</v>
      </c>
      <c r="G457" s="471">
        <v>2.0</v>
      </c>
      <c r="H457" s="471">
        <v>0.0</v>
      </c>
      <c r="I457" s="486">
        <v>1.0</v>
      </c>
      <c r="J457" s="486">
        <v>1.0</v>
      </c>
      <c r="K457" s="499" t="s">
        <v>188</v>
      </c>
      <c r="L457" s="499"/>
      <c r="M457" s="499">
        <v>2.0</v>
      </c>
      <c r="N457" s="499">
        <v>1.0</v>
      </c>
      <c r="O457" s="223" t="s">
        <v>1065</v>
      </c>
      <c r="P457" s="14"/>
      <c r="Q457" s="452" t="str">
        <f>MATCH($D457,Reference!$J$5:$J$9,0)</f>
        <v>2</v>
      </c>
      <c r="R457" s="452" t="str">
        <f>MATCH($E457,Reference!$J$26:$J$32,0)</f>
        <v>2</v>
      </c>
      <c r="S457" s="452" t="str">
        <f>MATCH($F457,Reference!$J$45:$J$54,0)</f>
        <v>10</v>
      </c>
      <c r="T457" s="453" t="str">
        <f>MATCH($K457,Reference!$J$37:$J$39,0)</f>
        <v>3</v>
      </c>
      <c r="U457" s="454" t="str">
        <f t="shared" si="735"/>
        <v>2</v>
      </c>
      <c r="V457" s="454" t="str">
        <f t="shared" si="3"/>
        <v>1</v>
      </c>
      <c r="W457" s="454" t="str">
        <f t="shared" si="782"/>
        <v>0</v>
      </c>
      <c r="X457" s="454" t="str">
        <f t="shared" si="736"/>
        <v>2</v>
      </c>
      <c r="Y457" s="456" t="str">
        <f t="shared" si="5"/>
        <v>FALSE</v>
      </c>
      <c r="Z457" s="456" t="str">
        <f t="shared" si="6"/>
        <v>FALSE</v>
      </c>
      <c r="AA457" s="457" t="str">
        <f t="shared" ref="AA457:AB457" si="789">1-I457</f>
        <v>0%</v>
      </c>
      <c r="AB457" s="457" t="str">
        <f t="shared" si="789"/>
        <v>0%</v>
      </c>
      <c r="AC457" s="456" t="str">
        <f t="shared" si="8"/>
        <v>2</v>
      </c>
      <c r="AD457" s="458" t="str">
        <f t="shared" si="738"/>
        <v>0</v>
      </c>
      <c r="AE457" s="458" t="str">
        <f t="shared" si="10"/>
        <v>1</v>
      </c>
      <c r="AF457" s="459" t="str">
        <f t="shared" si="784"/>
        <v>0</v>
      </c>
      <c r="AG457" s="460"/>
      <c r="AH457" s="14"/>
      <c r="AI457" s="14"/>
      <c r="AJ457" s="14"/>
      <c r="AK457" s="14"/>
      <c r="AL457" s="14"/>
      <c r="AM457" s="14"/>
      <c r="AN457" s="14"/>
      <c r="AO457" s="14"/>
      <c r="AP457" s="14"/>
      <c r="AQ457" s="14"/>
      <c r="AR457" s="14"/>
      <c r="AS457" s="14"/>
      <c r="AT457" s="14"/>
    </row>
    <row r="458">
      <c r="A458" s="442"/>
      <c r="B458" s="466">
        <v>1.0</v>
      </c>
      <c r="C458" s="475" t="s">
        <v>1066</v>
      </c>
      <c r="D458" s="476" t="s">
        <v>15</v>
      </c>
      <c r="E458" s="477" t="s">
        <v>36</v>
      </c>
      <c r="F458" s="477" t="s">
        <v>77</v>
      </c>
      <c r="G458" s="478">
        <v>2.0</v>
      </c>
      <c r="H458" s="478">
        <v>0.0</v>
      </c>
      <c r="I458" s="479">
        <v>1.0</v>
      </c>
      <c r="J458" s="479">
        <v>1.0</v>
      </c>
      <c r="K458" s="476" t="s">
        <v>188</v>
      </c>
      <c r="L458" s="477"/>
      <c r="M458" s="477">
        <v>1.0</v>
      </c>
      <c r="N458" s="478">
        <v>2.0</v>
      </c>
      <c r="O458" s="480" t="s">
        <v>1067</v>
      </c>
      <c r="P458" s="14"/>
      <c r="Q458" s="452" t="str">
        <f>MATCH($D458,Reference!$J$5:$J$9,0)</f>
        <v>2</v>
      </c>
      <c r="R458" s="452" t="str">
        <f>MATCH($E458,Reference!$J$26:$J$32,0)</f>
        <v>7</v>
      </c>
      <c r="S458" s="452" t="str">
        <f>MATCH($F458,Reference!$J$45:$J$54,0)</f>
        <v>10</v>
      </c>
      <c r="T458" s="453" t="str">
        <f>MATCH($K458,Reference!$J$37:$J$39,0)</f>
        <v>3</v>
      </c>
      <c r="U458" s="454" t="str">
        <f t="shared" si="735"/>
        <v>2</v>
      </c>
      <c r="V458" s="454" t="str">
        <f t="shared" si="3"/>
        <v>1</v>
      </c>
      <c r="W458" s="454" t="str">
        <f t="shared" si="782"/>
        <v>0</v>
      </c>
      <c r="X458" s="454" t="str">
        <f t="shared" si="736"/>
        <v>2</v>
      </c>
      <c r="Y458" s="456" t="str">
        <f t="shared" si="5"/>
        <v>FALSE</v>
      </c>
      <c r="Z458" s="456" t="str">
        <f t="shared" si="6"/>
        <v>FALSE</v>
      </c>
      <c r="AA458" s="457" t="str">
        <f t="shared" ref="AA458:AB458" si="790">1-I458</f>
        <v>0%</v>
      </c>
      <c r="AB458" s="457" t="str">
        <f t="shared" si="790"/>
        <v>0%</v>
      </c>
      <c r="AC458" s="456" t="str">
        <f t="shared" si="8"/>
        <v>2</v>
      </c>
      <c r="AD458" s="458" t="str">
        <f t="shared" si="738"/>
        <v>0</v>
      </c>
      <c r="AE458" s="458" t="str">
        <f t="shared" si="10"/>
        <v>1</v>
      </c>
      <c r="AF458" s="459" t="str">
        <f t="shared" si="784"/>
        <v>0</v>
      </c>
      <c r="AG458" s="460"/>
      <c r="AH458" s="14"/>
      <c r="AI458" s="14"/>
      <c r="AJ458" s="14"/>
      <c r="AK458" s="14"/>
      <c r="AL458" s="14"/>
      <c r="AM458" s="14"/>
      <c r="AN458" s="14"/>
      <c r="AO458" s="14"/>
      <c r="AP458" s="14"/>
      <c r="AQ458" s="14"/>
      <c r="AR458" s="14"/>
      <c r="AS458" s="14"/>
      <c r="AT458" s="14"/>
    </row>
    <row r="459">
      <c r="A459" s="469"/>
      <c r="B459" s="442">
        <v>1.0</v>
      </c>
      <c r="C459" s="482" t="s">
        <v>1068</v>
      </c>
      <c r="D459" s="483" t="s">
        <v>15</v>
      </c>
      <c r="E459" s="483" t="s">
        <v>33</v>
      </c>
      <c r="F459" s="484" t="s">
        <v>77</v>
      </c>
      <c r="G459" s="471">
        <v>2.0</v>
      </c>
      <c r="H459" s="485">
        <v>0.0</v>
      </c>
      <c r="I459" s="486">
        <v>1.0</v>
      </c>
      <c r="J459" s="486">
        <v>1.0</v>
      </c>
      <c r="K459" s="499" t="s">
        <v>188</v>
      </c>
      <c r="L459" s="499"/>
      <c r="M459" s="499">
        <v>0.0</v>
      </c>
      <c r="N459" s="499">
        <v>4.0</v>
      </c>
      <c r="O459" s="223" t="s">
        <v>189</v>
      </c>
      <c r="P459" s="14"/>
      <c r="Q459" s="452" t="str">
        <f>MATCH($D459,Reference!$J$5:$J$9,0)</f>
        <v>2</v>
      </c>
      <c r="R459" s="452" t="str">
        <f>MATCH($E459,Reference!$J$26:$J$32,0)</f>
        <v>2</v>
      </c>
      <c r="S459" s="452" t="str">
        <f>MATCH($F459,Reference!$J$45:$J$54,0)</f>
        <v>10</v>
      </c>
      <c r="T459" s="453" t="str">
        <f>MATCH($K459,Reference!$J$37:$J$39,0)</f>
        <v>3</v>
      </c>
      <c r="U459" s="454" t="str">
        <f t="shared" si="735"/>
        <v>2</v>
      </c>
      <c r="V459" s="454" t="str">
        <f t="shared" si="3"/>
        <v>1</v>
      </c>
      <c r="W459" s="454" t="str">
        <f t="shared" si="782"/>
        <v>0</v>
      </c>
      <c r="X459" s="454" t="str">
        <f t="shared" si="736"/>
        <v>2</v>
      </c>
      <c r="Y459" s="456" t="str">
        <f t="shared" si="5"/>
        <v>FALSE</v>
      </c>
      <c r="Z459" s="456" t="str">
        <f t="shared" si="6"/>
        <v>FALSE</v>
      </c>
      <c r="AA459" s="457" t="str">
        <f t="shared" ref="AA459:AB459" si="791">1-I459</f>
        <v>0%</v>
      </c>
      <c r="AB459" s="457" t="str">
        <f t="shared" si="791"/>
        <v>0%</v>
      </c>
      <c r="AC459" s="456" t="str">
        <f t="shared" si="8"/>
        <v>2</v>
      </c>
      <c r="AD459" s="458" t="str">
        <f t="shared" si="738"/>
        <v>0</v>
      </c>
      <c r="AE459" s="458" t="str">
        <f t="shared" si="10"/>
        <v>1</v>
      </c>
      <c r="AF459" s="459" t="str">
        <f t="shared" si="784"/>
        <v>0</v>
      </c>
      <c r="AG459" s="460"/>
      <c r="AH459" s="14"/>
      <c r="AI459" s="14"/>
      <c r="AJ459" s="14"/>
      <c r="AK459" s="14"/>
      <c r="AL459" s="14"/>
      <c r="AM459" s="14"/>
      <c r="AN459" s="14"/>
      <c r="AO459" s="14"/>
      <c r="AP459" s="14"/>
      <c r="AQ459" s="14"/>
      <c r="AR459" s="14"/>
      <c r="AS459" s="14"/>
      <c r="AT459" s="14"/>
    </row>
    <row r="460">
      <c r="A460" s="466"/>
      <c r="B460" s="442">
        <v>1.0</v>
      </c>
      <c r="C460" s="482" t="s">
        <v>1069</v>
      </c>
      <c r="D460" s="483" t="s">
        <v>15</v>
      </c>
      <c r="E460" s="483" t="s">
        <v>33</v>
      </c>
      <c r="F460" s="484" t="s">
        <v>77</v>
      </c>
      <c r="G460" s="471">
        <v>2.0</v>
      </c>
      <c r="H460" s="471">
        <v>0.0</v>
      </c>
      <c r="I460" s="486">
        <v>1.0</v>
      </c>
      <c r="J460" s="486">
        <v>1.0</v>
      </c>
      <c r="K460" s="499" t="s">
        <v>188</v>
      </c>
      <c r="L460" s="499" t="s">
        <v>660</v>
      </c>
      <c r="M460" s="499">
        <v>2.0</v>
      </c>
      <c r="N460" s="499">
        <v>1.0</v>
      </c>
      <c r="O460" s="223" t="s">
        <v>1070</v>
      </c>
      <c r="P460" s="14"/>
      <c r="Q460" s="452" t="str">
        <f>MATCH($D460,Reference!$J$5:$J$9,0)</f>
        <v>2</v>
      </c>
      <c r="R460" s="452" t="str">
        <f>MATCH($E460,Reference!$J$26:$J$32,0)</f>
        <v>2</v>
      </c>
      <c r="S460" s="452" t="str">
        <f>MATCH($F460,Reference!$J$45:$J$54,0)</f>
        <v>10</v>
      </c>
      <c r="T460" s="453" t="str">
        <f>MATCH($K460,Reference!$J$37:$J$39,0)</f>
        <v>3</v>
      </c>
      <c r="U460" s="454" t="str">
        <f t="shared" si="735"/>
        <v>2</v>
      </c>
      <c r="V460" s="454" t="str">
        <f t="shared" si="3"/>
        <v>1</v>
      </c>
      <c r="W460" s="454" t="str">
        <f t="shared" si="782"/>
        <v>0</v>
      </c>
      <c r="X460" s="454" t="str">
        <f t="shared" si="736"/>
        <v>2</v>
      </c>
      <c r="Y460" s="456" t="str">
        <f t="shared" si="5"/>
        <v>FALSE</v>
      </c>
      <c r="Z460" s="456" t="str">
        <f t="shared" si="6"/>
        <v>FALSE</v>
      </c>
      <c r="AA460" s="457" t="str">
        <f t="shared" ref="AA460:AB460" si="792">1-I460</f>
        <v>0%</v>
      </c>
      <c r="AB460" s="457" t="str">
        <f t="shared" si="792"/>
        <v>0%</v>
      </c>
      <c r="AC460" s="456" t="str">
        <f t="shared" si="8"/>
        <v>2</v>
      </c>
      <c r="AD460" s="458" t="str">
        <f t="shared" si="738"/>
        <v>0</v>
      </c>
      <c r="AE460" s="458" t="str">
        <f t="shared" si="10"/>
        <v>1</v>
      </c>
      <c r="AF460" s="459" t="str">
        <f t="shared" si="784"/>
        <v>0</v>
      </c>
      <c r="AG460" s="460"/>
      <c r="AH460" s="14"/>
      <c r="AI460" s="14"/>
      <c r="AJ460" s="14"/>
      <c r="AK460" s="14"/>
      <c r="AL460" s="14"/>
      <c r="AM460" s="14"/>
      <c r="AN460" s="14"/>
      <c r="AO460" s="14"/>
      <c r="AP460" s="14"/>
      <c r="AQ460" s="14"/>
      <c r="AR460" s="14"/>
      <c r="AS460" s="14"/>
      <c r="AT460" s="14"/>
    </row>
    <row r="461">
      <c r="A461" s="442"/>
      <c r="B461" s="466">
        <v>1.0</v>
      </c>
      <c r="C461" s="475" t="s">
        <v>1071</v>
      </c>
      <c r="D461" s="476" t="s">
        <v>15</v>
      </c>
      <c r="E461" s="477" t="s">
        <v>36</v>
      </c>
      <c r="F461" s="477" t="s">
        <v>77</v>
      </c>
      <c r="G461" s="478">
        <v>2.0</v>
      </c>
      <c r="H461" s="478">
        <v>0.0</v>
      </c>
      <c r="I461" s="479">
        <v>1.0</v>
      </c>
      <c r="J461" s="479">
        <v>1.0</v>
      </c>
      <c r="K461" s="477" t="s">
        <v>188</v>
      </c>
      <c r="L461" s="477"/>
      <c r="M461" s="477">
        <v>2.0</v>
      </c>
      <c r="N461" s="477">
        <v>1.0</v>
      </c>
      <c r="O461" s="480" t="s">
        <v>1072</v>
      </c>
      <c r="P461" s="14"/>
      <c r="Q461" s="452" t="str">
        <f>MATCH($D461,Reference!$J$5:$J$9,0)</f>
        <v>2</v>
      </c>
      <c r="R461" s="452" t="str">
        <f>MATCH($E461,Reference!$J$26:$J$32,0)</f>
        <v>7</v>
      </c>
      <c r="S461" s="452" t="str">
        <f>MATCH($F461,Reference!$J$45:$J$54,0)</f>
        <v>10</v>
      </c>
      <c r="T461" s="453" t="str">
        <f>MATCH($K461,Reference!$J$37:$J$39,0)</f>
        <v>3</v>
      </c>
      <c r="U461" s="454" t="str">
        <f t="shared" si="735"/>
        <v>2</v>
      </c>
      <c r="V461" s="454" t="str">
        <f t="shared" si="3"/>
        <v>1</v>
      </c>
      <c r="W461" s="454" t="str">
        <f t="shared" si="782"/>
        <v>0</v>
      </c>
      <c r="X461" s="454" t="str">
        <f t="shared" si="736"/>
        <v>2</v>
      </c>
      <c r="Y461" s="456" t="str">
        <f t="shared" si="5"/>
        <v>FALSE</v>
      </c>
      <c r="Z461" s="456" t="str">
        <f t="shared" si="6"/>
        <v>FALSE</v>
      </c>
      <c r="AA461" s="457" t="str">
        <f t="shared" ref="AA461:AB461" si="793">1-I461</f>
        <v>0%</v>
      </c>
      <c r="AB461" s="457" t="str">
        <f t="shared" si="793"/>
        <v>0%</v>
      </c>
      <c r="AC461" s="456" t="str">
        <f t="shared" si="8"/>
        <v>2</v>
      </c>
      <c r="AD461" s="458" t="str">
        <f t="shared" si="738"/>
        <v>0</v>
      </c>
      <c r="AE461" s="458" t="str">
        <f t="shared" si="10"/>
        <v>1</v>
      </c>
      <c r="AF461" s="459" t="str">
        <f t="shared" si="784"/>
        <v>0</v>
      </c>
      <c r="AG461" s="460"/>
      <c r="AH461" s="14"/>
      <c r="AI461" s="14"/>
      <c r="AJ461" s="14"/>
      <c r="AK461" s="14"/>
      <c r="AL461" s="14"/>
      <c r="AM461" s="14"/>
      <c r="AN461" s="14"/>
      <c r="AO461" s="14"/>
      <c r="AP461" s="14"/>
      <c r="AQ461" s="14"/>
      <c r="AR461" s="14"/>
      <c r="AS461" s="14"/>
      <c r="AT461" s="14"/>
    </row>
    <row r="462">
      <c r="A462" s="466"/>
      <c r="B462" s="682">
        <v>1.0</v>
      </c>
      <c r="C462" s="683" t="s">
        <v>1073</v>
      </c>
      <c r="D462" s="684" t="s">
        <v>15</v>
      </c>
      <c r="E462" s="684" t="s">
        <v>41</v>
      </c>
      <c r="F462" s="685" t="s">
        <v>77</v>
      </c>
      <c r="G462" s="686" t="str">
        <f>IF(Summary!$Y$25&gt;=VLOOKUP(C462,Reference!$N$41:$O$70,2,0),2,0)</f>
        <v>2</v>
      </c>
      <c r="H462" s="686">
        <v>0.0</v>
      </c>
      <c r="I462" s="518">
        <v>1.0</v>
      </c>
      <c r="J462" s="518"/>
      <c r="K462" s="687" t="s">
        <v>188</v>
      </c>
      <c r="L462" s="687"/>
      <c r="M462" s="687">
        <v>1.0</v>
      </c>
      <c r="N462" s="687">
        <v>2.0</v>
      </c>
      <c r="O462" s="688" t="s">
        <v>1074</v>
      </c>
      <c r="P462" s="14"/>
      <c r="Q462" s="452" t="str">
        <f>MATCH($D462,Reference!$J$5:$J$9,0)</f>
        <v>2</v>
      </c>
      <c r="R462" s="452" t="str">
        <f>MATCH($E462,Reference!$J$26:$J$32,0)</f>
        <v>4</v>
      </c>
      <c r="S462" s="452" t="str">
        <f>MATCH($F462,Reference!$J$45:$J$54,0)</f>
        <v>10</v>
      </c>
      <c r="T462" s="453" t="str">
        <f>MATCH($K462,Reference!$J$37:$J$39,0)</f>
        <v>3</v>
      </c>
      <c r="U462" s="454" t="str">
        <f t="shared" si="735"/>
        <v>2</v>
      </c>
      <c r="V462" s="454" t="str">
        <f t="shared" si="3"/>
        <v>1</v>
      </c>
      <c r="W462" s="454" t="str">
        <f t="shared" si="782"/>
        <v>0</v>
      </c>
      <c r="X462" s="454" t="str">
        <f t="shared" si="736"/>
        <v>2</v>
      </c>
      <c r="Y462" s="456" t="str">
        <f t="shared" si="5"/>
        <v>FALSE</v>
      </c>
      <c r="Z462" s="456" t="str">
        <f t="shared" si="6"/>
        <v>FALSE</v>
      </c>
      <c r="AA462" s="457" t="str">
        <f t="shared" ref="AA462:AB462" si="794">1-I462</f>
        <v>0%</v>
      </c>
      <c r="AB462" s="457" t="str">
        <f t="shared" si="794"/>
        <v>100%</v>
      </c>
      <c r="AC462" s="456" t="str">
        <f t="shared" si="8"/>
        <v>2</v>
      </c>
      <c r="AD462" s="458" t="str">
        <f t="shared" si="738"/>
        <v>0</v>
      </c>
      <c r="AE462" s="458" t="str">
        <f t="shared" si="10"/>
        <v>1</v>
      </c>
      <c r="AF462" s="459" t="str">
        <f t="shared" si="784"/>
        <v>0</v>
      </c>
      <c r="AG462" s="460"/>
      <c r="AH462" s="14"/>
      <c r="AI462" s="14"/>
      <c r="AJ462" s="14"/>
      <c r="AK462" s="14"/>
      <c r="AL462" s="14"/>
      <c r="AM462" s="14"/>
      <c r="AN462" s="14"/>
      <c r="AO462" s="14"/>
      <c r="AP462" s="14"/>
      <c r="AQ462" s="14"/>
      <c r="AR462" s="14"/>
      <c r="AS462" s="14"/>
      <c r="AT462" s="14"/>
    </row>
    <row r="463">
      <c r="A463" s="466"/>
      <c r="B463" s="442">
        <v>1.0</v>
      </c>
      <c r="C463" s="482" t="s">
        <v>1075</v>
      </c>
      <c r="D463" s="483" t="s">
        <v>15</v>
      </c>
      <c r="E463" s="483" t="s">
        <v>33</v>
      </c>
      <c r="F463" s="484" t="s">
        <v>77</v>
      </c>
      <c r="G463" s="471">
        <v>2.0</v>
      </c>
      <c r="H463" s="485">
        <v>0.0</v>
      </c>
      <c r="I463" s="486">
        <v>1.0</v>
      </c>
      <c r="J463" s="486">
        <v>1.0</v>
      </c>
      <c r="K463" s="499" t="s">
        <v>188</v>
      </c>
      <c r="L463" s="522"/>
      <c r="M463" s="499">
        <v>2.0</v>
      </c>
      <c r="N463" s="499">
        <v>1.0</v>
      </c>
      <c r="O463" s="224" t="s">
        <v>1076</v>
      </c>
      <c r="P463" s="14"/>
      <c r="Q463" s="452" t="str">
        <f>MATCH($D463,Reference!$J$5:$J$9,0)</f>
        <v>2</v>
      </c>
      <c r="R463" s="452" t="str">
        <f>MATCH($E463,Reference!$J$26:$J$32,0)</f>
        <v>2</v>
      </c>
      <c r="S463" s="452" t="str">
        <f>MATCH($F463,Reference!$J$45:$J$54,0)</f>
        <v>10</v>
      </c>
      <c r="T463" s="453" t="str">
        <f>MATCH($K463,Reference!$J$37:$J$39,0)</f>
        <v>3</v>
      </c>
      <c r="U463" s="454" t="str">
        <f t="shared" si="735"/>
        <v>2</v>
      </c>
      <c r="V463" s="454" t="str">
        <f t="shared" si="3"/>
        <v>1</v>
      </c>
      <c r="W463" s="454" t="str">
        <f t="shared" si="782"/>
        <v>0</v>
      </c>
      <c r="X463" s="454" t="str">
        <f t="shared" si="736"/>
        <v>2</v>
      </c>
      <c r="Y463" s="456" t="str">
        <f t="shared" si="5"/>
        <v>FALSE</v>
      </c>
      <c r="Z463" s="456" t="str">
        <f t="shared" si="6"/>
        <v>FALSE</v>
      </c>
      <c r="AA463" s="457" t="str">
        <f t="shared" ref="AA463:AB463" si="795">1-I463</f>
        <v>0%</v>
      </c>
      <c r="AB463" s="457" t="str">
        <f t="shared" si="795"/>
        <v>0%</v>
      </c>
      <c r="AC463" s="456" t="str">
        <f t="shared" si="8"/>
        <v>2</v>
      </c>
      <c r="AD463" s="458" t="str">
        <f t="shared" si="738"/>
        <v>0</v>
      </c>
      <c r="AE463" s="458" t="str">
        <f t="shared" si="10"/>
        <v>1</v>
      </c>
      <c r="AF463" s="459" t="str">
        <f t="shared" si="784"/>
        <v>0</v>
      </c>
      <c r="AG463" s="460"/>
      <c r="AH463" s="14"/>
      <c r="AI463" s="14"/>
      <c r="AJ463" s="14"/>
      <c r="AK463" s="14"/>
      <c r="AL463" s="14"/>
      <c r="AM463" s="14"/>
      <c r="AN463" s="14"/>
      <c r="AO463" s="14"/>
      <c r="AP463" s="14"/>
      <c r="AQ463" s="14"/>
      <c r="AR463" s="14"/>
      <c r="AS463" s="14"/>
      <c r="AT463" s="14"/>
    </row>
    <row r="464">
      <c r="A464" s="442"/>
      <c r="B464" s="442">
        <v>1.0</v>
      </c>
      <c r="C464" s="482" t="s">
        <v>1077</v>
      </c>
      <c r="D464" s="483" t="s">
        <v>15</v>
      </c>
      <c r="E464" s="483" t="s">
        <v>33</v>
      </c>
      <c r="F464" s="484" t="s">
        <v>77</v>
      </c>
      <c r="G464" s="471">
        <v>2.0</v>
      </c>
      <c r="H464" s="485">
        <v>0.0</v>
      </c>
      <c r="I464" s="486">
        <v>1.0</v>
      </c>
      <c r="J464" s="486">
        <v>1.0</v>
      </c>
      <c r="K464" s="499" t="s">
        <v>188</v>
      </c>
      <c r="L464" s="499" t="s">
        <v>238</v>
      </c>
      <c r="M464" s="499">
        <v>1.0</v>
      </c>
      <c r="N464" s="499">
        <v>1.0</v>
      </c>
      <c r="O464" s="223" t="s">
        <v>768</v>
      </c>
      <c r="P464" s="14"/>
      <c r="Q464" s="452" t="str">
        <f>MATCH($D464,Reference!$J$5:$J$9,0)</f>
        <v>2</v>
      </c>
      <c r="R464" s="452" t="str">
        <f>MATCH($E464,Reference!$J$26:$J$32,0)</f>
        <v>2</v>
      </c>
      <c r="S464" s="452" t="str">
        <f>MATCH($F464,Reference!$J$45:$J$54,0)</f>
        <v>10</v>
      </c>
      <c r="T464" s="453" t="str">
        <f>MATCH($K464,Reference!$J$37:$J$39,0)</f>
        <v>3</v>
      </c>
      <c r="U464" s="454" t="str">
        <f t="shared" si="735"/>
        <v>2</v>
      </c>
      <c r="V464" s="454" t="str">
        <f t="shared" si="3"/>
        <v>1</v>
      </c>
      <c r="W464" s="454" t="str">
        <f t="shared" si="782"/>
        <v>0</v>
      </c>
      <c r="X464" s="454" t="str">
        <f t="shared" si="736"/>
        <v>2</v>
      </c>
      <c r="Y464" s="456" t="str">
        <f t="shared" si="5"/>
        <v>FALSE</v>
      </c>
      <c r="Z464" s="456" t="str">
        <f t="shared" si="6"/>
        <v>FALSE</v>
      </c>
      <c r="AA464" s="457" t="str">
        <f t="shared" ref="AA464:AB464" si="796">1-I464</f>
        <v>0%</v>
      </c>
      <c r="AB464" s="457" t="str">
        <f t="shared" si="796"/>
        <v>0%</v>
      </c>
      <c r="AC464" s="456" t="str">
        <f t="shared" si="8"/>
        <v>2</v>
      </c>
      <c r="AD464" s="458" t="str">
        <f t="shared" si="738"/>
        <v>0</v>
      </c>
      <c r="AE464" s="458" t="str">
        <f t="shared" si="10"/>
        <v>1</v>
      </c>
      <c r="AF464" s="459" t="str">
        <f t="shared" si="784"/>
        <v>0</v>
      </c>
      <c r="AG464" s="460"/>
      <c r="AH464" s="14"/>
      <c r="AI464" s="14"/>
      <c r="AJ464" s="14"/>
      <c r="AK464" s="14"/>
      <c r="AL464" s="14"/>
      <c r="AM464" s="14"/>
      <c r="AN464" s="14"/>
      <c r="AO464" s="14"/>
      <c r="AP464" s="14"/>
      <c r="AQ464" s="14"/>
      <c r="AR464" s="14"/>
      <c r="AS464" s="14"/>
      <c r="AT464" s="14"/>
    </row>
    <row r="465">
      <c r="A465" s="463"/>
      <c r="B465" s="682">
        <v>1.0</v>
      </c>
      <c r="C465" s="683" t="s">
        <v>1078</v>
      </c>
      <c r="D465" s="684" t="s">
        <v>15</v>
      </c>
      <c r="E465" s="684" t="s">
        <v>41</v>
      </c>
      <c r="F465" s="685" t="s">
        <v>77</v>
      </c>
      <c r="G465" s="686" t="str">
        <f>IF(Summary!$Y$25&gt;=VLOOKUP(C465,Reference!$N$41:$O$70,2,0),2,0)</f>
        <v>2</v>
      </c>
      <c r="H465" s="686">
        <v>0.0</v>
      </c>
      <c r="I465" s="518">
        <v>1.0</v>
      </c>
      <c r="J465" s="518"/>
      <c r="K465" s="687" t="s">
        <v>188</v>
      </c>
      <c r="L465" s="687"/>
      <c r="M465" s="687">
        <v>2.0</v>
      </c>
      <c r="N465" s="687">
        <v>3.0</v>
      </c>
      <c r="O465" s="688" t="s">
        <v>1079</v>
      </c>
      <c r="P465" s="14"/>
      <c r="Q465" s="452" t="str">
        <f>MATCH($D465,Reference!$J$5:$J$9,0)</f>
        <v>2</v>
      </c>
      <c r="R465" s="452" t="str">
        <f>MATCH($E465,Reference!$J$26:$J$32,0)</f>
        <v>4</v>
      </c>
      <c r="S465" s="452" t="str">
        <f>MATCH($F465,Reference!$J$45:$J$54,0)</f>
        <v>10</v>
      </c>
      <c r="T465" s="453" t="str">
        <f>MATCH($K465,Reference!$J$37:$J$39,0)</f>
        <v>3</v>
      </c>
      <c r="U465" s="454" t="str">
        <f t="shared" si="735"/>
        <v>2</v>
      </c>
      <c r="V465" s="454" t="str">
        <f t="shared" si="3"/>
        <v>1</v>
      </c>
      <c r="W465" s="454" t="str">
        <f t="shared" si="782"/>
        <v>0</v>
      </c>
      <c r="X465" s="454" t="str">
        <f t="shared" si="736"/>
        <v>2</v>
      </c>
      <c r="Y465" s="456" t="str">
        <f t="shared" si="5"/>
        <v>FALSE</v>
      </c>
      <c r="Z465" s="456" t="str">
        <f t="shared" si="6"/>
        <v>FALSE</v>
      </c>
      <c r="AA465" s="457" t="str">
        <f t="shared" ref="AA465:AB465" si="797">1-I465</f>
        <v>0%</v>
      </c>
      <c r="AB465" s="457" t="str">
        <f t="shared" si="797"/>
        <v>100%</v>
      </c>
      <c r="AC465" s="456" t="str">
        <f t="shared" si="8"/>
        <v>2</v>
      </c>
      <c r="AD465" s="458" t="str">
        <f t="shared" si="738"/>
        <v>0</v>
      </c>
      <c r="AE465" s="458" t="str">
        <f t="shared" si="10"/>
        <v>1</v>
      </c>
      <c r="AF465" s="459" t="str">
        <f t="shared" si="784"/>
        <v>0</v>
      </c>
      <c r="AG465" s="460"/>
      <c r="AH465" s="14"/>
      <c r="AI465" s="14"/>
      <c r="AJ465" s="14"/>
      <c r="AK465" s="14"/>
      <c r="AL465" s="14"/>
      <c r="AM465" s="14"/>
      <c r="AN465" s="14"/>
      <c r="AO465" s="14"/>
      <c r="AP465" s="14"/>
      <c r="AQ465" s="14"/>
      <c r="AR465" s="14"/>
      <c r="AS465" s="14"/>
      <c r="AT465" s="14"/>
    </row>
    <row r="466">
      <c r="A466" s="442"/>
      <c r="B466" s="442">
        <v>2.0</v>
      </c>
      <c r="C466" s="482" t="s">
        <v>1080</v>
      </c>
      <c r="D466" s="483" t="s">
        <v>15</v>
      </c>
      <c r="E466" s="483" t="s">
        <v>33</v>
      </c>
      <c r="F466" s="484" t="s">
        <v>77</v>
      </c>
      <c r="G466" s="471">
        <v>2.0</v>
      </c>
      <c r="H466" s="471">
        <v>0.0</v>
      </c>
      <c r="I466" s="486">
        <v>1.0</v>
      </c>
      <c r="J466" s="486">
        <v>1.0</v>
      </c>
      <c r="K466" s="499" t="s">
        <v>188</v>
      </c>
      <c r="L466" s="499"/>
      <c r="M466" s="499">
        <v>2.0</v>
      </c>
      <c r="N466" s="499">
        <v>3.0</v>
      </c>
      <c r="O466" s="223" t="s">
        <v>1081</v>
      </c>
      <c r="P466" s="14"/>
      <c r="Q466" s="452" t="str">
        <f>MATCH($D466,Reference!$J$5:$J$9,0)</f>
        <v>2</v>
      </c>
      <c r="R466" s="452" t="str">
        <f>MATCH($E466,Reference!$J$26:$J$32,0)</f>
        <v>2</v>
      </c>
      <c r="S466" s="452" t="str">
        <f>MATCH($F466,Reference!$J$45:$J$54,0)</f>
        <v>10</v>
      </c>
      <c r="T466" s="453" t="str">
        <f>MATCH($K466,Reference!$J$37:$J$39,0)</f>
        <v>3</v>
      </c>
      <c r="U466" s="454" t="str">
        <f t="shared" si="735"/>
        <v>2</v>
      </c>
      <c r="V466" s="454" t="str">
        <f t="shared" si="3"/>
        <v>1</v>
      </c>
      <c r="W466" s="454" t="str">
        <f t="shared" si="782"/>
        <v>0</v>
      </c>
      <c r="X466" s="454" t="str">
        <f t="shared" si="736"/>
        <v>2</v>
      </c>
      <c r="Y466" s="456" t="str">
        <f t="shared" si="5"/>
        <v>FALSE</v>
      </c>
      <c r="Z466" s="456" t="str">
        <f t="shared" si="6"/>
        <v>FALSE</v>
      </c>
      <c r="AA466" s="457" t="str">
        <f t="shared" ref="AA466:AB466" si="798">1-I466</f>
        <v>0%</v>
      </c>
      <c r="AB466" s="457" t="str">
        <f t="shared" si="798"/>
        <v>0%</v>
      </c>
      <c r="AC466" s="456" t="str">
        <f t="shared" si="8"/>
        <v>2</v>
      </c>
      <c r="AD466" s="458" t="str">
        <f t="shared" si="738"/>
        <v>0</v>
      </c>
      <c r="AE466" s="458" t="str">
        <f t="shared" si="10"/>
        <v>1</v>
      </c>
      <c r="AF466" s="459" t="str">
        <f t="shared" si="784"/>
        <v>0</v>
      </c>
      <c r="AG466" s="460"/>
      <c r="AH466" s="14"/>
      <c r="AI466" s="14"/>
      <c r="AJ466" s="14"/>
      <c r="AK466" s="14"/>
      <c r="AL466" s="14"/>
      <c r="AM466" s="14"/>
      <c r="AN466" s="14"/>
      <c r="AO466" s="14"/>
      <c r="AP466" s="14"/>
      <c r="AQ466" s="14"/>
      <c r="AR466" s="14"/>
      <c r="AS466" s="14"/>
      <c r="AT466" s="14"/>
    </row>
    <row r="467">
      <c r="A467" s="466"/>
      <c r="B467" s="463">
        <v>2.0</v>
      </c>
      <c r="C467" s="747" t="s">
        <v>1082</v>
      </c>
      <c r="D467" s="539" t="s">
        <v>15</v>
      </c>
      <c r="E467" s="539" t="s">
        <v>35</v>
      </c>
      <c r="F467" s="540" t="s">
        <v>77</v>
      </c>
      <c r="G467" s="541">
        <v>2.0</v>
      </c>
      <c r="H467" s="541">
        <v>0.0</v>
      </c>
      <c r="I467" s="494">
        <v>1.0</v>
      </c>
      <c r="J467" s="494">
        <v>1.0</v>
      </c>
      <c r="K467" s="542" t="s">
        <v>188</v>
      </c>
      <c r="L467" s="542" t="s">
        <v>198</v>
      </c>
      <c r="M467" s="542">
        <v>1.0</v>
      </c>
      <c r="N467" s="542">
        <v>2.0</v>
      </c>
      <c r="O467" s="543" t="s">
        <v>1083</v>
      </c>
      <c r="P467" s="14"/>
      <c r="Q467" s="452" t="str">
        <f>MATCH($D467,Reference!$J$5:$J$9,0)</f>
        <v>2</v>
      </c>
      <c r="R467" s="452" t="str">
        <f>MATCH($E467,Reference!$J$26:$J$32,0)</f>
        <v>5</v>
      </c>
      <c r="S467" s="452" t="str">
        <f>MATCH($F467,Reference!$J$45:$J$54,0)</f>
        <v>10</v>
      </c>
      <c r="T467" s="453" t="str">
        <f>MATCH($K467,Reference!$J$37:$J$39,0)</f>
        <v>3</v>
      </c>
      <c r="U467" s="454" t="str">
        <f t="shared" si="735"/>
        <v>2</v>
      </c>
      <c r="V467" s="454" t="str">
        <f t="shared" si="3"/>
        <v>1</v>
      </c>
      <c r="W467" s="454" t="str">
        <f t="shared" si="782"/>
        <v>0</v>
      </c>
      <c r="X467" s="454" t="str">
        <f t="shared" si="736"/>
        <v>2</v>
      </c>
      <c r="Y467" s="456" t="str">
        <f t="shared" si="5"/>
        <v>FALSE</v>
      </c>
      <c r="Z467" s="456" t="str">
        <f t="shared" si="6"/>
        <v>FALSE</v>
      </c>
      <c r="AA467" s="457" t="str">
        <f t="shared" ref="AA467:AB467" si="799">1-I467</f>
        <v>0%</v>
      </c>
      <c r="AB467" s="457" t="str">
        <f t="shared" si="799"/>
        <v>0%</v>
      </c>
      <c r="AC467" s="456" t="str">
        <f t="shared" si="8"/>
        <v>2</v>
      </c>
      <c r="AD467" s="458" t="str">
        <f t="shared" si="738"/>
        <v>0</v>
      </c>
      <c r="AE467" s="458" t="str">
        <f t="shared" si="10"/>
        <v>1</v>
      </c>
      <c r="AF467" s="459" t="str">
        <f t="shared" si="784"/>
        <v>0</v>
      </c>
      <c r="AG467" s="460"/>
      <c r="AH467" s="14"/>
      <c r="AI467" s="14"/>
      <c r="AJ467" s="14"/>
      <c r="AK467" s="14"/>
      <c r="AL467" s="14"/>
      <c r="AM467" s="14"/>
      <c r="AN467" s="14"/>
      <c r="AO467" s="14"/>
      <c r="AP467" s="14"/>
      <c r="AQ467" s="14"/>
      <c r="AR467" s="14"/>
      <c r="AS467" s="14"/>
      <c r="AT467" s="14"/>
    </row>
    <row r="468">
      <c r="A468" s="463"/>
      <c r="B468" s="442">
        <v>2.0</v>
      </c>
      <c r="C468" s="482" t="s">
        <v>1084</v>
      </c>
      <c r="D468" s="483" t="s">
        <v>15</v>
      </c>
      <c r="E468" s="483" t="s">
        <v>33</v>
      </c>
      <c r="F468" s="484" t="s">
        <v>77</v>
      </c>
      <c r="G468" s="471">
        <v>2.0</v>
      </c>
      <c r="H468" s="471">
        <v>0.0</v>
      </c>
      <c r="I468" s="486">
        <v>1.0</v>
      </c>
      <c r="J468" s="486">
        <v>1.0</v>
      </c>
      <c r="K468" s="499" t="s">
        <v>188</v>
      </c>
      <c r="L468" s="499" t="s">
        <v>660</v>
      </c>
      <c r="M468" s="499">
        <v>2.0</v>
      </c>
      <c r="N468" s="499">
        <v>3.0</v>
      </c>
      <c r="O468" s="223" t="s">
        <v>1085</v>
      </c>
      <c r="P468" s="14"/>
      <c r="Q468" s="452" t="str">
        <f>MATCH($D468,Reference!$J$5:$J$9,0)</f>
        <v>2</v>
      </c>
      <c r="R468" s="452" t="str">
        <f>MATCH($E468,Reference!$J$26:$J$32,0)</f>
        <v>2</v>
      </c>
      <c r="S468" s="452" t="str">
        <f>MATCH($F468,Reference!$J$45:$J$54,0)</f>
        <v>10</v>
      </c>
      <c r="T468" s="453" t="str">
        <f>MATCH($K468,Reference!$J$37:$J$39,0)</f>
        <v>3</v>
      </c>
      <c r="U468" s="454" t="str">
        <f t="shared" si="735"/>
        <v>2</v>
      </c>
      <c r="V468" s="454" t="str">
        <f t="shared" si="3"/>
        <v>1</v>
      </c>
      <c r="W468" s="454" t="str">
        <f t="shared" si="782"/>
        <v>0</v>
      </c>
      <c r="X468" s="454" t="str">
        <f t="shared" si="736"/>
        <v>2</v>
      </c>
      <c r="Y468" s="456" t="str">
        <f t="shared" si="5"/>
        <v>FALSE</v>
      </c>
      <c r="Z468" s="456" t="str">
        <f t="shared" si="6"/>
        <v>FALSE</v>
      </c>
      <c r="AA468" s="457" t="str">
        <f t="shared" ref="AA468:AB468" si="800">1-I468</f>
        <v>0%</v>
      </c>
      <c r="AB468" s="457" t="str">
        <f t="shared" si="800"/>
        <v>0%</v>
      </c>
      <c r="AC468" s="456" t="str">
        <f t="shared" si="8"/>
        <v>2</v>
      </c>
      <c r="AD468" s="458" t="str">
        <f t="shared" si="738"/>
        <v>0</v>
      </c>
      <c r="AE468" s="458" t="str">
        <f t="shared" si="10"/>
        <v>1</v>
      </c>
      <c r="AF468" s="459" t="str">
        <f t="shared" si="784"/>
        <v>0</v>
      </c>
      <c r="AG468" s="460"/>
      <c r="AH468" s="14"/>
      <c r="AI468" s="14"/>
      <c r="AJ468" s="14"/>
      <c r="AK468" s="14"/>
      <c r="AL468" s="14"/>
      <c r="AM468" s="14"/>
      <c r="AN468" s="14"/>
      <c r="AO468" s="14"/>
      <c r="AP468" s="14"/>
      <c r="AQ468" s="14"/>
      <c r="AR468" s="14"/>
      <c r="AS468" s="14"/>
      <c r="AT468" s="14"/>
    </row>
    <row r="469">
      <c r="A469" s="509"/>
      <c r="B469" s="466">
        <v>2.0</v>
      </c>
      <c r="C469" s="475" t="s">
        <v>1086</v>
      </c>
      <c r="D469" s="476" t="s">
        <v>15</v>
      </c>
      <c r="E469" s="477" t="s">
        <v>36</v>
      </c>
      <c r="F469" s="477" t="s">
        <v>77</v>
      </c>
      <c r="G469" s="478">
        <v>2.0</v>
      </c>
      <c r="H469" s="478">
        <v>0.0</v>
      </c>
      <c r="I469" s="479">
        <v>1.0</v>
      </c>
      <c r="J469" s="479">
        <v>1.0</v>
      </c>
      <c r="K469" s="477" t="s">
        <v>188</v>
      </c>
      <c r="L469" s="477"/>
      <c r="M469" s="477">
        <v>3.0</v>
      </c>
      <c r="N469" s="477">
        <v>2.0</v>
      </c>
      <c r="O469" s="480" t="s">
        <v>1087</v>
      </c>
      <c r="P469" s="14"/>
      <c r="Q469" s="452" t="str">
        <f>MATCH($D469,Reference!$J$5:$J$9,0)</f>
        <v>2</v>
      </c>
      <c r="R469" s="452" t="str">
        <f>MATCH($E469,Reference!$J$26:$J$32,0)</f>
        <v>7</v>
      </c>
      <c r="S469" s="452" t="str">
        <f>MATCH($F469,Reference!$J$45:$J$54,0)</f>
        <v>10</v>
      </c>
      <c r="T469" s="453" t="str">
        <f>MATCH($K469,Reference!$J$37:$J$39,0)</f>
        <v>3</v>
      </c>
      <c r="U469" s="454" t="str">
        <f t="shared" si="735"/>
        <v>2</v>
      </c>
      <c r="V469" s="454" t="str">
        <f t="shared" si="3"/>
        <v>1</v>
      </c>
      <c r="W469" s="454" t="str">
        <f t="shared" si="782"/>
        <v>0</v>
      </c>
      <c r="X469" s="454" t="str">
        <f t="shared" si="736"/>
        <v>2</v>
      </c>
      <c r="Y469" s="456" t="str">
        <f t="shared" si="5"/>
        <v>FALSE</v>
      </c>
      <c r="Z469" s="456" t="str">
        <f t="shared" si="6"/>
        <v>FALSE</v>
      </c>
      <c r="AA469" s="457" t="str">
        <f t="shared" ref="AA469:AB469" si="801">1-I469</f>
        <v>0%</v>
      </c>
      <c r="AB469" s="457" t="str">
        <f t="shared" si="801"/>
        <v>0%</v>
      </c>
      <c r="AC469" s="456" t="str">
        <f t="shared" si="8"/>
        <v>2</v>
      </c>
      <c r="AD469" s="458" t="str">
        <f t="shared" si="738"/>
        <v>0</v>
      </c>
      <c r="AE469" s="458" t="str">
        <f t="shared" si="10"/>
        <v>1</v>
      </c>
      <c r="AF469" s="459" t="str">
        <f t="shared" si="784"/>
        <v>0</v>
      </c>
      <c r="AG469" s="460"/>
      <c r="AH469" s="14"/>
      <c r="AI469" s="14"/>
      <c r="AJ469" s="14"/>
      <c r="AK469" s="14"/>
      <c r="AL469" s="14"/>
      <c r="AM469" s="14"/>
      <c r="AN469" s="14"/>
      <c r="AO469" s="14"/>
      <c r="AP469" s="14"/>
      <c r="AQ469" s="14"/>
      <c r="AR469" s="14"/>
      <c r="AS469" s="14"/>
      <c r="AT469" s="14"/>
    </row>
    <row r="470">
      <c r="A470" s="509"/>
      <c r="B470" s="442">
        <v>2.0</v>
      </c>
      <c r="C470" s="482" t="s">
        <v>1088</v>
      </c>
      <c r="D470" s="483" t="s">
        <v>15</v>
      </c>
      <c r="E470" s="483" t="s">
        <v>33</v>
      </c>
      <c r="F470" s="484" t="s">
        <v>77</v>
      </c>
      <c r="G470" s="471">
        <v>2.0</v>
      </c>
      <c r="H470" s="471">
        <v>0.0</v>
      </c>
      <c r="I470" s="486">
        <v>1.0</v>
      </c>
      <c r="J470" s="486">
        <v>1.0</v>
      </c>
      <c r="K470" s="499" t="s">
        <v>188</v>
      </c>
      <c r="L470" s="499" t="s">
        <v>238</v>
      </c>
      <c r="M470" s="499">
        <v>2.0</v>
      </c>
      <c r="N470" s="499">
        <v>2.0</v>
      </c>
      <c r="O470" s="223" t="s">
        <v>1089</v>
      </c>
      <c r="P470" s="14"/>
      <c r="Q470" s="452" t="str">
        <f>MATCH($D470,Reference!$J$5:$J$9,0)</f>
        <v>2</v>
      </c>
      <c r="R470" s="452" t="str">
        <f>MATCH($E470,Reference!$J$26:$J$32,0)</f>
        <v>2</v>
      </c>
      <c r="S470" s="452" t="str">
        <f>MATCH($F470,Reference!$J$45:$J$54,0)</f>
        <v>10</v>
      </c>
      <c r="T470" s="453" t="str">
        <f>MATCH($K470,Reference!$J$37:$J$39,0)</f>
        <v>3</v>
      </c>
      <c r="U470" s="454" t="str">
        <f t="shared" si="735"/>
        <v>2</v>
      </c>
      <c r="V470" s="454" t="str">
        <f t="shared" si="3"/>
        <v>1</v>
      </c>
      <c r="W470" s="454" t="str">
        <f t="shared" si="782"/>
        <v>0</v>
      </c>
      <c r="X470" s="454" t="str">
        <f t="shared" si="736"/>
        <v>2</v>
      </c>
      <c r="Y470" s="456" t="str">
        <f t="shared" si="5"/>
        <v>FALSE</v>
      </c>
      <c r="Z470" s="456" t="str">
        <f t="shared" si="6"/>
        <v>FALSE</v>
      </c>
      <c r="AA470" s="457" t="str">
        <f t="shared" ref="AA470:AB470" si="802">1-I470</f>
        <v>0%</v>
      </c>
      <c r="AB470" s="457" t="str">
        <f t="shared" si="802"/>
        <v>0%</v>
      </c>
      <c r="AC470" s="456" t="str">
        <f t="shared" si="8"/>
        <v>2</v>
      </c>
      <c r="AD470" s="458" t="str">
        <f t="shared" si="738"/>
        <v>0</v>
      </c>
      <c r="AE470" s="458" t="str">
        <f t="shared" si="10"/>
        <v>1</v>
      </c>
      <c r="AF470" s="459" t="str">
        <f t="shared" si="784"/>
        <v>0</v>
      </c>
      <c r="AG470" s="460"/>
      <c r="AH470" s="14"/>
      <c r="AI470" s="14"/>
      <c r="AJ470" s="14"/>
      <c r="AK470" s="14"/>
      <c r="AL470" s="14"/>
      <c r="AM470" s="14"/>
      <c r="AN470" s="14"/>
      <c r="AO470" s="14"/>
      <c r="AP470" s="14"/>
      <c r="AQ470" s="14"/>
      <c r="AR470" s="14"/>
      <c r="AS470" s="14"/>
      <c r="AT470" s="14"/>
    </row>
    <row r="471">
      <c r="A471" s="466"/>
      <c r="B471" s="463">
        <v>2.0</v>
      </c>
      <c r="C471" s="538" t="s">
        <v>1090</v>
      </c>
      <c r="D471" s="539" t="s">
        <v>15</v>
      </c>
      <c r="E471" s="539" t="s">
        <v>35</v>
      </c>
      <c r="F471" s="540" t="s">
        <v>77</v>
      </c>
      <c r="G471" s="541">
        <v>2.0</v>
      </c>
      <c r="H471" s="541">
        <v>0.0</v>
      </c>
      <c r="I471" s="494">
        <v>1.0</v>
      </c>
      <c r="J471" s="494">
        <v>1.0</v>
      </c>
      <c r="K471" s="542" t="s">
        <v>188</v>
      </c>
      <c r="L471" s="542" t="s">
        <v>198</v>
      </c>
      <c r="M471" s="542">
        <v>1.0</v>
      </c>
      <c r="N471" s="542">
        <v>1.0</v>
      </c>
      <c r="O471" s="543" t="s">
        <v>1091</v>
      </c>
      <c r="P471" s="14"/>
      <c r="Q471" s="452" t="str">
        <f>MATCH($D471,Reference!$J$5:$J$9,0)</f>
        <v>2</v>
      </c>
      <c r="R471" s="452" t="str">
        <f>MATCH($E471,Reference!$J$26:$J$32,0)</f>
        <v>5</v>
      </c>
      <c r="S471" s="452" t="str">
        <f>MATCH($F471,Reference!$J$45:$J$54,0)</f>
        <v>10</v>
      </c>
      <c r="T471" s="453" t="str">
        <f>MATCH($K471,Reference!$J$37:$J$39,0)</f>
        <v>3</v>
      </c>
      <c r="U471" s="454" t="str">
        <f t="shared" si="735"/>
        <v>2</v>
      </c>
      <c r="V471" s="454" t="str">
        <f t="shared" si="3"/>
        <v>1</v>
      </c>
      <c r="W471" s="454" t="str">
        <f t="shared" si="782"/>
        <v>0</v>
      </c>
      <c r="X471" s="454" t="str">
        <f t="shared" si="736"/>
        <v>2</v>
      </c>
      <c r="Y471" s="456" t="str">
        <f t="shared" si="5"/>
        <v>FALSE</v>
      </c>
      <c r="Z471" s="456" t="str">
        <f t="shared" si="6"/>
        <v>FALSE</v>
      </c>
      <c r="AA471" s="457" t="str">
        <f t="shared" ref="AA471:AB471" si="803">1-I471</f>
        <v>0%</v>
      </c>
      <c r="AB471" s="457" t="str">
        <f t="shared" si="803"/>
        <v>0%</v>
      </c>
      <c r="AC471" s="456" t="str">
        <f t="shared" si="8"/>
        <v>2</v>
      </c>
      <c r="AD471" s="458" t="str">
        <f t="shared" si="738"/>
        <v>0</v>
      </c>
      <c r="AE471" s="458" t="str">
        <f t="shared" si="10"/>
        <v>1</v>
      </c>
      <c r="AF471" s="459" t="str">
        <f t="shared" si="784"/>
        <v>0</v>
      </c>
      <c r="AG471" s="460"/>
      <c r="AH471" s="14"/>
      <c r="AI471" s="14"/>
      <c r="AJ471" s="14"/>
      <c r="AK471" s="14"/>
      <c r="AL471" s="14"/>
      <c r="AM471" s="14"/>
      <c r="AN471" s="14"/>
      <c r="AO471" s="14"/>
      <c r="AP471" s="14"/>
      <c r="AQ471" s="14"/>
      <c r="AR471" s="14"/>
      <c r="AS471" s="14"/>
      <c r="AT471" s="14"/>
    </row>
    <row r="472">
      <c r="A472" s="466"/>
      <c r="B472" s="442">
        <v>2.0</v>
      </c>
      <c r="C472" s="482" t="s">
        <v>1092</v>
      </c>
      <c r="D472" s="483" t="s">
        <v>15</v>
      </c>
      <c r="E472" s="483" t="s">
        <v>33</v>
      </c>
      <c r="F472" s="484" t="s">
        <v>77</v>
      </c>
      <c r="G472" s="471">
        <v>2.0</v>
      </c>
      <c r="H472" s="485">
        <v>0.0</v>
      </c>
      <c r="I472" s="486">
        <v>1.0</v>
      </c>
      <c r="J472" s="486">
        <v>1.0</v>
      </c>
      <c r="K472" s="499" t="s">
        <v>188</v>
      </c>
      <c r="L472" s="499" t="s">
        <v>446</v>
      </c>
      <c r="M472" s="499">
        <v>3.0</v>
      </c>
      <c r="N472" s="499">
        <v>2.0</v>
      </c>
      <c r="O472" s="223" t="s">
        <v>1093</v>
      </c>
      <c r="P472" s="14"/>
      <c r="Q472" s="452" t="str">
        <f>MATCH($D472,Reference!$J$5:$J$9,0)</f>
        <v>2</v>
      </c>
      <c r="R472" s="452" t="str">
        <f>MATCH($E472,Reference!$J$26:$J$32,0)</f>
        <v>2</v>
      </c>
      <c r="S472" s="452" t="str">
        <f>MATCH($F472,Reference!$J$45:$J$54,0)</f>
        <v>10</v>
      </c>
      <c r="T472" s="453" t="str">
        <f>MATCH($K472,Reference!$J$37:$J$39,0)</f>
        <v>3</v>
      </c>
      <c r="U472" s="454" t="str">
        <f t="shared" si="735"/>
        <v>2</v>
      </c>
      <c r="V472" s="454" t="str">
        <f t="shared" si="3"/>
        <v>1</v>
      </c>
      <c r="W472" s="454" t="str">
        <f t="shared" si="782"/>
        <v>0</v>
      </c>
      <c r="X472" s="454" t="str">
        <f t="shared" si="736"/>
        <v>2</v>
      </c>
      <c r="Y472" s="456" t="str">
        <f t="shared" si="5"/>
        <v>FALSE</v>
      </c>
      <c r="Z472" s="456" t="str">
        <f t="shared" si="6"/>
        <v>FALSE</v>
      </c>
      <c r="AA472" s="457" t="str">
        <f t="shared" ref="AA472:AB472" si="804">1-I472</f>
        <v>0%</v>
      </c>
      <c r="AB472" s="457" t="str">
        <f t="shared" si="804"/>
        <v>0%</v>
      </c>
      <c r="AC472" s="456" t="str">
        <f t="shared" si="8"/>
        <v>2</v>
      </c>
      <c r="AD472" s="458" t="str">
        <f t="shared" si="738"/>
        <v>0</v>
      </c>
      <c r="AE472" s="458" t="str">
        <f t="shared" si="10"/>
        <v>1</v>
      </c>
      <c r="AF472" s="459" t="str">
        <f t="shared" si="784"/>
        <v>0</v>
      </c>
      <c r="AG472" s="460"/>
      <c r="AH472" s="14"/>
      <c r="AI472" s="14"/>
      <c r="AJ472" s="14"/>
      <c r="AK472" s="14"/>
      <c r="AL472" s="14"/>
      <c r="AM472" s="14"/>
      <c r="AN472" s="14"/>
      <c r="AO472" s="14"/>
      <c r="AP472" s="14"/>
      <c r="AQ472" s="14"/>
      <c r="AR472" s="14"/>
      <c r="AS472" s="14"/>
      <c r="AT472" s="14"/>
    </row>
    <row r="473">
      <c r="A473" s="463"/>
      <c r="B473" s="466">
        <v>2.0</v>
      </c>
      <c r="C473" s="475" t="s">
        <v>1094</v>
      </c>
      <c r="D473" s="476" t="s">
        <v>15</v>
      </c>
      <c r="E473" s="477" t="s">
        <v>36</v>
      </c>
      <c r="F473" s="477" t="s">
        <v>77</v>
      </c>
      <c r="G473" s="478">
        <v>2.0</v>
      </c>
      <c r="H473" s="478">
        <v>0.0</v>
      </c>
      <c r="I473" s="479">
        <v>1.0</v>
      </c>
      <c r="J473" s="479">
        <v>1.0</v>
      </c>
      <c r="K473" s="477" t="s">
        <v>188</v>
      </c>
      <c r="L473" s="477"/>
      <c r="M473" s="477">
        <v>2.0</v>
      </c>
      <c r="N473" s="477">
        <v>3.0</v>
      </c>
      <c r="O473" s="480" t="s">
        <v>1095</v>
      </c>
      <c r="P473" s="14"/>
      <c r="Q473" s="452" t="str">
        <f>MATCH($D473,Reference!$J$5:$J$9,0)</f>
        <v>2</v>
      </c>
      <c r="R473" s="452" t="str">
        <f>MATCH($E473,Reference!$J$26:$J$32,0)</f>
        <v>7</v>
      </c>
      <c r="S473" s="452" t="str">
        <f>MATCH($F473,Reference!$J$45:$J$54,0)</f>
        <v>10</v>
      </c>
      <c r="T473" s="453" t="str">
        <f>MATCH($K473,Reference!$J$37:$J$39,0)</f>
        <v>3</v>
      </c>
      <c r="U473" s="454" t="str">
        <f t="shared" si="735"/>
        <v>2</v>
      </c>
      <c r="V473" s="454" t="str">
        <f t="shared" si="3"/>
        <v>1</v>
      </c>
      <c r="W473" s="454" t="str">
        <f t="shared" si="782"/>
        <v>0</v>
      </c>
      <c r="X473" s="454" t="str">
        <f t="shared" si="736"/>
        <v>2</v>
      </c>
      <c r="Y473" s="456" t="str">
        <f t="shared" si="5"/>
        <v>FALSE</v>
      </c>
      <c r="Z473" s="456" t="str">
        <f t="shared" si="6"/>
        <v>FALSE</v>
      </c>
      <c r="AA473" s="457" t="str">
        <f t="shared" ref="AA473:AB473" si="805">1-I473</f>
        <v>0%</v>
      </c>
      <c r="AB473" s="457" t="str">
        <f t="shared" si="805"/>
        <v>0%</v>
      </c>
      <c r="AC473" s="456" t="str">
        <f t="shared" si="8"/>
        <v>2</v>
      </c>
      <c r="AD473" s="458" t="str">
        <f t="shared" si="738"/>
        <v>0</v>
      </c>
      <c r="AE473" s="458" t="str">
        <f t="shared" si="10"/>
        <v>1</v>
      </c>
      <c r="AF473" s="459" t="str">
        <f t="shared" si="784"/>
        <v>0</v>
      </c>
      <c r="AG473" s="460"/>
      <c r="AH473" s="14"/>
      <c r="AI473" s="14"/>
      <c r="AJ473" s="14"/>
      <c r="AK473" s="14"/>
      <c r="AL473" s="14"/>
      <c r="AM473" s="14"/>
      <c r="AN473" s="14"/>
      <c r="AO473" s="14"/>
      <c r="AP473" s="14"/>
      <c r="AQ473" s="14"/>
      <c r="AR473" s="14"/>
      <c r="AS473" s="14"/>
      <c r="AT473" s="14"/>
    </row>
    <row r="474">
      <c r="A474" s="442"/>
      <c r="B474" s="463">
        <v>2.0</v>
      </c>
      <c r="C474" s="538" t="s">
        <v>1096</v>
      </c>
      <c r="D474" s="539" t="s">
        <v>15</v>
      </c>
      <c r="E474" s="539" t="s">
        <v>35</v>
      </c>
      <c r="F474" s="540" t="s">
        <v>77</v>
      </c>
      <c r="G474" s="541">
        <v>2.0</v>
      </c>
      <c r="H474" s="493">
        <v>0.0</v>
      </c>
      <c r="I474" s="494">
        <v>1.0</v>
      </c>
      <c r="J474" s="494">
        <v>1.0</v>
      </c>
      <c r="K474" s="542" t="s">
        <v>188</v>
      </c>
      <c r="L474" s="542"/>
      <c r="M474" s="542">
        <v>2.0</v>
      </c>
      <c r="N474" s="542">
        <v>3.0</v>
      </c>
      <c r="O474" s="543" t="s">
        <v>1076</v>
      </c>
      <c r="P474" s="14"/>
      <c r="Q474" s="452" t="str">
        <f>MATCH($D474,Reference!$J$5:$J$9,0)</f>
        <v>2</v>
      </c>
      <c r="R474" s="452" t="str">
        <f>MATCH($E474,Reference!$J$26:$J$32,0)</f>
        <v>5</v>
      </c>
      <c r="S474" s="452" t="str">
        <f>MATCH($F474,Reference!$J$45:$J$54,0)</f>
        <v>10</v>
      </c>
      <c r="T474" s="453" t="str">
        <f>MATCH($K474,Reference!$J$37:$J$39,0)</f>
        <v>3</v>
      </c>
      <c r="U474" s="454" t="str">
        <f t="shared" si="735"/>
        <v>2</v>
      </c>
      <c r="V474" s="454" t="str">
        <f t="shared" si="3"/>
        <v>1</v>
      </c>
      <c r="W474" s="454" t="str">
        <f t="shared" si="782"/>
        <v>0</v>
      </c>
      <c r="X474" s="454" t="str">
        <f t="shared" si="736"/>
        <v>2</v>
      </c>
      <c r="Y474" s="456" t="str">
        <f t="shared" si="5"/>
        <v>FALSE</v>
      </c>
      <c r="Z474" s="456" t="str">
        <f t="shared" si="6"/>
        <v>FALSE</v>
      </c>
      <c r="AA474" s="457" t="str">
        <f t="shared" ref="AA474:AB474" si="806">1-I474</f>
        <v>0%</v>
      </c>
      <c r="AB474" s="457" t="str">
        <f t="shared" si="806"/>
        <v>0%</v>
      </c>
      <c r="AC474" s="456" t="str">
        <f t="shared" si="8"/>
        <v>2</v>
      </c>
      <c r="AD474" s="458" t="str">
        <f t="shared" si="738"/>
        <v>0</v>
      </c>
      <c r="AE474" s="458" t="str">
        <f t="shared" si="10"/>
        <v>1</v>
      </c>
      <c r="AF474" s="459" t="str">
        <f t="shared" si="784"/>
        <v>0</v>
      </c>
      <c r="AG474" s="460"/>
      <c r="AH474" s="14"/>
      <c r="AI474" s="14"/>
      <c r="AJ474" s="14"/>
      <c r="AK474" s="14"/>
      <c r="AL474" s="14"/>
      <c r="AM474" s="14"/>
      <c r="AN474" s="14"/>
      <c r="AO474" s="14"/>
      <c r="AP474" s="14"/>
      <c r="AQ474" s="14"/>
      <c r="AR474" s="14"/>
      <c r="AS474" s="14"/>
      <c r="AT474" s="14"/>
    </row>
    <row r="475">
      <c r="A475" s="442"/>
      <c r="B475" s="682">
        <v>2.0</v>
      </c>
      <c r="C475" s="683" t="s">
        <v>1097</v>
      </c>
      <c r="D475" s="684" t="s">
        <v>15</v>
      </c>
      <c r="E475" s="684" t="s">
        <v>41</v>
      </c>
      <c r="F475" s="685" t="s">
        <v>77</v>
      </c>
      <c r="G475" s="686" t="str">
        <f>IF(Summary!$Y$25&gt;=VLOOKUP(C475,Reference!$N$41:$O$70,2,0),2,0)</f>
        <v>2</v>
      </c>
      <c r="H475" s="686">
        <v>0.0</v>
      </c>
      <c r="I475" s="518">
        <v>1.0</v>
      </c>
      <c r="J475" s="518"/>
      <c r="K475" s="687" t="s">
        <v>188</v>
      </c>
      <c r="L475" s="687" t="s">
        <v>238</v>
      </c>
      <c r="M475" s="687">
        <v>1.0</v>
      </c>
      <c r="N475" s="687">
        <v>2.0</v>
      </c>
      <c r="O475" s="688" t="s">
        <v>1098</v>
      </c>
      <c r="P475" s="14"/>
      <c r="Q475" s="452" t="str">
        <f>MATCH($D475,Reference!$J$5:$J$9,0)</f>
        <v>2</v>
      </c>
      <c r="R475" s="452" t="str">
        <f>MATCH($E475,Reference!$J$26:$J$32,0)</f>
        <v>4</v>
      </c>
      <c r="S475" s="452" t="str">
        <f>MATCH($F475,Reference!$J$45:$J$54,0)</f>
        <v>10</v>
      </c>
      <c r="T475" s="453" t="str">
        <f>MATCH($K475,Reference!$J$37:$J$39,0)</f>
        <v>3</v>
      </c>
      <c r="U475" s="454" t="str">
        <f t="shared" si="735"/>
        <v>2</v>
      </c>
      <c r="V475" s="454" t="str">
        <f t="shared" si="3"/>
        <v>1</v>
      </c>
      <c r="W475" s="454" t="str">
        <f t="shared" si="782"/>
        <v>0</v>
      </c>
      <c r="X475" s="454" t="str">
        <f t="shared" si="736"/>
        <v>2</v>
      </c>
      <c r="Y475" s="456" t="str">
        <f t="shared" si="5"/>
        <v>FALSE</v>
      </c>
      <c r="Z475" s="456" t="str">
        <f t="shared" si="6"/>
        <v>FALSE</v>
      </c>
      <c r="AA475" s="457" t="str">
        <f t="shared" ref="AA475:AB475" si="807">1-I475</f>
        <v>0%</v>
      </c>
      <c r="AB475" s="457" t="str">
        <f t="shared" si="807"/>
        <v>100%</v>
      </c>
      <c r="AC475" s="456" t="str">
        <f t="shared" si="8"/>
        <v>2</v>
      </c>
      <c r="AD475" s="458" t="str">
        <f t="shared" si="738"/>
        <v>0</v>
      </c>
      <c r="AE475" s="458" t="str">
        <f t="shared" si="10"/>
        <v>1</v>
      </c>
      <c r="AF475" s="459" t="str">
        <f t="shared" si="784"/>
        <v>0</v>
      </c>
      <c r="AG475" s="460"/>
      <c r="AH475" s="14"/>
      <c r="AI475" s="14"/>
      <c r="AJ475" s="14"/>
      <c r="AK475" s="14"/>
      <c r="AL475" s="14"/>
      <c r="AM475" s="14"/>
      <c r="AN475" s="14"/>
      <c r="AO475" s="14"/>
      <c r="AP475" s="14"/>
      <c r="AQ475" s="14"/>
      <c r="AR475" s="14"/>
      <c r="AS475" s="14"/>
      <c r="AT475" s="14"/>
    </row>
    <row r="476">
      <c r="A476" s="509"/>
      <c r="B476" s="442">
        <v>2.0</v>
      </c>
      <c r="C476" s="482" t="s">
        <v>1099</v>
      </c>
      <c r="D476" s="483" t="s">
        <v>15</v>
      </c>
      <c r="E476" s="483" t="s">
        <v>33</v>
      </c>
      <c r="F476" s="484" t="s">
        <v>77</v>
      </c>
      <c r="G476" s="471">
        <v>2.0</v>
      </c>
      <c r="H476" s="471">
        <v>0.0</v>
      </c>
      <c r="I476" s="486">
        <v>1.0</v>
      </c>
      <c r="J476" s="486">
        <v>1.0</v>
      </c>
      <c r="K476" s="499" t="s">
        <v>188</v>
      </c>
      <c r="L476" s="499" t="s">
        <v>238</v>
      </c>
      <c r="M476" s="499">
        <v>2.0</v>
      </c>
      <c r="N476" s="499">
        <v>1.0</v>
      </c>
      <c r="O476" s="223" t="s">
        <v>1100</v>
      </c>
      <c r="P476" s="14"/>
      <c r="Q476" s="452" t="str">
        <f>MATCH($D476,Reference!$J$5:$J$9,0)</f>
        <v>2</v>
      </c>
      <c r="R476" s="452" t="str">
        <f>MATCH($E476,Reference!$J$26:$J$32,0)</f>
        <v>2</v>
      </c>
      <c r="S476" s="452" t="str">
        <f>MATCH($F476,Reference!$J$45:$J$54,0)</f>
        <v>10</v>
      </c>
      <c r="T476" s="453" t="str">
        <f>MATCH($K476,Reference!$J$37:$J$39,0)</f>
        <v>3</v>
      </c>
      <c r="U476" s="454" t="str">
        <f t="shared" si="735"/>
        <v>2</v>
      </c>
      <c r="V476" s="454" t="str">
        <f t="shared" si="3"/>
        <v>1</v>
      </c>
      <c r="W476" s="454" t="str">
        <f t="shared" si="782"/>
        <v>0</v>
      </c>
      <c r="X476" s="454" t="str">
        <f t="shared" si="736"/>
        <v>2</v>
      </c>
      <c r="Y476" s="456" t="str">
        <f t="shared" si="5"/>
        <v>FALSE</v>
      </c>
      <c r="Z476" s="456" t="str">
        <f t="shared" si="6"/>
        <v>FALSE</v>
      </c>
      <c r="AA476" s="457" t="str">
        <f t="shared" ref="AA476:AB476" si="808">1-I476</f>
        <v>0%</v>
      </c>
      <c r="AB476" s="457" t="str">
        <f t="shared" si="808"/>
        <v>0%</v>
      </c>
      <c r="AC476" s="456" t="str">
        <f t="shared" si="8"/>
        <v>2</v>
      </c>
      <c r="AD476" s="458" t="str">
        <f t="shared" si="738"/>
        <v>0</v>
      </c>
      <c r="AE476" s="458" t="str">
        <f t="shared" si="10"/>
        <v>1</v>
      </c>
      <c r="AF476" s="459" t="str">
        <f t="shared" si="784"/>
        <v>0</v>
      </c>
      <c r="AG476" s="460"/>
      <c r="AH476" s="14"/>
      <c r="AI476" s="14"/>
      <c r="AJ476" s="14"/>
      <c r="AK476" s="14"/>
      <c r="AL476" s="14"/>
      <c r="AM476" s="14"/>
      <c r="AN476" s="14"/>
      <c r="AO476" s="14"/>
      <c r="AP476" s="14"/>
      <c r="AQ476" s="14"/>
      <c r="AR476" s="14"/>
      <c r="AS476" s="14"/>
      <c r="AT476" s="14"/>
    </row>
    <row r="477">
      <c r="A477" s="469"/>
      <c r="B477" s="466">
        <v>2.0</v>
      </c>
      <c r="C477" s="480" t="s">
        <v>1101</v>
      </c>
      <c r="D477" s="476" t="s">
        <v>15</v>
      </c>
      <c r="E477" s="477" t="s">
        <v>36</v>
      </c>
      <c r="F477" s="477" t="s">
        <v>77</v>
      </c>
      <c r="G477" s="478">
        <v>2.0</v>
      </c>
      <c r="H477" s="478">
        <v>0.0</v>
      </c>
      <c r="I477" s="479">
        <v>1.0</v>
      </c>
      <c r="J477" s="479">
        <v>1.0</v>
      </c>
      <c r="K477" s="477" t="s">
        <v>188</v>
      </c>
      <c r="L477" s="477"/>
      <c r="M477" s="477">
        <v>1.0</v>
      </c>
      <c r="N477" s="477">
        <v>2.0</v>
      </c>
      <c r="O477" s="480" t="s">
        <v>1102</v>
      </c>
      <c r="P477" s="14"/>
      <c r="Q477" s="452" t="str">
        <f>MATCH($D477,Reference!$J$5:$J$9,0)</f>
        <v>2</v>
      </c>
      <c r="R477" s="452" t="str">
        <f>MATCH($E477,Reference!$J$26:$J$32,0)</f>
        <v>7</v>
      </c>
      <c r="S477" s="452" t="str">
        <f>MATCH($F477,Reference!$J$45:$J$54,0)</f>
        <v>10</v>
      </c>
      <c r="T477" s="453" t="str">
        <f>MATCH($K477,Reference!$J$37:$J$39,0)</f>
        <v>3</v>
      </c>
      <c r="U477" s="454" t="str">
        <f t="shared" si="735"/>
        <v>2</v>
      </c>
      <c r="V477" s="454" t="str">
        <f t="shared" si="3"/>
        <v>1</v>
      </c>
      <c r="W477" s="454" t="str">
        <f t="shared" si="782"/>
        <v>0</v>
      </c>
      <c r="X477" s="454" t="str">
        <f t="shared" si="736"/>
        <v>2</v>
      </c>
      <c r="Y477" s="456" t="str">
        <f t="shared" si="5"/>
        <v>FALSE</v>
      </c>
      <c r="Z477" s="456" t="str">
        <f t="shared" si="6"/>
        <v>FALSE</v>
      </c>
      <c r="AA477" s="457" t="str">
        <f t="shared" ref="AA477:AB477" si="809">1-I477</f>
        <v>0%</v>
      </c>
      <c r="AB477" s="457" t="str">
        <f t="shared" si="809"/>
        <v>0%</v>
      </c>
      <c r="AC477" s="456" t="str">
        <f t="shared" si="8"/>
        <v>2</v>
      </c>
      <c r="AD477" s="458" t="str">
        <f t="shared" si="738"/>
        <v>0</v>
      </c>
      <c r="AE477" s="458" t="str">
        <f t="shared" si="10"/>
        <v>1</v>
      </c>
      <c r="AF477" s="459" t="str">
        <f t="shared" si="784"/>
        <v>0</v>
      </c>
      <c r="AG477" s="460"/>
      <c r="AH477" s="14"/>
      <c r="AI477" s="14"/>
      <c r="AJ477" s="14"/>
      <c r="AK477" s="14"/>
      <c r="AL477" s="14"/>
      <c r="AM477" s="14"/>
      <c r="AN477" s="14"/>
      <c r="AO477" s="14"/>
      <c r="AP477" s="14"/>
      <c r="AQ477" s="14"/>
      <c r="AR477" s="14"/>
      <c r="AS477" s="14"/>
      <c r="AT477" s="14"/>
    </row>
    <row r="478">
      <c r="A478" s="509"/>
      <c r="B478" s="442">
        <v>2.0</v>
      </c>
      <c r="C478" s="482" t="s">
        <v>1103</v>
      </c>
      <c r="D478" s="483" t="s">
        <v>15</v>
      </c>
      <c r="E478" s="483" t="s">
        <v>33</v>
      </c>
      <c r="F478" s="484" t="s">
        <v>77</v>
      </c>
      <c r="G478" s="471">
        <v>2.0</v>
      </c>
      <c r="H478" s="471">
        <v>0.0</v>
      </c>
      <c r="I478" s="486">
        <v>1.0</v>
      </c>
      <c r="J478" s="486">
        <v>1.0</v>
      </c>
      <c r="K478" s="499" t="s">
        <v>188</v>
      </c>
      <c r="L478" s="499"/>
      <c r="M478" s="499">
        <v>2.0</v>
      </c>
      <c r="N478" s="499">
        <v>1.0</v>
      </c>
      <c r="O478" s="223" t="s">
        <v>1104</v>
      </c>
      <c r="P478" s="14"/>
      <c r="Q478" s="452" t="str">
        <f>MATCH($D478,Reference!$J$5:$J$9,0)</f>
        <v>2</v>
      </c>
      <c r="R478" s="452" t="str">
        <f>MATCH($E478,Reference!$J$26:$J$32,0)</f>
        <v>2</v>
      </c>
      <c r="S478" s="452" t="str">
        <f>MATCH($F478,Reference!$J$45:$J$54,0)</f>
        <v>10</v>
      </c>
      <c r="T478" s="453" t="str">
        <f>MATCH($K478,Reference!$J$37:$J$39,0)</f>
        <v>3</v>
      </c>
      <c r="U478" s="454" t="str">
        <f t="shared" si="735"/>
        <v>2</v>
      </c>
      <c r="V478" s="454" t="str">
        <f t="shared" si="3"/>
        <v>1</v>
      </c>
      <c r="W478" s="454" t="str">
        <f t="shared" si="782"/>
        <v>0</v>
      </c>
      <c r="X478" s="454" t="str">
        <f t="shared" si="736"/>
        <v>2</v>
      </c>
      <c r="Y478" s="456" t="str">
        <f t="shared" si="5"/>
        <v>FALSE</v>
      </c>
      <c r="Z478" s="456" t="str">
        <f t="shared" si="6"/>
        <v>FALSE</v>
      </c>
      <c r="AA478" s="457" t="str">
        <f t="shared" ref="AA478:AB478" si="810">1-I478</f>
        <v>0%</v>
      </c>
      <c r="AB478" s="457" t="str">
        <f t="shared" si="810"/>
        <v>0%</v>
      </c>
      <c r="AC478" s="456" t="str">
        <f t="shared" si="8"/>
        <v>2</v>
      </c>
      <c r="AD478" s="458" t="str">
        <f t="shared" si="738"/>
        <v>0</v>
      </c>
      <c r="AE478" s="458" t="str">
        <f t="shared" si="10"/>
        <v>1</v>
      </c>
      <c r="AF478" s="459" t="str">
        <f t="shared" si="784"/>
        <v>0</v>
      </c>
      <c r="AG478" s="460"/>
      <c r="AH478" s="14"/>
      <c r="AI478" s="14"/>
      <c r="AJ478" s="14"/>
      <c r="AK478" s="14"/>
      <c r="AL478" s="14"/>
      <c r="AM478" s="14"/>
      <c r="AN478" s="14"/>
      <c r="AO478" s="14"/>
      <c r="AP478" s="14"/>
      <c r="AQ478" s="14"/>
      <c r="AR478" s="14"/>
      <c r="AS478" s="14"/>
      <c r="AT478" s="14"/>
    </row>
    <row r="479">
      <c r="A479" s="442"/>
      <c r="B479" s="442">
        <v>2.0</v>
      </c>
      <c r="C479" s="482" t="s">
        <v>1105</v>
      </c>
      <c r="D479" s="483" t="s">
        <v>15</v>
      </c>
      <c r="E479" s="483" t="s">
        <v>33</v>
      </c>
      <c r="F479" s="484" t="s">
        <v>77</v>
      </c>
      <c r="G479" s="471">
        <v>2.0</v>
      </c>
      <c r="H479" s="471">
        <v>0.0</v>
      </c>
      <c r="I479" s="486">
        <v>1.0</v>
      </c>
      <c r="J479" s="486">
        <v>1.0</v>
      </c>
      <c r="K479" s="483" t="s">
        <v>188</v>
      </c>
      <c r="L479" s="483"/>
      <c r="M479" s="484">
        <v>3.0</v>
      </c>
      <c r="N479" s="471">
        <v>2.0</v>
      </c>
      <c r="O479" s="223" t="s">
        <v>1106</v>
      </c>
      <c r="P479" s="14"/>
      <c r="Q479" s="452" t="str">
        <f>MATCH($D479,Reference!$J$5:$J$9,0)</f>
        <v>2</v>
      </c>
      <c r="R479" s="452" t="str">
        <f>MATCH($E479,Reference!$J$26:$J$32,0)</f>
        <v>2</v>
      </c>
      <c r="S479" s="452" t="str">
        <f>MATCH($F479,Reference!$J$45:$J$54,0)</f>
        <v>10</v>
      </c>
      <c r="T479" s="453" t="str">
        <f>MATCH($K479,Reference!$J$37:$J$39,0)</f>
        <v>3</v>
      </c>
      <c r="U479" s="454" t="str">
        <f t="shared" si="735"/>
        <v>2</v>
      </c>
      <c r="V479" s="454" t="str">
        <f t="shared" si="3"/>
        <v>1</v>
      </c>
      <c r="W479" s="454" t="str">
        <f t="shared" si="782"/>
        <v>0</v>
      </c>
      <c r="X479" s="454" t="str">
        <f t="shared" si="736"/>
        <v>2</v>
      </c>
      <c r="Y479" s="456" t="str">
        <f t="shared" si="5"/>
        <v>FALSE</v>
      </c>
      <c r="Z479" s="456" t="str">
        <f t="shared" si="6"/>
        <v>FALSE</v>
      </c>
      <c r="AA479" s="457" t="str">
        <f t="shared" ref="AA479:AB479" si="811">1-I479</f>
        <v>0%</v>
      </c>
      <c r="AB479" s="457" t="str">
        <f t="shared" si="811"/>
        <v>0%</v>
      </c>
      <c r="AC479" s="456" t="str">
        <f t="shared" si="8"/>
        <v>2</v>
      </c>
      <c r="AD479" s="458" t="str">
        <f t="shared" si="738"/>
        <v>0</v>
      </c>
      <c r="AE479" s="458" t="str">
        <f t="shared" si="10"/>
        <v>1</v>
      </c>
      <c r="AF479" s="459" t="str">
        <f t="shared" si="784"/>
        <v>0</v>
      </c>
      <c r="AG479" s="460"/>
      <c r="AH479" s="14"/>
      <c r="AI479" s="14"/>
      <c r="AJ479" s="14"/>
      <c r="AK479" s="14"/>
      <c r="AL479" s="14"/>
      <c r="AM479" s="14"/>
      <c r="AN479" s="14"/>
      <c r="AO479" s="14"/>
      <c r="AP479" s="14"/>
      <c r="AQ479" s="14"/>
      <c r="AR479" s="14"/>
      <c r="AS479" s="14"/>
      <c r="AT479" s="14"/>
    </row>
    <row r="480">
      <c r="A480" s="472"/>
      <c r="B480" s="682">
        <v>2.0</v>
      </c>
      <c r="C480" s="683" t="s">
        <v>1107</v>
      </c>
      <c r="D480" s="684" t="s">
        <v>15</v>
      </c>
      <c r="E480" s="684" t="s">
        <v>41</v>
      </c>
      <c r="F480" s="685" t="s">
        <v>77</v>
      </c>
      <c r="G480" s="686" t="str">
        <f>IF(Summary!$Y$25&gt;=VLOOKUP(C480,Reference!$N$41:$O$70,2,0),2,0)</f>
        <v>2</v>
      </c>
      <c r="H480" s="686">
        <v>0.0</v>
      </c>
      <c r="I480" s="518">
        <v>1.0</v>
      </c>
      <c r="J480" s="518"/>
      <c r="K480" s="684" t="s">
        <v>188</v>
      </c>
      <c r="L480" s="684"/>
      <c r="M480" s="685">
        <v>3.0</v>
      </c>
      <c r="N480" s="686">
        <v>2.0</v>
      </c>
      <c r="O480" s="688" t="s">
        <v>1106</v>
      </c>
      <c r="P480" s="5"/>
      <c r="Q480" s="452" t="str">
        <f>MATCH($D480,Reference!$J$5:$J$9,0)</f>
        <v>2</v>
      </c>
      <c r="R480" s="452" t="str">
        <f>MATCH($E480,Reference!$J$26:$J$32,0)</f>
        <v>4</v>
      </c>
      <c r="S480" s="452" t="str">
        <f>MATCH($F480,Reference!$J$45:$J$54,0)</f>
        <v>10</v>
      </c>
      <c r="T480" s="453" t="str">
        <f>MATCH($K480,Reference!$J$37:$J$39,0)</f>
        <v>3</v>
      </c>
      <c r="U480" s="454" t="str">
        <f t="shared" si="735"/>
        <v>2</v>
      </c>
      <c r="V480" s="454" t="str">
        <f t="shared" si="3"/>
        <v>1</v>
      </c>
      <c r="W480" s="454" t="str">
        <f t="shared" si="782"/>
        <v>0</v>
      </c>
      <c r="X480" s="454" t="str">
        <f t="shared" si="736"/>
        <v>2</v>
      </c>
      <c r="Y480" s="456" t="str">
        <f t="shared" si="5"/>
        <v>FALSE</v>
      </c>
      <c r="Z480" s="456" t="str">
        <f t="shared" si="6"/>
        <v>FALSE</v>
      </c>
      <c r="AA480" s="457" t="str">
        <f t="shared" ref="AA480:AB480" si="812">1-I480</f>
        <v>0%</v>
      </c>
      <c r="AB480" s="457" t="str">
        <f t="shared" si="812"/>
        <v>100%</v>
      </c>
      <c r="AC480" s="456" t="str">
        <f t="shared" si="8"/>
        <v>2</v>
      </c>
      <c r="AD480" s="458" t="str">
        <f t="shared" si="738"/>
        <v>0</v>
      </c>
      <c r="AE480" s="458" t="str">
        <f t="shared" si="10"/>
        <v>1</v>
      </c>
      <c r="AF480" s="459" t="str">
        <f t="shared" si="784"/>
        <v>0</v>
      </c>
      <c r="AG480" s="460"/>
      <c r="AH480" s="14"/>
      <c r="AI480" s="14"/>
      <c r="AJ480" s="14"/>
      <c r="AK480" s="14"/>
      <c r="AL480" s="14"/>
      <c r="AM480" s="14"/>
      <c r="AN480" s="14"/>
      <c r="AO480" s="14"/>
      <c r="AP480" s="14"/>
      <c r="AQ480" s="14"/>
      <c r="AR480" s="14"/>
      <c r="AS480" s="14"/>
      <c r="AT480" s="14"/>
    </row>
    <row r="481">
      <c r="A481" s="442"/>
      <c r="B481" s="463">
        <v>2.0</v>
      </c>
      <c r="C481" s="538" t="s">
        <v>1108</v>
      </c>
      <c r="D481" s="539" t="s">
        <v>15</v>
      </c>
      <c r="E481" s="539" t="s">
        <v>35</v>
      </c>
      <c r="F481" s="540" t="s">
        <v>77</v>
      </c>
      <c r="G481" s="541">
        <v>2.0</v>
      </c>
      <c r="H481" s="541">
        <v>0.0</v>
      </c>
      <c r="I481" s="494">
        <v>1.0</v>
      </c>
      <c r="J481" s="494">
        <v>1.0</v>
      </c>
      <c r="K481" s="539" t="s">
        <v>188</v>
      </c>
      <c r="L481" s="539" t="s">
        <v>198</v>
      </c>
      <c r="M481" s="540">
        <v>2.0</v>
      </c>
      <c r="N481" s="541">
        <v>3.0</v>
      </c>
      <c r="O481" s="543" t="s">
        <v>1109</v>
      </c>
      <c r="P481" s="14"/>
      <c r="Q481" s="452" t="str">
        <f>MATCH($D481,Reference!$J$5:$J$9,0)</f>
        <v>2</v>
      </c>
      <c r="R481" s="452" t="str">
        <f>MATCH($E481,Reference!$J$26:$J$32,0)</f>
        <v>5</v>
      </c>
      <c r="S481" s="452" t="str">
        <f>MATCH($F481,Reference!$J$45:$J$54,0)</f>
        <v>10</v>
      </c>
      <c r="T481" s="453" t="str">
        <f>MATCH($K481,Reference!$J$37:$J$39,0)</f>
        <v>3</v>
      </c>
      <c r="U481" s="454" t="str">
        <f t="shared" si="735"/>
        <v>2</v>
      </c>
      <c r="V481" s="454" t="str">
        <f t="shared" si="3"/>
        <v>1</v>
      </c>
      <c r="W481" s="454" t="str">
        <f t="shared" si="782"/>
        <v>0</v>
      </c>
      <c r="X481" s="454" t="str">
        <f t="shared" si="736"/>
        <v>2</v>
      </c>
      <c r="Y481" s="456" t="str">
        <f t="shared" si="5"/>
        <v>FALSE</v>
      </c>
      <c r="Z481" s="456" t="str">
        <f t="shared" si="6"/>
        <v>FALSE</v>
      </c>
      <c r="AA481" s="457" t="str">
        <f t="shared" ref="AA481:AB481" si="813">1-I481</f>
        <v>0%</v>
      </c>
      <c r="AB481" s="457" t="str">
        <f t="shared" si="813"/>
        <v>0%</v>
      </c>
      <c r="AC481" s="456" t="str">
        <f t="shared" si="8"/>
        <v>2</v>
      </c>
      <c r="AD481" s="458" t="str">
        <f t="shared" si="738"/>
        <v>0</v>
      </c>
      <c r="AE481" s="458" t="str">
        <f t="shared" si="10"/>
        <v>1</v>
      </c>
      <c r="AF481" s="459" t="str">
        <f t="shared" si="784"/>
        <v>0</v>
      </c>
      <c r="AG481" s="460"/>
      <c r="AH481" s="14"/>
      <c r="AI481" s="14"/>
      <c r="AJ481" s="14"/>
      <c r="AK481" s="14"/>
      <c r="AL481" s="14"/>
      <c r="AM481" s="14"/>
      <c r="AN481" s="14"/>
      <c r="AO481" s="14"/>
      <c r="AP481" s="14"/>
      <c r="AQ481" s="14"/>
      <c r="AR481" s="14"/>
      <c r="AS481" s="14"/>
      <c r="AT481" s="14"/>
    </row>
    <row r="482">
      <c r="A482" s="509"/>
      <c r="B482" s="463">
        <v>2.0</v>
      </c>
      <c r="C482" s="538" t="s">
        <v>1110</v>
      </c>
      <c r="D482" s="539" t="s">
        <v>15</v>
      </c>
      <c r="E482" s="539" t="s">
        <v>35</v>
      </c>
      <c r="F482" s="540" t="s">
        <v>77</v>
      </c>
      <c r="G482" s="541">
        <v>2.0</v>
      </c>
      <c r="H482" s="541">
        <v>0.0</v>
      </c>
      <c r="I482" s="494">
        <v>1.0</v>
      </c>
      <c r="J482" s="494">
        <v>1.0</v>
      </c>
      <c r="K482" s="539" t="s">
        <v>188</v>
      </c>
      <c r="L482" s="539" t="s">
        <v>198</v>
      </c>
      <c r="M482" s="540">
        <v>1.0</v>
      </c>
      <c r="N482" s="541">
        <v>2.0</v>
      </c>
      <c r="O482" s="543" t="s">
        <v>1111</v>
      </c>
      <c r="P482" s="14"/>
      <c r="Q482" s="452" t="str">
        <f>MATCH($D482,Reference!$J$5:$J$9,0)</f>
        <v>2</v>
      </c>
      <c r="R482" s="452" t="str">
        <f>MATCH($E482,Reference!$J$26:$J$32,0)</f>
        <v>5</v>
      </c>
      <c r="S482" s="452" t="str">
        <f>MATCH($F482,Reference!$J$45:$J$54,0)</f>
        <v>10</v>
      </c>
      <c r="T482" s="453" t="str">
        <f>MATCH($K482,Reference!$J$37:$J$39,0)</f>
        <v>3</v>
      </c>
      <c r="U482" s="454" t="str">
        <f t="shared" si="735"/>
        <v>2</v>
      </c>
      <c r="V482" s="454" t="str">
        <f t="shared" si="3"/>
        <v>1</v>
      </c>
      <c r="W482" s="454" t="str">
        <f t="shared" si="782"/>
        <v>0</v>
      </c>
      <c r="X482" s="454" t="str">
        <f t="shared" si="736"/>
        <v>2</v>
      </c>
      <c r="Y482" s="456" t="str">
        <f t="shared" si="5"/>
        <v>FALSE</v>
      </c>
      <c r="Z482" s="456" t="str">
        <f t="shared" si="6"/>
        <v>FALSE</v>
      </c>
      <c r="AA482" s="457" t="str">
        <f t="shared" ref="AA482:AB482" si="814">1-I482</f>
        <v>0%</v>
      </c>
      <c r="AB482" s="457" t="str">
        <f t="shared" si="814"/>
        <v>0%</v>
      </c>
      <c r="AC482" s="456" t="str">
        <f t="shared" si="8"/>
        <v>2</v>
      </c>
      <c r="AD482" s="458" t="str">
        <f t="shared" si="738"/>
        <v>0</v>
      </c>
      <c r="AE482" s="458" t="str">
        <f t="shared" si="10"/>
        <v>1</v>
      </c>
      <c r="AF482" s="459" t="str">
        <f t="shared" si="784"/>
        <v>0</v>
      </c>
      <c r="AG482" s="460"/>
      <c r="AH482" s="14"/>
      <c r="AI482" s="14"/>
      <c r="AJ482" s="14"/>
      <c r="AK482" s="14"/>
      <c r="AL482" s="14"/>
      <c r="AM482" s="14"/>
      <c r="AN482" s="14"/>
      <c r="AO482" s="14"/>
      <c r="AP482" s="14"/>
      <c r="AQ482" s="14"/>
      <c r="AR482" s="14"/>
      <c r="AS482" s="14"/>
      <c r="AT482" s="14"/>
    </row>
    <row r="483">
      <c r="A483" s="463"/>
      <c r="B483" s="682">
        <v>2.0</v>
      </c>
      <c r="C483" s="683" t="s">
        <v>1112</v>
      </c>
      <c r="D483" s="684" t="s">
        <v>15</v>
      </c>
      <c r="E483" s="684" t="s">
        <v>41</v>
      </c>
      <c r="F483" s="685" t="s">
        <v>77</v>
      </c>
      <c r="G483" s="686" t="str">
        <f>IF(Summary!$Y$25&gt;=VLOOKUP(C483,Reference!$N$41:$O$70,2,0),2,0)</f>
        <v>2</v>
      </c>
      <c r="H483" s="686">
        <v>0.0</v>
      </c>
      <c r="I483" s="518">
        <v>1.0</v>
      </c>
      <c r="J483" s="518"/>
      <c r="K483" s="684" t="s">
        <v>188</v>
      </c>
      <c r="L483" s="684"/>
      <c r="M483" s="685">
        <v>1.0</v>
      </c>
      <c r="N483" s="686">
        <v>4.0</v>
      </c>
      <c r="O483" s="688" t="s">
        <v>1113</v>
      </c>
      <c r="P483" s="14"/>
      <c r="Q483" s="452" t="str">
        <f>MATCH($D483,Reference!$J$5:$J$9,0)</f>
        <v>2</v>
      </c>
      <c r="R483" s="452" t="str">
        <f>MATCH($E483,Reference!$J$26:$J$32,0)</f>
        <v>4</v>
      </c>
      <c r="S483" s="452" t="str">
        <f>MATCH($F483,Reference!$J$45:$J$54,0)</f>
        <v>10</v>
      </c>
      <c r="T483" s="453" t="str">
        <f>MATCH($K483,Reference!$J$37:$J$39,0)</f>
        <v>3</v>
      </c>
      <c r="U483" s="454" t="str">
        <f t="shared" si="735"/>
        <v>2</v>
      </c>
      <c r="V483" s="454" t="str">
        <f t="shared" si="3"/>
        <v>1</v>
      </c>
      <c r="W483" s="454" t="str">
        <f t="shared" si="782"/>
        <v>0</v>
      </c>
      <c r="X483" s="454" t="str">
        <f t="shared" si="736"/>
        <v>2</v>
      </c>
      <c r="Y483" s="456" t="str">
        <f t="shared" si="5"/>
        <v>FALSE</v>
      </c>
      <c r="Z483" s="456" t="str">
        <f t="shared" si="6"/>
        <v>FALSE</v>
      </c>
      <c r="AA483" s="457" t="str">
        <f t="shared" ref="AA483:AB483" si="815">1-I483</f>
        <v>0%</v>
      </c>
      <c r="AB483" s="457" t="str">
        <f t="shared" si="815"/>
        <v>100%</v>
      </c>
      <c r="AC483" s="456" t="str">
        <f t="shared" si="8"/>
        <v>2</v>
      </c>
      <c r="AD483" s="458" t="str">
        <f t="shared" si="738"/>
        <v>0</v>
      </c>
      <c r="AE483" s="458" t="str">
        <f t="shared" si="10"/>
        <v>1</v>
      </c>
      <c r="AF483" s="459" t="str">
        <f t="shared" si="784"/>
        <v>0</v>
      </c>
      <c r="AG483" s="460"/>
      <c r="AH483" s="14"/>
      <c r="AI483" s="14"/>
      <c r="AJ483" s="14"/>
      <c r="AK483" s="14"/>
      <c r="AL483" s="14"/>
      <c r="AM483" s="14"/>
      <c r="AN483" s="14"/>
      <c r="AO483" s="14"/>
      <c r="AP483" s="14"/>
      <c r="AQ483" s="14"/>
      <c r="AR483" s="14"/>
      <c r="AS483" s="14"/>
      <c r="AT483" s="14"/>
    </row>
    <row r="484">
      <c r="A484" s="466"/>
      <c r="B484" s="463">
        <v>2.0</v>
      </c>
      <c r="C484" s="538" t="s">
        <v>1114</v>
      </c>
      <c r="D484" s="539" t="s">
        <v>15</v>
      </c>
      <c r="E484" s="539" t="s">
        <v>35</v>
      </c>
      <c r="F484" s="540" t="s">
        <v>77</v>
      </c>
      <c r="G484" s="541">
        <v>2.0</v>
      </c>
      <c r="H484" s="493">
        <v>0.0</v>
      </c>
      <c r="I484" s="494">
        <v>1.0</v>
      </c>
      <c r="J484" s="494">
        <v>1.0</v>
      </c>
      <c r="K484" s="542" t="s">
        <v>188</v>
      </c>
      <c r="L484" s="542" t="s">
        <v>498</v>
      </c>
      <c r="M484" s="542">
        <v>3.0</v>
      </c>
      <c r="N484" s="542">
        <v>2.0</v>
      </c>
      <c r="O484" s="543"/>
      <c r="P484" s="14"/>
      <c r="Q484" s="452" t="str">
        <f>MATCH($D484,Reference!$J$5:$J$9,0)</f>
        <v>2</v>
      </c>
      <c r="R484" s="452" t="str">
        <f>MATCH($E484,Reference!$J$26:$J$32,0)</f>
        <v>5</v>
      </c>
      <c r="S484" s="452" t="str">
        <f>MATCH($F484,Reference!$J$45:$J$54,0)</f>
        <v>10</v>
      </c>
      <c r="T484" s="453" t="str">
        <f>MATCH($K484,Reference!$J$37:$J$39,0)</f>
        <v>3</v>
      </c>
      <c r="U484" s="454" t="str">
        <f t="shared" si="735"/>
        <v>2</v>
      </c>
      <c r="V484" s="454" t="str">
        <f t="shared" si="3"/>
        <v>1</v>
      </c>
      <c r="W484" s="454" t="str">
        <f t="shared" si="782"/>
        <v>0</v>
      </c>
      <c r="X484" s="454" t="str">
        <f t="shared" si="736"/>
        <v>2</v>
      </c>
      <c r="Y484" s="456" t="str">
        <f t="shared" si="5"/>
        <v>FALSE</v>
      </c>
      <c r="Z484" s="456" t="str">
        <f t="shared" si="6"/>
        <v>FALSE</v>
      </c>
      <c r="AA484" s="457" t="str">
        <f t="shared" ref="AA484:AB484" si="816">1-I484</f>
        <v>0%</v>
      </c>
      <c r="AB484" s="457" t="str">
        <f t="shared" si="816"/>
        <v>0%</v>
      </c>
      <c r="AC484" s="456" t="str">
        <f t="shared" si="8"/>
        <v>2</v>
      </c>
      <c r="AD484" s="458" t="str">
        <f t="shared" si="738"/>
        <v>0</v>
      </c>
      <c r="AE484" s="458" t="str">
        <f t="shared" si="10"/>
        <v>1</v>
      </c>
      <c r="AF484" s="459" t="str">
        <f t="shared" si="784"/>
        <v>0</v>
      </c>
      <c r="AG484" s="460"/>
      <c r="AH484" s="14"/>
      <c r="AI484" s="14"/>
      <c r="AJ484" s="14"/>
      <c r="AK484" s="14"/>
      <c r="AL484" s="14"/>
      <c r="AM484" s="14"/>
      <c r="AN484" s="14"/>
      <c r="AO484" s="14"/>
      <c r="AP484" s="14"/>
      <c r="AQ484" s="14"/>
      <c r="AR484" s="14"/>
      <c r="AS484" s="14"/>
      <c r="AT484" s="14"/>
    </row>
    <row r="485">
      <c r="A485" s="466"/>
      <c r="B485" s="463">
        <v>2.0</v>
      </c>
      <c r="C485" s="538" t="s">
        <v>1115</v>
      </c>
      <c r="D485" s="539" t="s">
        <v>15</v>
      </c>
      <c r="E485" s="539" t="s">
        <v>35</v>
      </c>
      <c r="F485" s="540" t="s">
        <v>77</v>
      </c>
      <c r="G485" s="541">
        <v>2.0</v>
      </c>
      <c r="H485" s="493">
        <v>0.0</v>
      </c>
      <c r="I485" s="494">
        <v>1.0</v>
      </c>
      <c r="J485" s="494">
        <v>1.0</v>
      </c>
      <c r="K485" s="542" t="s">
        <v>188</v>
      </c>
      <c r="L485" s="542"/>
      <c r="M485" s="542">
        <v>2.0</v>
      </c>
      <c r="N485" s="542">
        <v>3.0</v>
      </c>
      <c r="O485" s="543" t="s">
        <v>1116</v>
      </c>
      <c r="P485" s="14"/>
      <c r="Q485" s="452" t="str">
        <f>MATCH($D485,Reference!$J$5:$J$9,0)</f>
        <v>2</v>
      </c>
      <c r="R485" s="452" t="str">
        <f>MATCH($E485,Reference!$J$26:$J$32,0)</f>
        <v>5</v>
      </c>
      <c r="S485" s="452" t="str">
        <f>MATCH($F485,Reference!$J$45:$J$54,0)</f>
        <v>10</v>
      </c>
      <c r="T485" s="453" t="str">
        <f>MATCH($K485,Reference!$J$37:$J$39,0)</f>
        <v>3</v>
      </c>
      <c r="U485" s="454" t="str">
        <f t="shared" si="735"/>
        <v>2</v>
      </c>
      <c r="V485" s="454" t="str">
        <f t="shared" si="3"/>
        <v>1</v>
      </c>
      <c r="W485" s="454" t="str">
        <f t="shared" si="782"/>
        <v>0</v>
      </c>
      <c r="X485" s="454" t="str">
        <f t="shared" si="736"/>
        <v>2</v>
      </c>
      <c r="Y485" s="456" t="str">
        <f t="shared" si="5"/>
        <v>FALSE</v>
      </c>
      <c r="Z485" s="456" t="str">
        <f t="shared" si="6"/>
        <v>FALSE</v>
      </c>
      <c r="AA485" s="457" t="str">
        <f t="shared" ref="AA485:AB485" si="817">1-I485</f>
        <v>0%</v>
      </c>
      <c r="AB485" s="457" t="str">
        <f t="shared" si="817"/>
        <v>0%</v>
      </c>
      <c r="AC485" s="456" t="str">
        <f t="shared" si="8"/>
        <v>2</v>
      </c>
      <c r="AD485" s="458" t="str">
        <f t="shared" si="738"/>
        <v>0</v>
      </c>
      <c r="AE485" s="458" t="str">
        <f t="shared" si="10"/>
        <v>1</v>
      </c>
      <c r="AF485" s="459" t="str">
        <f t="shared" si="784"/>
        <v>0</v>
      </c>
      <c r="AG485" s="460"/>
      <c r="AH485" s="14"/>
      <c r="AI485" s="14"/>
      <c r="AJ485" s="14"/>
      <c r="AK485" s="14"/>
      <c r="AL485" s="14"/>
      <c r="AM485" s="14"/>
      <c r="AN485" s="14"/>
      <c r="AO485" s="14"/>
      <c r="AP485" s="14"/>
      <c r="AQ485" s="14"/>
      <c r="AR485" s="14"/>
      <c r="AS485" s="14"/>
      <c r="AT485" s="14"/>
    </row>
    <row r="486">
      <c r="A486" s="509"/>
      <c r="B486" s="463">
        <v>2.0</v>
      </c>
      <c r="C486" s="538" t="s">
        <v>1117</v>
      </c>
      <c r="D486" s="539" t="s">
        <v>15</v>
      </c>
      <c r="E486" s="539" t="s">
        <v>35</v>
      </c>
      <c r="F486" s="540" t="s">
        <v>77</v>
      </c>
      <c r="G486" s="541">
        <v>2.0</v>
      </c>
      <c r="H486" s="493">
        <v>0.0</v>
      </c>
      <c r="I486" s="494">
        <v>1.0</v>
      </c>
      <c r="J486" s="494">
        <v>1.0</v>
      </c>
      <c r="K486" s="542" t="s">
        <v>188</v>
      </c>
      <c r="L486" s="542"/>
      <c r="M486" s="542">
        <v>2.0</v>
      </c>
      <c r="N486" s="542">
        <v>3.0</v>
      </c>
      <c r="O486" s="543" t="s">
        <v>1118</v>
      </c>
      <c r="P486" s="14"/>
      <c r="Q486" s="452" t="str">
        <f>MATCH($D486,Reference!$J$5:$J$9,0)</f>
        <v>2</v>
      </c>
      <c r="R486" s="452" t="str">
        <f>MATCH($E486,Reference!$J$26:$J$32,0)</f>
        <v>5</v>
      </c>
      <c r="S486" s="452" t="str">
        <f>MATCH($F486,Reference!$J$45:$J$54,0)</f>
        <v>10</v>
      </c>
      <c r="T486" s="453" t="str">
        <f>MATCH($K486,Reference!$J$37:$J$39,0)</f>
        <v>3</v>
      </c>
      <c r="U486" s="454" t="str">
        <f t="shared" si="735"/>
        <v>2</v>
      </c>
      <c r="V486" s="454" t="str">
        <f t="shared" si="3"/>
        <v>1</v>
      </c>
      <c r="W486" s="454" t="str">
        <f t="shared" si="782"/>
        <v>0</v>
      </c>
      <c r="X486" s="454" t="str">
        <f t="shared" si="736"/>
        <v>2</v>
      </c>
      <c r="Y486" s="456" t="str">
        <f t="shared" si="5"/>
        <v>FALSE</v>
      </c>
      <c r="Z486" s="456" t="str">
        <f t="shared" si="6"/>
        <v>FALSE</v>
      </c>
      <c r="AA486" s="457" t="str">
        <f t="shared" ref="AA486:AB486" si="818">1-I486</f>
        <v>0%</v>
      </c>
      <c r="AB486" s="457" t="str">
        <f t="shared" si="818"/>
        <v>0%</v>
      </c>
      <c r="AC486" s="456" t="str">
        <f t="shared" si="8"/>
        <v>2</v>
      </c>
      <c r="AD486" s="458" t="str">
        <f t="shared" si="738"/>
        <v>0</v>
      </c>
      <c r="AE486" s="458" t="str">
        <f t="shared" si="10"/>
        <v>1</v>
      </c>
      <c r="AF486" s="459" t="str">
        <f t="shared" si="784"/>
        <v>0</v>
      </c>
      <c r="AG486" s="460"/>
      <c r="AH486" s="14"/>
      <c r="AI486" s="14"/>
      <c r="AJ486" s="14"/>
      <c r="AK486" s="14"/>
      <c r="AL486" s="14"/>
      <c r="AM486" s="14"/>
      <c r="AN486" s="14"/>
      <c r="AO486" s="14"/>
      <c r="AP486" s="14"/>
      <c r="AQ486" s="14"/>
      <c r="AR486" s="14"/>
      <c r="AS486" s="14"/>
      <c r="AT486" s="14"/>
    </row>
    <row r="487">
      <c r="A487" s="463"/>
      <c r="B487" s="682">
        <v>2.0</v>
      </c>
      <c r="C487" s="683" t="s">
        <v>1119</v>
      </c>
      <c r="D487" s="684" t="s">
        <v>15</v>
      </c>
      <c r="E487" s="684" t="s">
        <v>41</v>
      </c>
      <c r="F487" s="685" t="s">
        <v>77</v>
      </c>
      <c r="G487" s="686" t="str">
        <f>IF(Summary!$Y$25&gt;=VLOOKUP(C487,Reference!$N$41:$O$70,2,0),2,0)</f>
        <v>2</v>
      </c>
      <c r="H487" s="686">
        <v>0.0</v>
      </c>
      <c r="I487" s="518">
        <v>1.0</v>
      </c>
      <c r="J487" s="518"/>
      <c r="K487" s="687" t="s">
        <v>188</v>
      </c>
      <c r="L487" s="687"/>
      <c r="M487" s="687">
        <v>1.0</v>
      </c>
      <c r="N487" s="687">
        <v>3.0</v>
      </c>
      <c r="O487" s="688" t="s">
        <v>1120</v>
      </c>
      <c r="P487" s="14"/>
      <c r="Q487" s="452" t="str">
        <f>MATCH($D487,Reference!$J$5:$J$9,0)</f>
        <v>2</v>
      </c>
      <c r="R487" s="452" t="str">
        <f>MATCH($E487,Reference!$J$26:$J$32,0)</f>
        <v>4</v>
      </c>
      <c r="S487" s="452" t="str">
        <f>MATCH($F487,Reference!$J$45:$J$54,0)</f>
        <v>10</v>
      </c>
      <c r="T487" s="453" t="str">
        <f>MATCH($K487,Reference!$J$37:$J$39,0)</f>
        <v>3</v>
      </c>
      <c r="U487" s="454" t="str">
        <f t="shared" si="735"/>
        <v>2</v>
      </c>
      <c r="V487" s="454" t="str">
        <f t="shared" si="3"/>
        <v>1</v>
      </c>
      <c r="W487" s="454" t="str">
        <f t="shared" si="782"/>
        <v>0</v>
      </c>
      <c r="X487" s="454" t="str">
        <f t="shared" si="736"/>
        <v>2</v>
      </c>
      <c r="Y487" s="456" t="str">
        <f t="shared" si="5"/>
        <v>FALSE</v>
      </c>
      <c r="Z487" s="456" t="str">
        <f t="shared" si="6"/>
        <v>FALSE</v>
      </c>
      <c r="AA487" s="457" t="str">
        <f t="shared" ref="AA487:AB487" si="819">1-I487</f>
        <v>0%</v>
      </c>
      <c r="AB487" s="457" t="str">
        <f t="shared" si="819"/>
        <v>100%</v>
      </c>
      <c r="AC487" s="456" t="str">
        <f t="shared" si="8"/>
        <v>2</v>
      </c>
      <c r="AD487" s="458" t="str">
        <f t="shared" si="738"/>
        <v>0</v>
      </c>
      <c r="AE487" s="458" t="str">
        <f t="shared" si="10"/>
        <v>1</v>
      </c>
      <c r="AF487" s="459" t="str">
        <f t="shared" si="784"/>
        <v>0</v>
      </c>
      <c r="AG487" s="460"/>
      <c r="AH487" s="14"/>
      <c r="AI487" s="14"/>
      <c r="AJ487" s="14"/>
      <c r="AK487" s="14"/>
      <c r="AL487" s="14"/>
      <c r="AM487" s="14"/>
      <c r="AN487" s="14"/>
      <c r="AO487" s="14"/>
      <c r="AP487" s="14"/>
      <c r="AQ487" s="14"/>
      <c r="AR487" s="14"/>
      <c r="AS487" s="14"/>
      <c r="AT487" s="14"/>
    </row>
    <row r="488">
      <c r="A488" s="509"/>
      <c r="B488" s="442">
        <v>2.0</v>
      </c>
      <c r="C488" s="482" t="s">
        <v>1121</v>
      </c>
      <c r="D488" s="483" t="s">
        <v>15</v>
      </c>
      <c r="E488" s="483" t="s">
        <v>33</v>
      </c>
      <c r="F488" s="484" t="s">
        <v>77</v>
      </c>
      <c r="G488" s="471">
        <v>2.0</v>
      </c>
      <c r="H488" s="471">
        <v>0.0</v>
      </c>
      <c r="I488" s="486">
        <v>1.0</v>
      </c>
      <c r="J488" s="486">
        <v>1.0</v>
      </c>
      <c r="K488" s="499" t="s">
        <v>188</v>
      </c>
      <c r="L488" s="499"/>
      <c r="M488" s="499">
        <v>3.0</v>
      </c>
      <c r="N488" s="499">
        <v>2.0</v>
      </c>
      <c r="O488" s="223" t="s">
        <v>1122</v>
      </c>
      <c r="P488" s="14"/>
      <c r="Q488" s="452" t="str">
        <f>MATCH($D488,Reference!$J$5:$J$9,0)</f>
        <v>2</v>
      </c>
      <c r="R488" s="452" t="str">
        <f>MATCH($E488,Reference!$J$26:$J$32,0)</f>
        <v>2</v>
      </c>
      <c r="S488" s="452" t="str">
        <f>MATCH($F488,Reference!$J$45:$J$54,0)</f>
        <v>10</v>
      </c>
      <c r="T488" s="453" t="str">
        <f>MATCH($K488,Reference!$J$37:$J$39,0)</f>
        <v>3</v>
      </c>
      <c r="U488" s="454" t="str">
        <f t="shared" si="735"/>
        <v>2</v>
      </c>
      <c r="V488" s="454" t="str">
        <f t="shared" si="3"/>
        <v>1</v>
      </c>
      <c r="W488" s="454" t="str">
        <f t="shared" si="782"/>
        <v>0</v>
      </c>
      <c r="X488" s="454" t="str">
        <f t="shared" si="736"/>
        <v>2</v>
      </c>
      <c r="Y488" s="456" t="str">
        <f t="shared" si="5"/>
        <v>FALSE</v>
      </c>
      <c r="Z488" s="456" t="str">
        <f t="shared" si="6"/>
        <v>FALSE</v>
      </c>
      <c r="AA488" s="457" t="str">
        <f t="shared" ref="AA488:AB488" si="820">1-I488</f>
        <v>0%</v>
      </c>
      <c r="AB488" s="457" t="str">
        <f t="shared" si="820"/>
        <v>0%</v>
      </c>
      <c r="AC488" s="456" t="str">
        <f t="shared" si="8"/>
        <v>2</v>
      </c>
      <c r="AD488" s="458" t="str">
        <f t="shared" si="738"/>
        <v>0</v>
      </c>
      <c r="AE488" s="458" t="str">
        <f t="shared" si="10"/>
        <v>1</v>
      </c>
      <c r="AF488" s="459" t="str">
        <f t="shared" si="784"/>
        <v>0</v>
      </c>
      <c r="AG488" s="460"/>
      <c r="AH488" s="14"/>
      <c r="AI488" s="14"/>
      <c r="AJ488" s="14"/>
      <c r="AK488" s="14"/>
      <c r="AL488" s="14"/>
      <c r="AM488" s="14"/>
      <c r="AN488" s="14"/>
      <c r="AO488" s="14"/>
      <c r="AP488" s="14"/>
      <c r="AQ488" s="14"/>
      <c r="AR488" s="14"/>
      <c r="AS488" s="14"/>
      <c r="AT488" s="14"/>
    </row>
    <row r="489">
      <c r="A489" s="442"/>
      <c r="B489" s="442">
        <v>3.0</v>
      </c>
      <c r="C489" s="482" t="s">
        <v>1123</v>
      </c>
      <c r="D489" s="483" t="s">
        <v>15</v>
      </c>
      <c r="E489" s="483" t="s">
        <v>33</v>
      </c>
      <c r="F489" s="484" t="s">
        <v>77</v>
      </c>
      <c r="G489" s="471">
        <v>2.0</v>
      </c>
      <c r="H489" s="471">
        <v>0.0</v>
      </c>
      <c r="I489" s="486">
        <v>1.0</v>
      </c>
      <c r="J489" s="486">
        <v>1.0</v>
      </c>
      <c r="K489" s="499" t="s">
        <v>188</v>
      </c>
      <c r="L489" s="499"/>
      <c r="M489" s="499">
        <v>1.0</v>
      </c>
      <c r="N489" s="499">
        <v>3.0</v>
      </c>
      <c r="O489" s="223" t="s">
        <v>1124</v>
      </c>
      <c r="P489" s="14"/>
      <c r="Q489" s="452" t="str">
        <f>MATCH($D489,Reference!$J$5:$J$9,0)</f>
        <v>2</v>
      </c>
      <c r="R489" s="452" t="str">
        <f>MATCH($E489,Reference!$J$26:$J$32,0)</f>
        <v>2</v>
      </c>
      <c r="S489" s="452" t="str">
        <f>MATCH($F489,Reference!$J$45:$J$54,0)</f>
        <v>10</v>
      </c>
      <c r="T489" s="453" t="str">
        <f>MATCH($K489,Reference!$J$37:$J$39,0)</f>
        <v>3</v>
      </c>
      <c r="U489" s="454" t="str">
        <f t="shared" si="735"/>
        <v>2</v>
      </c>
      <c r="V489" s="454" t="str">
        <f t="shared" si="3"/>
        <v>1</v>
      </c>
      <c r="W489" s="454" t="str">
        <f t="shared" si="782"/>
        <v>0</v>
      </c>
      <c r="X489" s="454" t="str">
        <f t="shared" si="736"/>
        <v>2</v>
      </c>
      <c r="Y489" s="456" t="str">
        <f t="shared" si="5"/>
        <v>FALSE</v>
      </c>
      <c r="Z489" s="456" t="str">
        <f t="shared" si="6"/>
        <v>FALSE</v>
      </c>
      <c r="AA489" s="457" t="str">
        <f t="shared" ref="AA489:AB489" si="821">1-I489</f>
        <v>0%</v>
      </c>
      <c r="AB489" s="457" t="str">
        <f t="shared" si="821"/>
        <v>0%</v>
      </c>
      <c r="AC489" s="456" t="str">
        <f t="shared" si="8"/>
        <v>2</v>
      </c>
      <c r="AD489" s="458" t="str">
        <f t="shared" si="738"/>
        <v>0</v>
      </c>
      <c r="AE489" s="458" t="str">
        <f t="shared" si="10"/>
        <v>1</v>
      </c>
      <c r="AF489" s="459" t="str">
        <f t="shared" si="784"/>
        <v>0</v>
      </c>
      <c r="AG489" s="460"/>
      <c r="AH489" s="14"/>
      <c r="AI489" s="14"/>
      <c r="AJ489" s="14"/>
      <c r="AK489" s="14"/>
      <c r="AL489" s="14"/>
      <c r="AM489" s="14"/>
      <c r="AN489" s="14"/>
      <c r="AO489" s="14"/>
      <c r="AP489" s="14"/>
      <c r="AQ489" s="14"/>
      <c r="AR489" s="14"/>
      <c r="AS489" s="14"/>
      <c r="AT489" s="14"/>
    </row>
    <row r="490">
      <c r="A490" s="442"/>
      <c r="B490" s="727">
        <v>3.0</v>
      </c>
      <c r="C490" s="748" t="s">
        <v>1125</v>
      </c>
      <c r="D490" s="749" t="s">
        <v>15</v>
      </c>
      <c r="E490" s="477" t="s">
        <v>36</v>
      </c>
      <c r="F490" s="477" t="s">
        <v>77</v>
      </c>
      <c r="G490" s="478">
        <v>2.0</v>
      </c>
      <c r="H490" s="478">
        <v>0.0</v>
      </c>
      <c r="I490" s="479">
        <v>1.0</v>
      </c>
      <c r="J490" s="479">
        <v>1.0</v>
      </c>
      <c r="K490" s="477" t="s">
        <v>188</v>
      </c>
      <c r="L490" s="477"/>
      <c r="M490" s="477">
        <v>2.0</v>
      </c>
      <c r="N490" s="477">
        <v>1.0</v>
      </c>
      <c r="O490" s="480" t="s">
        <v>1126</v>
      </c>
      <c r="P490" s="14"/>
      <c r="Q490" s="452" t="str">
        <f>MATCH($D490,Reference!$J$5:$J$9,0)</f>
        <v>2</v>
      </c>
      <c r="R490" s="452" t="str">
        <f>MATCH($E490,Reference!$J$26:$J$32,0)</f>
        <v>7</v>
      </c>
      <c r="S490" s="452" t="str">
        <f>MATCH($F490,Reference!$J$45:$J$54,0)</f>
        <v>10</v>
      </c>
      <c r="T490" s="453" t="str">
        <f>MATCH($K490,Reference!$J$37:$J$39,0)</f>
        <v>3</v>
      </c>
      <c r="U490" s="454" t="str">
        <f t="shared" si="735"/>
        <v>2</v>
      </c>
      <c r="V490" s="454" t="str">
        <f t="shared" si="3"/>
        <v>1</v>
      </c>
      <c r="W490" s="454" t="str">
        <f t="shared" si="782"/>
        <v>0</v>
      </c>
      <c r="X490" s="454" t="str">
        <f t="shared" si="736"/>
        <v>2</v>
      </c>
      <c r="Y490" s="456" t="str">
        <f t="shared" si="5"/>
        <v>FALSE</v>
      </c>
      <c r="Z490" s="456" t="str">
        <f t="shared" si="6"/>
        <v>FALSE</v>
      </c>
      <c r="AA490" s="457" t="str">
        <f t="shared" ref="AA490:AB490" si="822">1-I490</f>
        <v>0%</v>
      </c>
      <c r="AB490" s="457" t="str">
        <f t="shared" si="822"/>
        <v>0%</v>
      </c>
      <c r="AC490" s="456" t="str">
        <f t="shared" si="8"/>
        <v>2</v>
      </c>
      <c r="AD490" s="458" t="str">
        <f t="shared" si="738"/>
        <v>0</v>
      </c>
      <c r="AE490" s="458" t="str">
        <f t="shared" si="10"/>
        <v>1</v>
      </c>
      <c r="AF490" s="459" t="str">
        <f t="shared" si="784"/>
        <v>0</v>
      </c>
      <c r="AG490" s="460"/>
      <c r="AH490" s="14"/>
      <c r="AI490" s="14"/>
      <c r="AJ490" s="14"/>
      <c r="AK490" s="14"/>
      <c r="AL490" s="14"/>
      <c r="AM490" s="14"/>
      <c r="AN490" s="14"/>
      <c r="AO490" s="14"/>
      <c r="AP490" s="14"/>
      <c r="AQ490" s="14"/>
      <c r="AR490" s="14"/>
      <c r="AS490" s="14"/>
      <c r="AT490" s="14"/>
    </row>
    <row r="491">
      <c r="A491" s="466"/>
      <c r="B491" s="469">
        <v>3.0</v>
      </c>
      <c r="C491" s="501" t="s">
        <v>1127</v>
      </c>
      <c r="D491" s="502" t="s">
        <v>15</v>
      </c>
      <c r="E491" s="502" t="s">
        <v>47</v>
      </c>
      <c r="F491" s="503" t="s">
        <v>77</v>
      </c>
      <c r="G491" s="504" t="str">
        <f>IF(Summary!$Y$27&gt;=VLOOKUP(C491,Reference!$N$6:$O$36,2,0),2,0)</f>
        <v>2</v>
      </c>
      <c r="H491" s="504">
        <v>0.0</v>
      </c>
      <c r="I491" s="505">
        <v>1.0</v>
      </c>
      <c r="J491" s="505"/>
      <c r="K491" s="506" t="s">
        <v>188</v>
      </c>
      <c r="L491" s="506"/>
      <c r="M491" s="506">
        <v>2.0</v>
      </c>
      <c r="N491" s="506">
        <v>4.0</v>
      </c>
      <c r="O491" s="507" t="s">
        <v>1128</v>
      </c>
      <c r="P491" s="14"/>
      <c r="Q491" s="452" t="str">
        <f>MATCH($D491,Reference!$J$5:$J$9,0)</f>
        <v>2</v>
      </c>
      <c r="R491" s="452" t="str">
        <f>MATCH($E491,Reference!$J$26:$J$32,0)</f>
        <v>6</v>
      </c>
      <c r="S491" s="452" t="str">
        <f>MATCH($F491,Reference!$J$45:$J$54,0)</f>
        <v>10</v>
      </c>
      <c r="T491" s="453" t="str">
        <f>MATCH($K491,Reference!$J$37:$J$39,0)</f>
        <v>3</v>
      </c>
      <c r="U491" s="454" t="str">
        <f t="shared" si="735"/>
        <v>2</v>
      </c>
      <c r="V491" s="454" t="str">
        <f t="shared" si="3"/>
        <v>1</v>
      </c>
      <c r="W491" s="454" t="str">
        <f t="shared" si="782"/>
        <v>0</v>
      </c>
      <c r="X491" s="454" t="str">
        <f t="shared" si="736"/>
        <v>2</v>
      </c>
      <c r="Y491" s="456" t="str">
        <f t="shared" si="5"/>
        <v>FALSE</v>
      </c>
      <c r="Z491" s="456" t="str">
        <f t="shared" si="6"/>
        <v>FALSE</v>
      </c>
      <c r="AA491" s="457" t="str">
        <f t="shared" ref="AA491:AB491" si="823">1-I491</f>
        <v>0%</v>
      </c>
      <c r="AB491" s="457" t="str">
        <f t="shared" si="823"/>
        <v>100%</v>
      </c>
      <c r="AC491" s="456" t="str">
        <f t="shared" si="8"/>
        <v>2</v>
      </c>
      <c r="AD491" s="458" t="str">
        <f t="shared" si="738"/>
        <v>0</v>
      </c>
      <c r="AE491" s="458" t="str">
        <f t="shared" si="10"/>
        <v>1</v>
      </c>
      <c r="AF491" s="459" t="str">
        <f t="shared" si="784"/>
        <v>0</v>
      </c>
      <c r="AG491" s="460"/>
      <c r="AH491" s="14"/>
      <c r="AI491" s="14"/>
      <c r="AJ491" s="14"/>
      <c r="AK491" s="14"/>
      <c r="AL491" s="14"/>
      <c r="AM491" s="14"/>
      <c r="AN491" s="14"/>
      <c r="AO491" s="14"/>
      <c r="AP491" s="14"/>
      <c r="AQ491" s="14"/>
      <c r="AR491" s="14"/>
      <c r="AS491" s="14"/>
      <c r="AT491" s="14"/>
    </row>
    <row r="492">
      <c r="A492" s="442"/>
      <c r="B492" s="682">
        <v>3.0</v>
      </c>
      <c r="C492" s="683" t="s">
        <v>1129</v>
      </c>
      <c r="D492" s="684" t="s">
        <v>15</v>
      </c>
      <c r="E492" s="684" t="s">
        <v>41</v>
      </c>
      <c r="F492" s="685" t="s">
        <v>77</v>
      </c>
      <c r="G492" s="686" t="str">
        <f>IF(Summary!$Y$25&gt;=VLOOKUP(C492,Reference!$N$41:$O$70,2,0),2,0)</f>
        <v>2</v>
      </c>
      <c r="H492" s="686">
        <v>0.0</v>
      </c>
      <c r="I492" s="518">
        <v>1.0</v>
      </c>
      <c r="J492" s="518"/>
      <c r="K492" s="687" t="s">
        <v>188</v>
      </c>
      <c r="L492" s="687"/>
      <c r="M492" s="687">
        <v>4.0</v>
      </c>
      <c r="N492" s="687">
        <v>4.0</v>
      </c>
      <c r="O492" s="688" t="s">
        <v>1130</v>
      </c>
      <c r="P492" s="14"/>
      <c r="Q492" s="452" t="str">
        <f>MATCH($D492,Reference!$J$5:$J$9,0)</f>
        <v>2</v>
      </c>
      <c r="R492" s="452" t="str">
        <f>MATCH($E492,Reference!$J$26:$J$32,0)</f>
        <v>4</v>
      </c>
      <c r="S492" s="452" t="str">
        <f>MATCH($F492,Reference!$J$45:$J$54,0)</f>
        <v>10</v>
      </c>
      <c r="T492" s="453" t="str">
        <f>MATCH($K492,Reference!$J$37:$J$39,0)</f>
        <v>3</v>
      </c>
      <c r="U492" s="454" t="str">
        <f t="shared" si="735"/>
        <v>2</v>
      </c>
      <c r="V492" s="454" t="str">
        <f t="shared" si="3"/>
        <v>1</v>
      </c>
      <c r="W492" s="454" t="str">
        <f t="shared" si="782"/>
        <v>0</v>
      </c>
      <c r="X492" s="454" t="str">
        <f t="shared" si="736"/>
        <v>2</v>
      </c>
      <c r="Y492" s="456" t="str">
        <f t="shared" si="5"/>
        <v>FALSE</v>
      </c>
      <c r="Z492" s="456" t="str">
        <f t="shared" si="6"/>
        <v>FALSE</v>
      </c>
      <c r="AA492" s="457" t="str">
        <f t="shared" ref="AA492:AB492" si="824">1-I492</f>
        <v>0%</v>
      </c>
      <c r="AB492" s="457" t="str">
        <f t="shared" si="824"/>
        <v>100%</v>
      </c>
      <c r="AC492" s="456" t="str">
        <f t="shared" si="8"/>
        <v>2</v>
      </c>
      <c r="AD492" s="458" t="str">
        <f t="shared" si="738"/>
        <v>0</v>
      </c>
      <c r="AE492" s="458" t="str">
        <f t="shared" si="10"/>
        <v>1</v>
      </c>
      <c r="AF492" s="459" t="str">
        <f t="shared" si="784"/>
        <v>0</v>
      </c>
      <c r="AG492" s="460"/>
      <c r="AH492" s="14"/>
      <c r="AI492" s="14"/>
      <c r="AJ492" s="14"/>
      <c r="AK492" s="14"/>
      <c r="AL492" s="14"/>
      <c r="AM492" s="14"/>
      <c r="AN492" s="14"/>
      <c r="AO492" s="14"/>
      <c r="AP492" s="14"/>
      <c r="AQ492" s="14"/>
      <c r="AR492" s="14"/>
      <c r="AS492" s="14"/>
      <c r="AT492" s="14"/>
    </row>
    <row r="493">
      <c r="A493" s="469"/>
      <c r="B493" s="466">
        <v>3.0</v>
      </c>
      <c r="C493" s="475" t="s">
        <v>1131</v>
      </c>
      <c r="D493" s="476" t="s">
        <v>15</v>
      </c>
      <c r="E493" s="477" t="s">
        <v>36</v>
      </c>
      <c r="F493" s="477" t="s">
        <v>77</v>
      </c>
      <c r="G493" s="478">
        <v>2.0</v>
      </c>
      <c r="H493" s="478">
        <v>0.0</v>
      </c>
      <c r="I493" s="479">
        <v>1.0</v>
      </c>
      <c r="J493" s="479">
        <v>1.0</v>
      </c>
      <c r="K493" s="477" t="s">
        <v>188</v>
      </c>
      <c r="L493" s="477"/>
      <c r="M493" s="477">
        <v>3.0</v>
      </c>
      <c r="N493" s="477">
        <v>3.0</v>
      </c>
      <c r="O493" s="480" t="s">
        <v>1132</v>
      </c>
      <c r="P493" s="14"/>
      <c r="Q493" s="452" t="str">
        <f>MATCH($D493,Reference!$J$5:$J$9,0)</f>
        <v>2</v>
      </c>
      <c r="R493" s="452" t="str">
        <f>MATCH($E493,Reference!$J$26:$J$32,0)</f>
        <v>7</v>
      </c>
      <c r="S493" s="452" t="str">
        <f>MATCH($F493,Reference!$J$45:$J$54,0)</f>
        <v>10</v>
      </c>
      <c r="T493" s="453" t="str">
        <f>MATCH($K493,Reference!$J$37:$J$39,0)</f>
        <v>3</v>
      </c>
      <c r="U493" s="454" t="str">
        <f t="shared" si="735"/>
        <v>2</v>
      </c>
      <c r="V493" s="454" t="str">
        <f t="shared" si="3"/>
        <v>1</v>
      </c>
      <c r="W493" s="454" t="str">
        <f t="shared" si="782"/>
        <v>0</v>
      </c>
      <c r="X493" s="454" t="str">
        <f t="shared" si="736"/>
        <v>2</v>
      </c>
      <c r="Y493" s="456" t="str">
        <f t="shared" si="5"/>
        <v>FALSE</v>
      </c>
      <c r="Z493" s="456" t="str">
        <f t="shared" si="6"/>
        <v>FALSE</v>
      </c>
      <c r="AA493" s="457" t="str">
        <f t="shared" ref="AA493:AB493" si="825">1-I493</f>
        <v>0%</v>
      </c>
      <c r="AB493" s="457" t="str">
        <f t="shared" si="825"/>
        <v>0%</v>
      </c>
      <c r="AC493" s="456" t="str">
        <f t="shared" si="8"/>
        <v>2</v>
      </c>
      <c r="AD493" s="458" t="str">
        <f t="shared" si="738"/>
        <v>0</v>
      </c>
      <c r="AE493" s="458" t="str">
        <f t="shared" si="10"/>
        <v>1</v>
      </c>
      <c r="AF493" s="459" t="str">
        <f t="shared" si="784"/>
        <v>0</v>
      </c>
      <c r="AG493" s="460"/>
      <c r="AH493" s="14"/>
      <c r="AI493" s="14"/>
      <c r="AJ493" s="14"/>
      <c r="AK493" s="14"/>
      <c r="AL493" s="14"/>
      <c r="AM493" s="14"/>
      <c r="AN493" s="14"/>
      <c r="AO493" s="14"/>
      <c r="AP493" s="14"/>
      <c r="AQ493" s="14"/>
      <c r="AR493" s="14"/>
      <c r="AS493" s="14"/>
      <c r="AT493" s="14"/>
    </row>
    <row r="494">
      <c r="A494" s="509"/>
      <c r="B494" s="442">
        <v>3.0</v>
      </c>
      <c r="C494" s="482" t="s">
        <v>1133</v>
      </c>
      <c r="D494" s="483" t="s">
        <v>15</v>
      </c>
      <c r="E494" s="483" t="s">
        <v>33</v>
      </c>
      <c r="F494" s="484" t="s">
        <v>77</v>
      </c>
      <c r="G494" s="471">
        <v>2.0</v>
      </c>
      <c r="H494" s="471">
        <v>0.0</v>
      </c>
      <c r="I494" s="486">
        <v>1.0</v>
      </c>
      <c r="J494" s="486">
        <v>1.0</v>
      </c>
      <c r="K494" s="499" t="s">
        <v>188</v>
      </c>
      <c r="L494" s="499"/>
      <c r="M494" s="499">
        <v>3.0</v>
      </c>
      <c r="N494" s="499">
        <v>3.0</v>
      </c>
      <c r="O494" s="223" t="s">
        <v>1134</v>
      </c>
      <c r="P494" s="14"/>
      <c r="Q494" s="452" t="str">
        <f>MATCH($D494,Reference!$J$5:$J$9,0)</f>
        <v>2</v>
      </c>
      <c r="R494" s="452" t="str">
        <f>MATCH($E494,Reference!$J$26:$J$32,0)</f>
        <v>2</v>
      </c>
      <c r="S494" s="452" t="str">
        <f>MATCH($F494,Reference!$J$45:$J$54,0)</f>
        <v>10</v>
      </c>
      <c r="T494" s="453" t="str">
        <f>MATCH($K494,Reference!$J$37:$J$39,0)</f>
        <v>3</v>
      </c>
      <c r="U494" s="454" t="str">
        <f t="shared" si="735"/>
        <v>2</v>
      </c>
      <c r="V494" s="454" t="str">
        <f t="shared" si="3"/>
        <v>1</v>
      </c>
      <c r="W494" s="454" t="str">
        <f t="shared" si="782"/>
        <v>0</v>
      </c>
      <c r="X494" s="454" t="str">
        <f t="shared" si="736"/>
        <v>2</v>
      </c>
      <c r="Y494" s="456" t="str">
        <f t="shared" si="5"/>
        <v>FALSE</v>
      </c>
      <c r="Z494" s="456" t="str">
        <f t="shared" si="6"/>
        <v>FALSE</v>
      </c>
      <c r="AA494" s="457" t="str">
        <f t="shared" ref="AA494:AB494" si="826">1-I494</f>
        <v>0%</v>
      </c>
      <c r="AB494" s="457" t="str">
        <f t="shared" si="826"/>
        <v>0%</v>
      </c>
      <c r="AC494" s="456" t="str">
        <f t="shared" si="8"/>
        <v>2</v>
      </c>
      <c r="AD494" s="458" t="str">
        <f t="shared" si="738"/>
        <v>0</v>
      </c>
      <c r="AE494" s="458" t="str">
        <f t="shared" si="10"/>
        <v>1</v>
      </c>
      <c r="AF494" s="459" t="str">
        <f t="shared" si="784"/>
        <v>0</v>
      </c>
      <c r="AG494" s="460"/>
      <c r="AH494" s="14"/>
      <c r="AI494" s="14"/>
      <c r="AJ494" s="14"/>
      <c r="AK494" s="14"/>
      <c r="AL494" s="14"/>
      <c r="AM494" s="14"/>
      <c r="AN494" s="14"/>
      <c r="AO494" s="14"/>
      <c r="AP494" s="14"/>
      <c r="AQ494" s="14"/>
      <c r="AR494" s="14"/>
      <c r="AS494" s="14"/>
      <c r="AT494" s="14"/>
    </row>
    <row r="495">
      <c r="A495" s="442"/>
      <c r="B495" s="442">
        <v>3.0</v>
      </c>
      <c r="C495" s="482" t="s">
        <v>1135</v>
      </c>
      <c r="D495" s="483" t="s">
        <v>15</v>
      </c>
      <c r="E495" s="483" t="s">
        <v>33</v>
      </c>
      <c r="F495" s="484" t="s">
        <v>77</v>
      </c>
      <c r="G495" s="471">
        <v>2.0</v>
      </c>
      <c r="H495" s="471">
        <v>0.0</v>
      </c>
      <c r="I495" s="486">
        <v>1.0</v>
      </c>
      <c r="J495" s="486">
        <v>1.0</v>
      </c>
      <c r="K495" s="499" t="s">
        <v>188</v>
      </c>
      <c r="L495" s="499"/>
      <c r="M495" s="499">
        <v>2.0</v>
      </c>
      <c r="N495" s="499">
        <v>3.0</v>
      </c>
      <c r="O495" s="223" t="s">
        <v>1136</v>
      </c>
      <c r="P495" s="14"/>
      <c r="Q495" s="452" t="str">
        <f>MATCH($D495,Reference!$J$5:$J$9,0)</f>
        <v>2</v>
      </c>
      <c r="R495" s="452" t="str">
        <f>MATCH($E495,Reference!$J$26:$J$32,0)</f>
        <v>2</v>
      </c>
      <c r="S495" s="452" t="str">
        <f>MATCH($F495,Reference!$J$45:$J$54,0)</f>
        <v>10</v>
      </c>
      <c r="T495" s="453" t="str">
        <f>MATCH($K495,Reference!$J$37:$J$39,0)</f>
        <v>3</v>
      </c>
      <c r="U495" s="454" t="str">
        <f t="shared" si="735"/>
        <v>2</v>
      </c>
      <c r="V495" s="454" t="str">
        <f t="shared" si="3"/>
        <v>1</v>
      </c>
      <c r="W495" s="454" t="str">
        <f t="shared" si="782"/>
        <v>0</v>
      </c>
      <c r="X495" s="454" t="str">
        <f t="shared" si="736"/>
        <v>2</v>
      </c>
      <c r="Y495" s="456" t="str">
        <f t="shared" si="5"/>
        <v>FALSE</v>
      </c>
      <c r="Z495" s="456" t="str">
        <f t="shared" si="6"/>
        <v>FALSE</v>
      </c>
      <c r="AA495" s="457" t="str">
        <f t="shared" ref="AA495:AB495" si="827">1-I495</f>
        <v>0%</v>
      </c>
      <c r="AB495" s="457" t="str">
        <f t="shared" si="827"/>
        <v>0%</v>
      </c>
      <c r="AC495" s="456" t="str">
        <f t="shared" si="8"/>
        <v>2</v>
      </c>
      <c r="AD495" s="458" t="str">
        <f t="shared" si="738"/>
        <v>0</v>
      </c>
      <c r="AE495" s="458" t="str">
        <f t="shared" si="10"/>
        <v>1</v>
      </c>
      <c r="AF495" s="459" t="str">
        <f t="shared" si="784"/>
        <v>0</v>
      </c>
      <c r="AG495" s="460"/>
      <c r="AH495" s="14"/>
      <c r="AI495" s="14"/>
      <c r="AJ495" s="14"/>
      <c r="AK495" s="14"/>
      <c r="AL495" s="14"/>
      <c r="AM495" s="14"/>
      <c r="AN495" s="14"/>
      <c r="AO495" s="14"/>
      <c r="AP495" s="14"/>
      <c r="AQ495" s="14"/>
      <c r="AR495" s="14"/>
      <c r="AS495" s="14"/>
      <c r="AT495" s="14"/>
    </row>
    <row r="496">
      <c r="A496" s="509"/>
      <c r="B496" s="463">
        <v>3.0</v>
      </c>
      <c r="C496" s="538" t="s">
        <v>1137</v>
      </c>
      <c r="D496" s="539" t="s">
        <v>15</v>
      </c>
      <c r="E496" s="539" t="s">
        <v>35</v>
      </c>
      <c r="F496" s="540" t="s">
        <v>77</v>
      </c>
      <c r="G496" s="541">
        <v>2.0</v>
      </c>
      <c r="H496" s="493">
        <v>0.0</v>
      </c>
      <c r="I496" s="494">
        <v>1.0</v>
      </c>
      <c r="J496" s="494">
        <v>1.0</v>
      </c>
      <c r="K496" s="542" t="s">
        <v>188</v>
      </c>
      <c r="L496" s="542" t="s">
        <v>198</v>
      </c>
      <c r="M496" s="542">
        <v>1.0</v>
      </c>
      <c r="N496" s="542">
        <v>4.0</v>
      </c>
      <c r="O496" s="543" t="s">
        <v>768</v>
      </c>
      <c r="P496" s="14"/>
      <c r="Q496" s="452" t="str">
        <f>MATCH($D496,Reference!$J$5:$J$9,0)</f>
        <v>2</v>
      </c>
      <c r="R496" s="452" t="str">
        <f>MATCH($E496,Reference!$J$26:$J$32,0)</f>
        <v>5</v>
      </c>
      <c r="S496" s="452" t="str">
        <f>MATCH($F496,Reference!$J$45:$J$54,0)</f>
        <v>10</v>
      </c>
      <c r="T496" s="453" t="str">
        <f>MATCH($K496,Reference!$J$37:$J$39,0)</f>
        <v>3</v>
      </c>
      <c r="U496" s="454" t="str">
        <f t="shared" si="735"/>
        <v>2</v>
      </c>
      <c r="V496" s="454" t="str">
        <f t="shared" si="3"/>
        <v>1</v>
      </c>
      <c r="W496" s="454" t="str">
        <f t="shared" si="782"/>
        <v>0</v>
      </c>
      <c r="X496" s="454" t="str">
        <f t="shared" si="736"/>
        <v>2</v>
      </c>
      <c r="Y496" s="456" t="str">
        <f t="shared" si="5"/>
        <v>FALSE</v>
      </c>
      <c r="Z496" s="456" t="str">
        <f t="shared" si="6"/>
        <v>FALSE</v>
      </c>
      <c r="AA496" s="457" t="str">
        <f t="shared" ref="AA496:AB496" si="828">1-I496</f>
        <v>0%</v>
      </c>
      <c r="AB496" s="457" t="str">
        <f t="shared" si="828"/>
        <v>0%</v>
      </c>
      <c r="AC496" s="456" t="str">
        <f t="shared" si="8"/>
        <v>2</v>
      </c>
      <c r="AD496" s="458" t="str">
        <f t="shared" si="738"/>
        <v>0</v>
      </c>
      <c r="AE496" s="458" t="str">
        <f t="shared" si="10"/>
        <v>1</v>
      </c>
      <c r="AF496" s="459" t="str">
        <f t="shared" si="784"/>
        <v>0</v>
      </c>
      <c r="AG496" s="460"/>
      <c r="AH496" s="14"/>
      <c r="AI496" s="14"/>
      <c r="AJ496" s="14"/>
      <c r="AK496" s="14"/>
      <c r="AL496" s="14"/>
      <c r="AM496" s="14"/>
      <c r="AN496" s="14"/>
      <c r="AO496" s="14"/>
      <c r="AP496" s="14"/>
      <c r="AQ496" s="14"/>
      <c r="AR496" s="14"/>
      <c r="AS496" s="14"/>
      <c r="AT496" s="14"/>
    </row>
    <row r="497">
      <c r="A497" s="513"/>
      <c r="B497" s="463">
        <v>3.0</v>
      </c>
      <c r="C497" s="538" t="s">
        <v>1138</v>
      </c>
      <c r="D497" s="539" t="s">
        <v>15</v>
      </c>
      <c r="E497" s="539" t="s">
        <v>35</v>
      </c>
      <c r="F497" s="540" t="s">
        <v>77</v>
      </c>
      <c r="G497" s="541">
        <v>2.0</v>
      </c>
      <c r="H497" s="541">
        <v>0.0</v>
      </c>
      <c r="I497" s="494">
        <v>1.0</v>
      </c>
      <c r="J497" s="494">
        <v>1.0</v>
      </c>
      <c r="K497" s="542" t="s">
        <v>188</v>
      </c>
      <c r="L497" s="542"/>
      <c r="M497" s="542">
        <v>1.0</v>
      </c>
      <c r="N497" s="542">
        <v>4.0</v>
      </c>
      <c r="O497" s="543" t="s">
        <v>1139</v>
      </c>
      <c r="P497" s="14"/>
      <c r="Q497" s="452" t="str">
        <f>MATCH($D497,Reference!$J$5:$J$9,0)</f>
        <v>2</v>
      </c>
      <c r="R497" s="452" t="str">
        <f>MATCH($E497,Reference!$J$26:$J$32,0)</f>
        <v>5</v>
      </c>
      <c r="S497" s="452" t="str">
        <f>MATCH($F497,Reference!$J$45:$J$54,0)</f>
        <v>10</v>
      </c>
      <c r="T497" s="453" t="str">
        <f>MATCH($K497,Reference!$J$37:$J$39,0)</f>
        <v>3</v>
      </c>
      <c r="U497" s="454" t="str">
        <f t="shared" si="735"/>
        <v>2</v>
      </c>
      <c r="V497" s="454" t="str">
        <f t="shared" si="3"/>
        <v>1</v>
      </c>
      <c r="W497" s="454" t="str">
        <f t="shared" si="782"/>
        <v>0</v>
      </c>
      <c r="X497" s="454" t="str">
        <f t="shared" si="736"/>
        <v>2</v>
      </c>
      <c r="Y497" s="456" t="str">
        <f t="shared" si="5"/>
        <v>FALSE</v>
      </c>
      <c r="Z497" s="456" t="str">
        <f t="shared" si="6"/>
        <v>FALSE</v>
      </c>
      <c r="AA497" s="457" t="str">
        <f t="shared" ref="AA497:AB497" si="829">1-I497</f>
        <v>0%</v>
      </c>
      <c r="AB497" s="457" t="str">
        <f t="shared" si="829"/>
        <v>0%</v>
      </c>
      <c r="AC497" s="456" t="str">
        <f t="shared" si="8"/>
        <v>2</v>
      </c>
      <c r="AD497" s="458" t="str">
        <f t="shared" si="738"/>
        <v>0</v>
      </c>
      <c r="AE497" s="458" t="str">
        <f t="shared" si="10"/>
        <v>1</v>
      </c>
      <c r="AF497" s="459" t="str">
        <f t="shared" si="784"/>
        <v>0</v>
      </c>
      <c r="AG497" s="460"/>
      <c r="AH497" s="14"/>
      <c r="AI497" s="14"/>
      <c r="AJ497" s="14"/>
      <c r="AK497" s="14"/>
      <c r="AL497" s="14"/>
      <c r="AM497" s="14"/>
      <c r="AN497" s="14"/>
      <c r="AO497" s="14"/>
      <c r="AP497" s="14"/>
      <c r="AQ497" s="14"/>
      <c r="AR497" s="14"/>
      <c r="AS497" s="14"/>
      <c r="AT497" s="14"/>
    </row>
    <row r="498">
      <c r="A498" s="463"/>
      <c r="B498" s="442">
        <v>3.0</v>
      </c>
      <c r="C498" s="482" t="s">
        <v>1140</v>
      </c>
      <c r="D498" s="483" t="s">
        <v>15</v>
      </c>
      <c r="E498" s="483" t="s">
        <v>33</v>
      </c>
      <c r="F498" s="484" t="s">
        <v>77</v>
      </c>
      <c r="G498" s="471">
        <v>2.0</v>
      </c>
      <c r="H498" s="471">
        <v>0.0</v>
      </c>
      <c r="I498" s="486">
        <v>1.0</v>
      </c>
      <c r="J498" s="486">
        <v>1.0</v>
      </c>
      <c r="K498" s="499" t="s">
        <v>188</v>
      </c>
      <c r="L498" s="499"/>
      <c r="M498" s="499">
        <v>2.0</v>
      </c>
      <c r="N498" s="499">
        <v>3.0</v>
      </c>
      <c r="O498" s="223" t="s">
        <v>1141</v>
      </c>
      <c r="P498" s="14"/>
      <c r="Q498" s="452" t="str">
        <f>MATCH($D498,Reference!$J$5:$J$9,0)</f>
        <v>2</v>
      </c>
      <c r="R498" s="452" t="str">
        <f>MATCH($E498,Reference!$J$26:$J$32,0)</f>
        <v>2</v>
      </c>
      <c r="S498" s="452" t="str">
        <f>MATCH($F498,Reference!$J$45:$J$54,0)</f>
        <v>10</v>
      </c>
      <c r="T498" s="453" t="str">
        <f>MATCH($K498,Reference!$J$37:$J$39,0)</f>
        <v>3</v>
      </c>
      <c r="U498" s="454" t="str">
        <f t="shared" si="735"/>
        <v>2</v>
      </c>
      <c r="V498" s="454" t="str">
        <f t="shared" si="3"/>
        <v>1</v>
      </c>
      <c r="W498" s="454" t="str">
        <f t="shared" si="782"/>
        <v>0</v>
      </c>
      <c r="X498" s="454" t="str">
        <f t="shared" si="736"/>
        <v>2</v>
      </c>
      <c r="Y498" s="456" t="str">
        <f t="shared" si="5"/>
        <v>FALSE</v>
      </c>
      <c r="Z498" s="456" t="str">
        <f t="shared" si="6"/>
        <v>FALSE</v>
      </c>
      <c r="AA498" s="457" t="str">
        <f t="shared" ref="AA498:AB498" si="830">1-I498</f>
        <v>0%</v>
      </c>
      <c r="AB498" s="457" t="str">
        <f t="shared" si="830"/>
        <v>0%</v>
      </c>
      <c r="AC498" s="456" t="str">
        <f t="shared" si="8"/>
        <v>2</v>
      </c>
      <c r="AD498" s="458" t="str">
        <f t="shared" si="738"/>
        <v>0</v>
      </c>
      <c r="AE498" s="458" t="str">
        <f t="shared" si="10"/>
        <v>1</v>
      </c>
      <c r="AF498" s="459" t="str">
        <f t="shared" si="784"/>
        <v>0</v>
      </c>
      <c r="AG498" s="460"/>
      <c r="AH498" s="14"/>
      <c r="AI498" s="14"/>
      <c r="AJ498" s="14"/>
      <c r="AK498" s="14"/>
      <c r="AL498" s="14"/>
      <c r="AM498" s="14"/>
      <c r="AN498" s="14"/>
      <c r="AO498" s="14"/>
      <c r="AP498" s="14"/>
      <c r="AQ498" s="14"/>
      <c r="AR498" s="14"/>
      <c r="AS498" s="14"/>
      <c r="AT498" s="14"/>
    </row>
    <row r="499">
      <c r="A499" s="466"/>
      <c r="B499" s="466">
        <v>3.0</v>
      </c>
      <c r="C499" s="475" t="s">
        <v>1142</v>
      </c>
      <c r="D499" s="476" t="s">
        <v>15</v>
      </c>
      <c r="E499" s="477" t="s">
        <v>36</v>
      </c>
      <c r="F499" s="477" t="s">
        <v>77</v>
      </c>
      <c r="G499" s="478">
        <v>2.0</v>
      </c>
      <c r="H499" s="478">
        <v>0.0</v>
      </c>
      <c r="I499" s="479">
        <v>1.0</v>
      </c>
      <c r="J499" s="479">
        <v>1.0</v>
      </c>
      <c r="K499" s="477" t="s">
        <v>188</v>
      </c>
      <c r="L499" s="477"/>
      <c r="M499" s="477">
        <v>5.0</v>
      </c>
      <c r="N499" s="477">
        <v>2.0</v>
      </c>
      <c r="O499" s="480"/>
      <c r="P499" s="14"/>
      <c r="Q499" s="452" t="str">
        <f>MATCH($D499,Reference!$J$5:$J$9,0)</f>
        <v>2</v>
      </c>
      <c r="R499" s="452" t="str">
        <f>MATCH($E499,Reference!$J$26:$J$32,0)</f>
        <v>7</v>
      </c>
      <c r="S499" s="452" t="str">
        <f>MATCH($F499,Reference!$J$45:$J$54,0)</f>
        <v>10</v>
      </c>
      <c r="T499" s="453" t="str">
        <f>MATCH($K499,Reference!$J$37:$J$39,0)</f>
        <v>3</v>
      </c>
      <c r="U499" s="454" t="str">
        <f t="shared" si="735"/>
        <v>2</v>
      </c>
      <c r="V499" s="454" t="str">
        <f t="shared" si="3"/>
        <v>1</v>
      </c>
      <c r="W499" s="454" t="str">
        <f t="shared" si="782"/>
        <v>0</v>
      </c>
      <c r="X499" s="454" t="str">
        <f t="shared" si="736"/>
        <v>2</v>
      </c>
      <c r="Y499" s="456" t="str">
        <f t="shared" si="5"/>
        <v>FALSE</v>
      </c>
      <c r="Z499" s="456" t="str">
        <f t="shared" si="6"/>
        <v>FALSE</v>
      </c>
      <c r="AA499" s="457" t="str">
        <f t="shared" ref="AA499:AB499" si="831">1-I499</f>
        <v>0%</v>
      </c>
      <c r="AB499" s="457" t="str">
        <f t="shared" si="831"/>
        <v>0%</v>
      </c>
      <c r="AC499" s="456" t="str">
        <f t="shared" si="8"/>
        <v>2</v>
      </c>
      <c r="AD499" s="458" t="str">
        <f t="shared" si="738"/>
        <v>0</v>
      </c>
      <c r="AE499" s="458" t="str">
        <f t="shared" si="10"/>
        <v>1</v>
      </c>
      <c r="AF499" s="459" t="str">
        <f t="shared" si="784"/>
        <v>0</v>
      </c>
      <c r="AG499" s="460"/>
      <c r="AH499" s="14"/>
      <c r="AI499" s="14"/>
      <c r="AJ499" s="14"/>
      <c r="AK499" s="14"/>
      <c r="AL499" s="14"/>
      <c r="AM499" s="14"/>
      <c r="AN499" s="14"/>
      <c r="AO499" s="14"/>
      <c r="AP499" s="14"/>
      <c r="AQ499" s="14"/>
      <c r="AR499" s="14"/>
      <c r="AS499" s="14"/>
      <c r="AT499" s="14"/>
    </row>
    <row r="500">
      <c r="A500" s="466"/>
      <c r="B500" s="442">
        <v>3.0</v>
      </c>
      <c r="C500" s="482" t="s">
        <v>1143</v>
      </c>
      <c r="D500" s="483" t="s">
        <v>15</v>
      </c>
      <c r="E500" s="483" t="s">
        <v>33</v>
      </c>
      <c r="F500" s="484" t="s">
        <v>77</v>
      </c>
      <c r="G500" s="471">
        <v>2.0</v>
      </c>
      <c r="H500" s="471">
        <v>0.0</v>
      </c>
      <c r="I500" s="486">
        <v>1.0</v>
      </c>
      <c r="J500" s="486">
        <v>1.0</v>
      </c>
      <c r="K500" s="499" t="s">
        <v>188</v>
      </c>
      <c r="L500" s="499" t="s">
        <v>238</v>
      </c>
      <c r="M500" s="499">
        <v>4.0</v>
      </c>
      <c r="N500" s="499">
        <v>2.0</v>
      </c>
      <c r="O500" s="223" t="s">
        <v>1076</v>
      </c>
      <c r="P500" s="14"/>
      <c r="Q500" s="452" t="str">
        <f>MATCH($D500,Reference!$J$5:$J$9,0)</f>
        <v>2</v>
      </c>
      <c r="R500" s="452" t="str">
        <f>MATCH($E500,Reference!$J$26:$J$32,0)</f>
        <v>2</v>
      </c>
      <c r="S500" s="452" t="str">
        <f>MATCH($F500,Reference!$J$45:$J$54,0)</f>
        <v>10</v>
      </c>
      <c r="T500" s="453" t="str">
        <f>MATCH($K500,Reference!$J$37:$J$39,0)</f>
        <v>3</v>
      </c>
      <c r="U500" s="454" t="str">
        <f t="shared" si="735"/>
        <v>2</v>
      </c>
      <c r="V500" s="454" t="str">
        <f t="shared" si="3"/>
        <v>1</v>
      </c>
      <c r="W500" s="454" t="str">
        <f t="shared" si="782"/>
        <v>0</v>
      </c>
      <c r="X500" s="454" t="str">
        <f t="shared" si="736"/>
        <v>2</v>
      </c>
      <c r="Y500" s="456" t="str">
        <f t="shared" si="5"/>
        <v>FALSE</v>
      </c>
      <c r="Z500" s="456" t="str">
        <f t="shared" si="6"/>
        <v>FALSE</v>
      </c>
      <c r="AA500" s="457" t="str">
        <f t="shared" ref="AA500:AB500" si="832">1-I500</f>
        <v>0%</v>
      </c>
      <c r="AB500" s="457" t="str">
        <f t="shared" si="832"/>
        <v>0%</v>
      </c>
      <c r="AC500" s="456" t="str">
        <f t="shared" si="8"/>
        <v>2</v>
      </c>
      <c r="AD500" s="458" t="str">
        <f t="shared" si="738"/>
        <v>0</v>
      </c>
      <c r="AE500" s="458" t="str">
        <f t="shared" si="10"/>
        <v>1</v>
      </c>
      <c r="AF500" s="459" t="str">
        <f t="shared" si="784"/>
        <v>0</v>
      </c>
      <c r="AG500" s="460"/>
      <c r="AH500" s="14"/>
      <c r="AI500" s="14"/>
      <c r="AJ500" s="14"/>
      <c r="AK500" s="14"/>
      <c r="AL500" s="14"/>
      <c r="AM500" s="14"/>
      <c r="AN500" s="14"/>
      <c r="AO500" s="14"/>
      <c r="AP500" s="14"/>
      <c r="AQ500" s="14"/>
      <c r="AR500" s="14"/>
      <c r="AS500" s="14"/>
      <c r="AT500" s="14"/>
    </row>
    <row r="501">
      <c r="A501" s="442"/>
      <c r="B501" s="463">
        <v>3.0</v>
      </c>
      <c r="C501" s="538" t="s">
        <v>1144</v>
      </c>
      <c r="D501" s="539" t="s">
        <v>15</v>
      </c>
      <c r="E501" s="539" t="s">
        <v>35</v>
      </c>
      <c r="F501" s="540" t="s">
        <v>77</v>
      </c>
      <c r="G501" s="541">
        <v>2.0</v>
      </c>
      <c r="H501" s="541">
        <v>0.0</v>
      </c>
      <c r="I501" s="494">
        <v>1.0</v>
      </c>
      <c r="J501" s="494">
        <v>1.0</v>
      </c>
      <c r="K501" s="542" t="s">
        <v>188</v>
      </c>
      <c r="L501" s="542"/>
      <c r="M501" s="542">
        <v>4.0</v>
      </c>
      <c r="N501" s="542">
        <v>4.0</v>
      </c>
      <c r="O501" s="543" t="s">
        <v>942</v>
      </c>
      <c r="P501" s="14"/>
      <c r="Q501" s="452" t="str">
        <f>MATCH($D501,Reference!$J$5:$J$9,0)</f>
        <v>2</v>
      </c>
      <c r="R501" s="452" t="str">
        <f>MATCH($E501,Reference!$J$26:$J$32,0)</f>
        <v>5</v>
      </c>
      <c r="S501" s="452" t="str">
        <f>MATCH($F501,Reference!$J$45:$J$54,0)</f>
        <v>10</v>
      </c>
      <c r="T501" s="453" t="str">
        <f>MATCH($K501,Reference!$J$37:$J$39,0)</f>
        <v>3</v>
      </c>
      <c r="U501" s="454" t="str">
        <f t="shared" si="735"/>
        <v>2</v>
      </c>
      <c r="V501" s="454" t="str">
        <f t="shared" si="3"/>
        <v>1</v>
      </c>
      <c r="W501" s="454" t="str">
        <f t="shared" si="782"/>
        <v>0</v>
      </c>
      <c r="X501" s="454" t="str">
        <f t="shared" si="736"/>
        <v>2</v>
      </c>
      <c r="Y501" s="456" t="str">
        <f t="shared" si="5"/>
        <v>FALSE</v>
      </c>
      <c r="Z501" s="456" t="str">
        <f t="shared" si="6"/>
        <v>FALSE</v>
      </c>
      <c r="AA501" s="457" t="str">
        <f t="shared" ref="AA501:AB501" si="833">1-I501</f>
        <v>0%</v>
      </c>
      <c r="AB501" s="457" t="str">
        <f t="shared" si="833"/>
        <v>0%</v>
      </c>
      <c r="AC501" s="456" t="str">
        <f t="shared" si="8"/>
        <v>2</v>
      </c>
      <c r="AD501" s="458" t="str">
        <f t="shared" si="738"/>
        <v>0</v>
      </c>
      <c r="AE501" s="458" t="str">
        <f t="shared" si="10"/>
        <v>1</v>
      </c>
      <c r="AF501" s="459" t="str">
        <f t="shared" si="784"/>
        <v>0</v>
      </c>
      <c r="AG501" s="460"/>
      <c r="AH501" s="14"/>
      <c r="AI501" s="14"/>
      <c r="AJ501" s="14"/>
      <c r="AK501" s="14"/>
      <c r="AL501" s="14"/>
      <c r="AM501" s="14"/>
      <c r="AN501" s="14"/>
      <c r="AO501" s="14"/>
      <c r="AP501" s="14"/>
      <c r="AQ501" s="14"/>
      <c r="AR501" s="14"/>
      <c r="AS501" s="14"/>
      <c r="AT501" s="14"/>
    </row>
    <row r="502">
      <c r="A502" s="472"/>
      <c r="B502" s="442">
        <v>3.0</v>
      </c>
      <c r="C502" s="482" t="s">
        <v>1145</v>
      </c>
      <c r="D502" s="483" t="s">
        <v>15</v>
      </c>
      <c r="E502" s="483" t="s">
        <v>33</v>
      </c>
      <c r="F502" s="484" t="s">
        <v>77</v>
      </c>
      <c r="G502" s="471">
        <v>2.0</v>
      </c>
      <c r="H502" s="485">
        <v>0.0</v>
      </c>
      <c r="I502" s="486">
        <v>1.0</v>
      </c>
      <c r="J502" s="486">
        <v>1.0</v>
      </c>
      <c r="K502" s="499" t="s">
        <v>188</v>
      </c>
      <c r="L502" s="499"/>
      <c r="M502" s="499">
        <v>3.0</v>
      </c>
      <c r="N502" s="499">
        <v>3.0</v>
      </c>
      <c r="O502" s="223" t="s">
        <v>1146</v>
      </c>
      <c r="P502" s="14"/>
      <c r="Q502" s="452" t="str">
        <f>MATCH($D502,Reference!$J$5:$J$9,0)</f>
        <v>2</v>
      </c>
      <c r="R502" s="452" t="str">
        <f>MATCH($E502,Reference!$J$26:$J$32,0)</f>
        <v>2</v>
      </c>
      <c r="S502" s="452" t="str">
        <f>MATCH($F502,Reference!$J$45:$J$54,0)</f>
        <v>10</v>
      </c>
      <c r="T502" s="453" t="str">
        <f>MATCH($K502,Reference!$J$37:$J$39,0)</f>
        <v>3</v>
      </c>
      <c r="U502" s="454" t="str">
        <f t="shared" si="735"/>
        <v>2</v>
      </c>
      <c r="V502" s="454" t="str">
        <f t="shared" si="3"/>
        <v>1</v>
      </c>
      <c r="W502" s="454" t="str">
        <f t="shared" si="782"/>
        <v>0</v>
      </c>
      <c r="X502" s="454" t="str">
        <f t="shared" si="736"/>
        <v>2</v>
      </c>
      <c r="Y502" s="456" t="str">
        <f t="shared" si="5"/>
        <v>FALSE</v>
      </c>
      <c r="Z502" s="456" t="str">
        <f t="shared" si="6"/>
        <v>FALSE</v>
      </c>
      <c r="AA502" s="457" t="str">
        <f t="shared" ref="AA502:AB502" si="834">1-I502</f>
        <v>0%</v>
      </c>
      <c r="AB502" s="457" t="str">
        <f t="shared" si="834"/>
        <v>0%</v>
      </c>
      <c r="AC502" s="456" t="str">
        <f t="shared" si="8"/>
        <v>2</v>
      </c>
      <c r="AD502" s="458" t="str">
        <f t="shared" si="738"/>
        <v>0</v>
      </c>
      <c r="AE502" s="458" t="str">
        <f t="shared" si="10"/>
        <v>1</v>
      </c>
      <c r="AF502" s="459" t="str">
        <f t="shared" si="784"/>
        <v>0</v>
      </c>
      <c r="AG502" s="460"/>
      <c r="AH502" s="14"/>
      <c r="AI502" s="14"/>
      <c r="AJ502" s="14"/>
      <c r="AK502" s="14"/>
      <c r="AL502" s="14"/>
      <c r="AM502" s="14"/>
      <c r="AN502" s="14"/>
      <c r="AO502" s="14"/>
      <c r="AP502" s="14"/>
      <c r="AQ502" s="14"/>
      <c r="AR502" s="14"/>
      <c r="AS502" s="14"/>
      <c r="AT502" s="14"/>
    </row>
    <row r="503">
      <c r="A503" s="509"/>
      <c r="B503" s="442">
        <v>3.0</v>
      </c>
      <c r="C503" s="482" t="s">
        <v>1147</v>
      </c>
      <c r="D503" s="483" t="s">
        <v>15</v>
      </c>
      <c r="E503" s="483" t="s">
        <v>33</v>
      </c>
      <c r="F503" s="484" t="s">
        <v>77</v>
      </c>
      <c r="G503" s="471">
        <v>2.0</v>
      </c>
      <c r="H503" s="471">
        <v>0.0</v>
      </c>
      <c r="I503" s="486">
        <v>1.0</v>
      </c>
      <c r="J503" s="486">
        <v>1.0</v>
      </c>
      <c r="K503" s="499" t="s">
        <v>188</v>
      </c>
      <c r="L503" s="499"/>
      <c r="M503" s="499">
        <v>3.0</v>
      </c>
      <c r="N503" s="499">
        <v>1.0</v>
      </c>
      <c r="O503" s="223" t="s">
        <v>492</v>
      </c>
      <c r="P503" s="14"/>
      <c r="Q503" s="452" t="str">
        <f>MATCH($D503,Reference!$J$5:$J$9,0)</f>
        <v>2</v>
      </c>
      <c r="R503" s="452" t="str">
        <f>MATCH($E503,Reference!$J$26:$J$32,0)</f>
        <v>2</v>
      </c>
      <c r="S503" s="452" t="str">
        <f>MATCH($F503,Reference!$J$45:$J$54,0)</f>
        <v>10</v>
      </c>
      <c r="T503" s="453" t="str">
        <f>MATCH($K503,Reference!$J$37:$J$39,0)</f>
        <v>3</v>
      </c>
      <c r="U503" s="454" t="str">
        <f t="shared" si="735"/>
        <v>2</v>
      </c>
      <c r="V503" s="454" t="str">
        <f t="shared" si="3"/>
        <v>1</v>
      </c>
      <c r="W503" s="454" t="str">
        <f t="shared" si="782"/>
        <v>0</v>
      </c>
      <c r="X503" s="454" t="str">
        <f t="shared" si="736"/>
        <v>2</v>
      </c>
      <c r="Y503" s="456" t="str">
        <f t="shared" si="5"/>
        <v>FALSE</v>
      </c>
      <c r="Z503" s="456" t="str">
        <f t="shared" si="6"/>
        <v>FALSE</v>
      </c>
      <c r="AA503" s="457" t="str">
        <f t="shared" ref="AA503:AB503" si="835">1-I503</f>
        <v>0%</v>
      </c>
      <c r="AB503" s="457" t="str">
        <f t="shared" si="835"/>
        <v>0%</v>
      </c>
      <c r="AC503" s="456" t="str">
        <f t="shared" si="8"/>
        <v>2</v>
      </c>
      <c r="AD503" s="458" t="str">
        <f t="shared" si="738"/>
        <v>0</v>
      </c>
      <c r="AE503" s="458" t="str">
        <f t="shared" si="10"/>
        <v>1</v>
      </c>
      <c r="AF503" s="459" t="str">
        <f t="shared" si="784"/>
        <v>0</v>
      </c>
      <c r="AG503" s="460"/>
      <c r="AH503" s="14"/>
      <c r="AI503" s="14"/>
      <c r="AJ503" s="14"/>
      <c r="AK503" s="14"/>
      <c r="AL503" s="14"/>
      <c r="AM503" s="14"/>
      <c r="AN503" s="14"/>
      <c r="AO503" s="14"/>
      <c r="AP503" s="14"/>
      <c r="AQ503" s="14"/>
      <c r="AR503" s="14"/>
      <c r="AS503" s="14"/>
      <c r="AT503" s="14"/>
    </row>
    <row r="504">
      <c r="A504" s="442"/>
      <c r="B504" s="466">
        <v>3.0</v>
      </c>
      <c r="C504" s="475" t="s">
        <v>1148</v>
      </c>
      <c r="D504" s="476" t="s">
        <v>15</v>
      </c>
      <c r="E504" s="477" t="s">
        <v>36</v>
      </c>
      <c r="F504" s="477" t="s">
        <v>77</v>
      </c>
      <c r="G504" s="478">
        <v>2.0</v>
      </c>
      <c r="H504" s="478">
        <v>0.0</v>
      </c>
      <c r="I504" s="479">
        <v>1.0</v>
      </c>
      <c r="J504" s="479">
        <v>1.0</v>
      </c>
      <c r="K504" s="477" t="s">
        <v>188</v>
      </c>
      <c r="L504" s="477"/>
      <c r="M504" s="477">
        <v>2.0</v>
      </c>
      <c r="N504" s="477">
        <v>2.0</v>
      </c>
      <c r="O504" s="480" t="s">
        <v>1149</v>
      </c>
      <c r="P504" s="14"/>
      <c r="Q504" s="452" t="str">
        <f>MATCH($D504,Reference!$J$5:$J$9,0)</f>
        <v>2</v>
      </c>
      <c r="R504" s="452" t="str">
        <f>MATCH($E504,Reference!$J$26:$J$32,0)</f>
        <v>7</v>
      </c>
      <c r="S504" s="452" t="str">
        <f>MATCH($F504,Reference!$J$45:$J$54,0)</f>
        <v>10</v>
      </c>
      <c r="T504" s="453" t="str">
        <f>MATCH($K504,Reference!$J$37:$J$39,0)</f>
        <v>3</v>
      </c>
      <c r="U504" s="454" t="str">
        <f t="shared" si="735"/>
        <v>2</v>
      </c>
      <c r="V504" s="454" t="str">
        <f t="shared" si="3"/>
        <v>1</v>
      </c>
      <c r="W504" s="454" t="str">
        <f t="shared" si="782"/>
        <v>0</v>
      </c>
      <c r="X504" s="454" t="str">
        <f t="shared" si="736"/>
        <v>2</v>
      </c>
      <c r="Y504" s="456" t="str">
        <f t="shared" si="5"/>
        <v>FALSE</v>
      </c>
      <c r="Z504" s="456" t="str">
        <f t="shared" si="6"/>
        <v>FALSE</v>
      </c>
      <c r="AA504" s="457" t="str">
        <f t="shared" ref="AA504:AB504" si="836">1-I504</f>
        <v>0%</v>
      </c>
      <c r="AB504" s="457" t="str">
        <f t="shared" si="836"/>
        <v>0%</v>
      </c>
      <c r="AC504" s="456" t="str">
        <f t="shared" si="8"/>
        <v>2</v>
      </c>
      <c r="AD504" s="458" t="str">
        <f t="shared" si="738"/>
        <v>0</v>
      </c>
      <c r="AE504" s="458" t="str">
        <f t="shared" si="10"/>
        <v>1</v>
      </c>
      <c r="AF504" s="459" t="str">
        <f t="shared" si="784"/>
        <v>0</v>
      </c>
      <c r="AG504" s="460"/>
      <c r="AH504" s="14"/>
      <c r="AI504" s="14"/>
      <c r="AJ504" s="14"/>
      <c r="AK504" s="14"/>
      <c r="AL504" s="14"/>
      <c r="AM504" s="14"/>
      <c r="AN504" s="14"/>
      <c r="AO504" s="14"/>
      <c r="AP504" s="14"/>
      <c r="AQ504" s="14"/>
      <c r="AR504" s="14"/>
      <c r="AS504" s="14"/>
      <c r="AT504" s="14"/>
    </row>
    <row r="505">
      <c r="A505" s="442"/>
      <c r="B505" s="466">
        <v>3.0</v>
      </c>
      <c r="C505" s="475" t="s">
        <v>1150</v>
      </c>
      <c r="D505" s="476" t="s">
        <v>15</v>
      </c>
      <c r="E505" s="477" t="s">
        <v>36</v>
      </c>
      <c r="F505" s="477" t="s">
        <v>77</v>
      </c>
      <c r="G505" s="478">
        <v>2.0</v>
      </c>
      <c r="H505" s="478">
        <v>0.0</v>
      </c>
      <c r="I505" s="479">
        <v>1.0</v>
      </c>
      <c r="J505" s="479">
        <v>1.0</v>
      </c>
      <c r="K505" s="477" t="s">
        <v>188</v>
      </c>
      <c r="L505" s="477"/>
      <c r="M505" s="477">
        <v>3.0</v>
      </c>
      <c r="N505" s="477">
        <v>3.0</v>
      </c>
      <c r="O505" s="480" t="s">
        <v>1151</v>
      </c>
      <c r="P505" s="14"/>
      <c r="Q505" s="452" t="str">
        <f>MATCH($D505,Reference!$J$5:$J$9,0)</f>
        <v>2</v>
      </c>
      <c r="R505" s="452" t="str">
        <f>MATCH($E505,Reference!$J$26:$J$32,0)</f>
        <v>7</v>
      </c>
      <c r="S505" s="452" t="str">
        <f>MATCH($F505,Reference!$J$45:$J$54,0)</f>
        <v>10</v>
      </c>
      <c r="T505" s="453" t="str">
        <f>MATCH($K505,Reference!$J$37:$J$39,0)</f>
        <v>3</v>
      </c>
      <c r="U505" s="454" t="str">
        <f t="shared" si="735"/>
        <v>2</v>
      </c>
      <c r="V505" s="454" t="str">
        <f t="shared" si="3"/>
        <v>1</v>
      </c>
      <c r="W505" s="454" t="str">
        <f t="shared" si="782"/>
        <v>0</v>
      </c>
      <c r="X505" s="454" t="str">
        <f t="shared" si="736"/>
        <v>2</v>
      </c>
      <c r="Y505" s="456" t="str">
        <f t="shared" si="5"/>
        <v>FALSE</v>
      </c>
      <c r="Z505" s="456" t="str">
        <f t="shared" si="6"/>
        <v>FALSE</v>
      </c>
      <c r="AA505" s="457" t="str">
        <f t="shared" ref="AA505:AB505" si="837">1-I505</f>
        <v>0%</v>
      </c>
      <c r="AB505" s="457" t="str">
        <f t="shared" si="837"/>
        <v>0%</v>
      </c>
      <c r="AC505" s="456" t="str">
        <f t="shared" si="8"/>
        <v>2</v>
      </c>
      <c r="AD505" s="458" t="str">
        <f t="shared" si="738"/>
        <v>0</v>
      </c>
      <c r="AE505" s="458" t="str">
        <f t="shared" si="10"/>
        <v>1</v>
      </c>
      <c r="AF505" s="459" t="str">
        <f t="shared" si="784"/>
        <v>0</v>
      </c>
      <c r="AG505" s="460"/>
      <c r="AH505" s="14"/>
      <c r="AI505" s="14"/>
      <c r="AJ505" s="14"/>
      <c r="AK505" s="14"/>
      <c r="AL505" s="14"/>
      <c r="AM505" s="14"/>
      <c r="AN505" s="14"/>
      <c r="AO505" s="14"/>
      <c r="AP505" s="14"/>
      <c r="AQ505" s="14"/>
      <c r="AR505" s="14"/>
      <c r="AS505" s="14"/>
      <c r="AT505" s="14"/>
    </row>
    <row r="506">
      <c r="A506" s="466"/>
      <c r="B506" s="463">
        <v>3.0</v>
      </c>
      <c r="C506" s="538" t="s">
        <v>1152</v>
      </c>
      <c r="D506" s="539" t="s">
        <v>15</v>
      </c>
      <c r="E506" s="539" t="s">
        <v>35</v>
      </c>
      <c r="F506" s="540" t="s">
        <v>77</v>
      </c>
      <c r="G506" s="541">
        <v>2.0</v>
      </c>
      <c r="H506" s="541">
        <v>0.0</v>
      </c>
      <c r="I506" s="494">
        <v>1.0</v>
      </c>
      <c r="J506" s="494">
        <v>1.0</v>
      </c>
      <c r="K506" s="542" t="s">
        <v>188</v>
      </c>
      <c r="L506" s="542" t="s">
        <v>198</v>
      </c>
      <c r="M506" s="542">
        <v>3.0</v>
      </c>
      <c r="N506" s="542">
        <v>4.0</v>
      </c>
      <c r="O506" s="543"/>
      <c r="P506" s="14"/>
      <c r="Q506" s="452" t="str">
        <f>MATCH($D506,Reference!$J$5:$J$9,0)</f>
        <v>2</v>
      </c>
      <c r="R506" s="452" t="str">
        <f>MATCH($E506,Reference!$J$26:$J$32,0)</f>
        <v>5</v>
      </c>
      <c r="S506" s="452" t="str">
        <f>MATCH($F506,Reference!$J$45:$J$54,0)</f>
        <v>10</v>
      </c>
      <c r="T506" s="453" t="str">
        <f>MATCH($K506,Reference!$J$37:$J$39,0)</f>
        <v>3</v>
      </c>
      <c r="U506" s="454" t="str">
        <f t="shared" si="735"/>
        <v>2</v>
      </c>
      <c r="V506" s="454" t="str">
        <f t="shared" si="3"/>
        <v>1</v>
      </c>
      <c r="W506" s="454" t="str">
        <f t="shared" si="782"/>
        <v>0</v>
      </c>
      <c r="X506" s="454" t="str">
        <f t="shared" si="736"/>
        <v>2</v>
      </c>
      <c r="Y506" s="456" t="str">
        <f t="shared" si="5"/>
        <v>FALSE</v>
      </c>
      <c r="Z506" s="456" t="str">
        <f t="shared" si="6"/>
        <v>FALSE</v>
      </c>
      <c r="AA506" s="457" t="str">
        <f t="shared" ref="AA506:AB506" si="838">1-I506</f>
        <v>0%</v>
      </c>
      <c r="AB506" s="457" t="str">
        <f t="shared" si="838"/>
        <v>0%</v>
      </c>
      <c r="AC506" s="456" t="str">
        <f t="shared" si="8"/>
        <v>2</v>
      </c>
      <c r="AD506" s="458" t="str">
        <f t="shared" si="738"/>
        <v>0</v>
      </c>
      <c r="AE506" s="458" t="str">
        <f t="shared" si="10"/>
        <v>1</v>
      </c>
      <c r="AF506" s="459" t="str">
        <f t="shared" si="784"/>
        <v>0</v>
      </c>
      <c r="AG506" s="460"/>
      <c r="AH506" s="14"/>
      <c r="AI506" s="14"/>
      <c r="AJ506" s="14"/>
      <c r="AK506" s="14"/>
      <c r="AL506" s="14"/>
      <c r="AM506" s="14"/>
      <c r="AN506" s="14"/>
      <c r="AO506" s="14"/>
      <c r="AP506" s="14"/>
      <c r="AQ506" s="14"/>
      <c r="AR506" s="14"/>
      <c r="AS506" s="14"/>
      <c r="AT506" s="14"/>
    </row>
    <row r="507">
      <c r="A507" s="442"/>
      <c r="B507" s="682">
        <v>3.0</v>
      </c>
      <c r="C507" s="683" t="s">
        <v>1153</v>
      </c>
      <c r="D507" s="684" t="s">
        <v>15</v>
      </c>
      <c r="E507" s="684" t="s">
        <v>41</v>
      </c>
      <c r="F507" s="685" t="s">
        <v>77</v>
      </c>
      <c r="G507" s="686" t="str">
        <f>IF(Summary!$Y$25&gt;=VLOOKUP(C507,Reference!$N$41:$O$70,2,0),2,0)</f>
        <v>2</v>
      </c>
      <c r="H507" s="686">
        <v>0.0</v>
      </c>
      <c r="I507" s="518">
        <v>1.0</v>
      </c>
      <c r="J507" s="518"/>
      <c r="K507" s="687" t="s">
        <v>188</v>
      </c>
      <c r="L507" s="687"/>
      <c r="M507" s="687">
        <v>1.0</v>
      </c>
      <c r="N507" s="687">
        <v>4.0</v>
      </c>
      <c r="O507" s="688" t="s">
        <v>1154</v>
      </c>
      <c r="P507" s="14"/>
      <c r="Q507" s="452" t="str">
        <f>MATCH($D507,Reference!$J$5:$J$9,0)</f>
        <v>2</v>
      </c>
      <c r="R507" s="452" t="str">
        <f>MATCH($E507,Reference!$J$26:$J$32,0)</f>
        <v>4</v>
      </c>
      <c r="S507" s="452" t="str">
        <f>MATCH($F507,Reference!$J$45:$J$54,0)</f>
        <v>10</v>
      </c>
      <c r="T507" s="453" t="str">
        <f>MATCH($K507,Reference!$J$37:$J$39,0)</f>
        <v>3</v>
      </c>
      <c r="U507" s="454" t="str">
        <f t="shared" si="735"/>
        <v>2</v>
      </c>
      <c r="V507" s="454" t="str">
        <f t="shared" si="3"/>
        <v>1</v>
      </c>
      <c r="W507" s="454" t="str">
        <f t="shared" si="782"/>
        <v>0</v>
      </c>
      <c r="X507" s="454" t="str">
        <f t="shared" si="736"/>
        <v>2</v>
      </c>
      <c r="Y507" s="456" t="str">
        <f t="shared" si="5"/>
        <v>FALSE</v>
      </c>
      <c r="Z507" s="456" t="str">
        <f t="shared" si="6"/>
        <v>FALSE</v>
      </c>
      <c r="AA507" s="457" t="str">
        <f t="shared" ref="AA507:AB507" si="839">1-I507</f>
        <v>0%</v>
      </c>
      <c r="AB507" s="457" t="str">
        <f t="shared" si="839"/>
        <v>100%</v>
      </c>
      <c r="AC507" s="456" t="str">
        <f t="shared" si="8"/>
        <v>2</v>
      </c>
      <c r="AD507" s="458" t="str">
        <f t="shared" si="738"/>
        <v>0</v>
      </c>
      <c r="AE507" s="458" t="str">
        <f t="shared" si="10"/>
        <v>1</v>
      </c>
      <c r="AF507" s="459" t="str">
        <f t="shared" si="784"/>
        <v>0</v>
      </c>
      <c r="AG507" s="460"/>
      <c r="AH507" s="14"/>
      <c r="AI507" s="14"/>
      <c r="AJ507" s="14"/>
      <c r="AK507" s="14"/>
      <c r="AL507" s="14"/>
      <c r="AM507" s="14"/>
      <c r="AN507" s="14"/>
      <c r="AO507" s="14"/>
      <c r="AP507" s="14"/>
      <c r="AQ507" s="14"/>
      <c r="AR507" s="14"/>
      <c r="AS507" s="14"/>
      <c r="AT507" s="14"/>
    </row>
    <row r="508">
      <c r="A508" s="466"/>
      <c r="B508" s="442">
        <v>3.0</v>
      </c>
      <c r="C508" s="482" t="s">
        <v>1155</v>
      </c>
      <c r="D508" s="483" t="s">
        <v>15</v>
      </c>
      <c r="E508" s="483" t="s">
        <v>33</v>
      </c>
      <c r="F508" s="484" t="s">
        <v>77</v>
      </c>
      <c r="G508" s="471">
        <v>2.0</v>
      </c>
      <c r="H508" s="471">
        <v>0.0</v>
      </c>
      <c r="I508" s="486">
        <v>1.0</v>
      </c>
      <c r="J508" s="486">
        <v>1.0</v>
      </c>
      <c r="K508" s="499" t="s">
        <v>188</v>
      </c>
      <c r="L508" s="499"/>
      <c r="M508" s="499">
        <v>2.0</v>
      </c>
      <c r="N508" s="499">
        <v>3.0</v>
      </c>
      <c r="O508" s="223" t="s">
        <v>1156</v>
      </c>
      <c r="P508" s="14"/>
      <c r="Q508" s="452" t="str">
        <f>MATCH($D508,Reference!$J$5:$J$9,0)</f>
        <v>2</v>
      </c>
      <c r="R508" s="452" t="str">
        <f>MATCH($E508,Reference!$J$26:$J$32,0)</f>
        <v>2</v>
      </c>
      <c r="S508" s="452" t="str">
        <f>MATCH($F508,Reference!$J$45:$J$54,0)</f>
        <v>10</v>
      </c>
      <c r="T508" s="453" t="str">
        <f>MATCH($K508,Reference!$J$37:$J$39,0)</f>
        <v>3</v>
      </c>
      <c r="U508" s="454" t="str">
        <f t="shared" si="735"/>
        <v>2</v>
      </c>
      <c r="V508" s="454" t="str">
        <f t="shared" si="3"/>
        <v>1</v>
      </c>
      <c r="W508" s="454" t="str">
        <f t="shared" si="782"/>
        <v>0</v>
      </c>
      <c r="X508" s="454" t="str">
        <f t="shared" si="736"/>
        <v>2</v>
      </c>
      <c r="Y508" s="456" t="str">
        <f t="shared" si="5"/>
        <v>FALSE</v>
      </c>
      <c r="Z508" s="456" t="str">
        <f t="shared" si="6"/>
        <v>FALSE</v>
      </c>
      <c r="AA508" s="457" t="str">
        <f t="shared" ref="AA508:AB508" si="840">1-I508</f>
        <v>0%</v>
      </c>
      <c r="AB508" s="457" t="str">
        <f t="shared" si="840"/>
        <v>0%</v>
      </c>
      <c r="AC508" s="456" t="str">
        <f t="shared" si="8"/>
        <v>2</v>
      </c>
      <c r="AD508" s="458" t="str">
        <f t="shared" si="738"/>
        <v>0</v>
      </c>
      <c r="AE508" s="458" t="str">
        <f t="shared" si="10"/>
        <v>1</v>
      </c>
      <c r="AF508" s="459" t="str">
        <f t="shared" si="784"/>
        <v>0</v>
      </c>
      <c r="AG508" s="460"/>
      <c r="AH508" s="14"/>
      <c r="AI508" s="14"/>
      <c r="AJ508" s="14"/>
      <c r="AK508" s="14"/>
      <c r="AL508" s="14"/>
      <c r="AM508" s="14"/>
      <c r="AN508" s="14"/>
      <c r="AO508" s="14"/>
      <c r="AP508" s="14"/>
      <c r="AQ508" s="14"/>
      <c r="AR508" s="14"/>
      <c r="AS508" s="14"/>
      <c r="AT508" s="14"/>
    </row>
    <row r="509">
      <c r="A509" s="509"/>
      <c r="B509" s="442">
        <v>3.0</v>
      </c>
      <c r="C509" s="482" t="s">
        <v>1157</v>
      </c>
      <c r="D509" s="483" t="s">
        <v>15</v>
      </c>
      <c r="E509" s="483" t="s">
        <v>33</v>
      </c>
      <c r="F509" s="484" t="s">
        <v>77</v>
      </c>
      <c r="G509" s="471">
        <v>2.0</v>
      </c>
      <c r="H509" s="471">
        <v>0.0</v>
      </c>
      <c r="I509" s="486">
        <v>1.0</v>
      </c>
      <c r="J509" s="486">
        <v>1.0</v>
      </c>
      <c r="K509" s="499" t="s">
        <v>188</v>
      </c>
      <c r="L509" s="499"/>
      <c r="M509" s="499">
        <v>2.0</v>
      </c>
      <c r="N509" s="499">
        <v>3.0</v>
      </c>
      <c r="O509" s="223" t="s">
        <v>768</v>
      </c>
      <c r="P509" s="14"/>
      <c r="Q509" s="452" t="str">
        <f>MATCH($D509,Reference!$J$5:$J$9,0)</f>
        <v>2</v>
      </c>
      <c r="R509" s="452" t="str">
        <f>MATCH($E509,Reference!$J$26:$J$32,0)</f>
        <v>2</v>
      </c>
      <c r="S509" s="452" t="str">
        <f>MATCH($F509,Reference!$J$45:$J$54,0)</f>
        <v>10</v>
      </c>
      <c r="T509" s="453" t="str">
        <f>MATCH($K509,Reference!$J$37:$J$39,0)</f>
        <v>3</v>
      </c>
      <c r="U509" s="454" t="str">
        <f t="shared" si="735"/>
        <v>2</v>
      </c>
      <c r="V509" s="454" t="str">
        <f t="shared" si="3"/>
        <v>1</v>
      </c>
      <c r="W509" s="454" t="str">
        <f t="shared" si="782"/>
        <v>0</v>
      </c>
      <c r="X509" s="454" t="str">
        <f t="shared" si="736"/>
        <v>2</v>
      </c>
      <c r="Y509" s="456" t="str">
        <f t="shared" si="5"/>
        <v>FALSE</v>
      </c>
      <c r="Z509" s="456" t="str">
        <f t="shared" si="6"/>
        <v>FALSE</v>
      </c>
      <c r="AA509" s="457" t="str">
        <f t="shared" ref="AA509:AB509" si="841">1-I509</f>
        <v>0%</v>
      </c>
      <c r="AB509" s="457" t="str">
        <f t="shared" si="841"/>
        <v>0%</v>
      </c>
      <c r="AC509" s="456" t="str">
        <f t="shared" si="8"/>
        <v>2</v>
      </c>
      <c r="AD509" s="458" t="str">
        <f t="shared" si="738"/>
        <v>0</v>
      </c>
      <c r="AE509" s="458" t="str">
        <f t="shared" si="10"/>
        <v>1</v>
      </c>
      <c r="AF509" s="459" t="str">
        <f t="shared" si="784"/>
        <v>0</v>
      </c>
      <c r="AG509" s="460"/>
      <c r="AH509" s="14"/>
      <c r="AI509" s="14"/>
      <c r="AJ509" s="14"/>
      <c r="AK509" s="14"/>
      <c r="AL509" s="14"/>
      <c r="AM509" s="14"/>
      <c r="AN509" s="14"/>
      <c r="AO509" s="14"/>
      <c r="AP509" s="14"/>
      <c r="AQ509" s="14"/>
      <c r="AR509" s="14"/>
      <c r="AS509" s="14"/>
      <c r="AT509" s="14"/>
    </row>
    <row r="510">
      <c r="A510" s="442"/>
      <c r="B510" s="463">
        <v>3.0</v>
      </c>
      <c r="C510" s="538" t="s">
        <v>1158</v>
      </c>
      <c r="D510" s="539" t="s">
        <v>15</v>
      </c>
      <c r="E510" s="539" t="s">
        <v>35</v>
      </c>
      <c r="F510" s="540" t="s">
        <v>77</v>
      </c>
      <c r="G510" s="541">
        <v>2.0</v>
      </c>
      <c r="H510" s="493">
        <v>0.0</v>
      </c>
      <c r="I510" s="494">
        <v>1.0</v>
      </c>
      <c r="J510" s="494">
        <v>1.0</v>
      </c>
      <c r="K510" s="542" t="s">
        <v>188</v>
      </c>
      <c r="L510" s="542"/>
      <c r="M510" s="542">
        <v>3.0</v>
      </c>
      <c r="N510" s="542">
        <v>3.0</v>
      </c>
      <c r="O510" s="543" t="s">
        <v>1159</v>
      </c>
      <c r="P510" s="14"/>
      <c r="Q510" s="452" t="str">
        <f>MATCH($D510,Reference!$J$5:$J$9,0)</f>
        <v>2</v>
      </c>
      <c r="R510" s="452" t="str">
        <f>MATCH($E510,Reference!$J$26:$J$32,0)</f>
        <v>5</v>
      </c>
      <c r="S510" s="452" t="str">
        <f>MATCH($F510,Reference!$J$45:$J$54,0)</f>
        <v>10</v>
      </c>
      <c r="T510" s="453" t="str">
        <f>MATCH($K510,Reference!$J$37:$J$39,0)</f>
        <v>3</v>
      </c>
      <c r="U510" s="454" t="str">
        <f t="shared" si="735"/>
        <v>2</v>
      </c>
      <c r="V510" s="454" t="str">
        <f t="shared" si="3"/>
        <v>1</v>
      </c>
      <c r="W510" s="454" t="str">
        <f t="shared" si="782"/>
        <v>0</v>
      </c>
      <c r="X510" s="454" t="str">
        <f t="shared" si="736"/>
        <v>2</v>
      </c>
      <c r="Y510" s="456" t="str">
        <f t="shared" si="5"/>
        <v>FALSE</v>
      </c>
      <c r="Z510" s="456" t="str">
        <f t="shared" si="6"/>
        <v>FALSE</v>
      </c>
      <c r="AA510" s="457" t="str">
        <f t="shared" ref="AA510:AB510" si="842">1-I510</f>
        <v>0%</v>
      </c>
      <c r="AB510" s="457" t="str">
        <f t="shared" si="842"/>
        <v>0%</v>
      </c>
      <c r="AC510" s="456" t="str">
        <f t="shared" si="8"/>
        <v>2</v>
      </c>
      <c r="AD510" s="458" t="str">
        <f t="shared" si="738"/>
        <v>0</v>
      </c>
      <c r="AE510" s="458" t="str">
        <f t="shared" si="10"/>
        <v>1</v>
      </c>
      <c r="AF510" s="459" t="str">
        <f t="shared" si="784"/>
        <v>0</v>
      </c>
      <c r="AG510" s="460"/>
      <c r="AH510" s="14"/>
      <c r="AI510" s="14"/>
      <c r="AJ510" s="14"/>
      <c r="AK510" s="14"/>
      <c r="AL510" s="14"/>
      <c r="AM510" s="14"/>
      <c r="AN510" s="14"/>
      <c r="AO510" s="14"/>
      <c r="AP510" s="14"/>
      <c r="AQ510" s="14"/>
      <c r="AR510" s="14"/>
      <c r="AS510" s="14"/>
      <c r="AT510" s="14"/>
    </row>
    <row r="511">
      <c r="A511" s="442"/>
      <c r="B511" s="442">
        <v>4.0</v>
      </c>
      <c r="C511" s="482" t="s">
        <v>1160</v>
      </c>
      <c r="D511" s="483" t="s">
        <v>15</v>
      </c>
      <c r="E511" s="483" t="s">
        <v>33</v>
      </c>
      <c r="F511" s="484" t="s">
        <v>77</v>
      </c>
      <c r="G511" s="471">
        <v>2.0</v>
      </c>
      <c r="H511" s="471">
        <v>0.0</v>
      </c>
      <c r="I511" s="486">
        <v>1.0</v>
      </c>
      <c r="J511" s="486">
        <v>1.0</v>
      </c>
      <c r="K511" s="499" t="s">
        <v>188</v>
      </c>
      <c r="L511" s="499"/>
      <c r="M511" s="499">
        <v>5.0</v>
      </c>
      <c r="N511" s="499">
        <v>4.0</v>
      </c>
      <c r="O511" s="223" t="s">
        <v>1122</v>
      </c>
      <c r="P511" s="14"/>
      <c r="Q511" s="452" t="str">
        <f>MATCH($D511,Reference!$J$5:$J$9,0)</f>
        <v>2</v>
      </c>
      <c r="R511" s="452" t="str">
        <f>MATCH($E511,Reference!$J$26:$J$32,0)</f>
        <v>2</v>
      </c>
      <c r="S511" s="452" t="str">
        <f>MATCH($F511,Reference!$J$45:$J$54,0)</f>
        <v>10</v>
      </c>
      <c r="T511" s="453" t="str">
        <f>MATCH($K511,Reference!$J$37:$J$39,0)</f>
        <v>3</v>
      </c>
      <c r="U511" s="454" t="str">
        <f t="shared" si="735"/>
        <v>2</v>
      </c>
      <c r="V511" s="454" t="str">
        <f t="shared" si="3"/>
        <v>1</v>
      </c>
      <c r="W511" s="454" t="str">
        <f t="shared" si="782"/>
        <v>0</v>
      </c>
      <c r="X511" s="454" t="str">
        <f t="shared" si="736"/>
        <v>2</v>
      </c>
      <c r="Y511" s="456" t="str">
        <f t="shared" si="5"/>
        <v>FALSE</v>
      </c>
      <c r="Z511" s="456" t="str">
        <f t="shared" si="6"/>
        <v>FALSE</v>
      </c>
      <c r="AA511" s="457" t="str">
        <f t="shared" ref="AA511:AB511" si="843">1-I511</f>
        <v>0%</v>
      </c>
      <c r="AB511" s="457" t="str">
        <f t="shared" si="843"/>
        <v>0%</v>
      </c>
      <c r="AC511" s="456" t="str">
        <f t="shared" si="8"/>
        <v>2</v>
      </c>
      <c r="AD511" s="458" t="str">
        <f t="shared" si="738"/>
        <v>0</v>
      </c>
      <c r="AE511" s="458" t="str">
        <f t="shared" si="10"/>
        <v>1</v>
      </c>
      <c r="AF511" s="459" t="str">
        <f t="shared" si="784"/>
        <v>0</v>
      </c>
      <c r="AG511" s="460"/>
      <c r="AH511" s="14"/>
      <c r="AI511" s="14"/>
      <c r="AJ511" s="14"/>
      <c r="AK511" s="14"/>
      <c r="AL511" s="14"/>
      <c r="AM511" s="14"/>
      <c r="AN511" s="14"/>
      <c r="AO511" s="14"/>
      <c r="AP511" s="14"/>
      <c r="AQ511" s="14"/>
      <c r="AR511" s="14"/>
      <c r="AS511" s="14"/>
      <c r="AT511" s="14"/>
    </row>
    <row r="512">
      <c r="A512" s="442"/>
      <c r="B512" s="463">
        <v>4.0</v>
      </c>
      <c r="C512" s="538" t="s">
        <v>1161</v>
      </c>
      <c r="D512" s="539" t="s">
        <v>15</v>
      </c>
      <c r="E512" s="539" t="s">
        <v>35</v>
      </c>
      <c r="F512" s="540" t="s">
        <v>77</v>
      </c>
      <c r="G512" s="541">
        <v>2.0</v>
      </c>
      <c r="H512" s="541">
        <v>0.0</v>
      </c>
      <c r="I512" s="494">
        <v>1.0</v>
      </c>
      <c r="J512" s="494">
        <v>1.0</v>
      </c>
      <c r="K512" s="542" t="s">
        <v>188</v>
      </c>
      <c r="L512" s="542"/>
      <c r="M512" s="542">
        <v>3.0</v>
      </c>
      <c r="N512" s="542">
        <v>5.0</v>
      </c>
      <c r="O512" s="543" t="s">
        <v>1162</v>
      </c>
      <c r="P512" s="14"/>
      <c r="Q512" s="452" t="str">
        <f>MATCH($D512,Reference!$J$5:$J$9,0)</f>
        <v>2</v>
      </c>
      <c r="R512" s="452" t="str">
        <f>MATCH($E512,Reference!$J$26:$J$32,0)</f>
        <v>5</v>
      </c>
      <c r="S512" s="452" t="str">
        <f>MATCH($F512,Reference!$J$45:$J$54,0)</f>
        <v>10</v>
      </c>
      <c r="T512" s="453" t="str">
        <f>MATCH($K512,Reference!$J$37:$J$39,0)</f>
        <v>3</v>
      </c>
      <c r="U512" s="454" t="str">
        <f t="shared" si="735"/>
        <v>2</v>
      </c>
      <c r="V512" s="454" t="str">
        <f t="shared" si="3"/>
        <v>1</v>
      </c>
      <c r="W512" s="454" t="str">
        <f t="shared" si="782"/>
        <v>0</v>
      </c>
      <c r="X512" s="454" t="str">
        <f t="shared" si="736"/>
        <v>2</v>
      </c>
      <c r="Y512" s="456" t="str">
        <f t="shared" si="5"/>
        <v>FALSE</v>
      </c>
      <c r="Z512" s="456" t="str">
        <f t="shared" si="6"/>
        <v>FALSE</v>
      </c>
      <c r="AA512" s="457" t="str">
        <f t="shared" ref="AA512:AB512" si="844">1-I512</f>
        <v>0%</v>
      </c>
      <c r="AB512" s="457" t="str">
        <f t="shared" si="844"/>
        <v>0%</v>
      </c>
      <c r="AC512" s="456" t="str">
        <f t="shared" si="8"/>
        <v>2</v>
      </c>
      <c r="AD512" s="458" t="str">
        <f t="shared" si="738"/>
        <v>0</v>
      </c>
      <c r="AE512" s="458" t="str">
        <f t="shared" si="10"/>
        <v>1</v>
      </c>
      <c r="AF512" s="459" t="str">
        <f t="shared" si="784"/>
        <v>0</v>
      </c>
      <c r="AG512" s="460"/>
      <c r="AH512" s="14"/>
      <c r="AI512" s="14"/>
      <c r="AJ512" s="14"/>
      <c r="AK512" s="14"/>
      <c r="AL512" s="14"/>
      <c r="AM512" s="14"/>
      <c r="AN512" s="14"/>
      <c r="AO512" s="14"/>
      <c r="AP512" s="14"/>
      <c r="AQ512" s="14"/>
      <c r="AR512" s="14"/>
      <c r="AS512" s="14"/>
      <c r="AT512" s="14"/>
    </row>
    <row r="513">
      <c r="A513" s="442"/>
      <c r="B513" s="442">
        <v>4.0</v>
      </c>
      <c r="C513" s="482" t="s">
        <v>1163</v>
      </c>
      <c r="D513" s="483" t="s">
        <v>15</v>
      </c>
      <c r="E513" s="483" t="s">
        <v>33</v>
      </c>
      <c r="F513" s="484" t="s">
        <v>77</v>
      </c>
      <c r="G513" s="471">
        <v>2.0</v>
      </c>
      <c r="H513" s="485">
        <v>0.0</v>
      </c>
      <c r="I513" s="486">
        <v>1.0</v>
      </c>
      <c r="J513" s="486">
        <v>1.0</v>
      </c>
      <c r="K513" s="499" t="s">
        <v>188</v>
      </c>
      <c r="L513" s="522"/>
      <c r="M513" s="499">
        <v>4.0</v>
      </c>
      <c r="N513" s="499">
        <v>2.0</v>
      </c>
      <c r="O513" s="224" t="s">
        <v>1164</v>
      </c>
      <c r="P513" s="14"/>
      <c r="Q513" s="452" t="str">
        <f>MATCH($D513,Reference!$J$5:$J$9,0)</f>
        <v>2</v>
      </c>
      <c r="R513" s="452" t="str">
        <f>MATCH($E513,Reference!$J$26:$J$32,0)</f>
        <v>2</v>
      </c>
      <c r="S513" s="452" t="str">
        <f>MATCH($F513,Reference!$J$45:$J$54,0)</f>
        <v>10</v>
      </c>
      <c r="T513" s="453" t="str">
        <f>MATCH($K513,Reference!$J$37:$J$39,0)</f>
        <v>3</v>
      </c>
      <c r="U513" s="454" t="str">
        <f t="shared" si="735"/>
        <v>2</v>
      </c>
      <c r="V513" s="454" t="str">
        <f t="shared" si="3"/>
        <v>1</v>
      </c>
      <c r="W513" s="454" t="str">
        <f t="shared" si="782"/>
        <v>0</v>
      </c>
      <c r="X513" s="454" t="str">
        <f t="shared" si="736"/>
        <v>2</v>
      </c>
      <c r="Y513" s="456" t="str">
        <f t="shared" si="5"/>
        <v>FALSE</v>
      </c>
      <c r="Z513" s="456" t="str">
        <f t="shared" si="6"/>
        <v>FALSE</v>
      </c>
      <c r="AA513" s="457" t="str">
        <f t="shared" ref="AA513:AB513" si="845">1-I513</f>
        <v>0%</v>
      </c>
      <c r="AB513" s="457" t="str">
        <f t="shared" si="845"/>
        <v>0%</v>
      </c>
      <c r="AC513" s="456" t="str">
        <f t="shared" si="8"/>
        <v>2</v>
      </c>
      <c r="AD513" s="458" t="str">
        <f t="shared" si="738"/>
        <v>0</v>
      </c>
      <c r="AE513" s="458" t="str">
        <f t="shared" si="10"/>
        <v>1</v>
      </c>
      <c r="AF513" s="459" t="str">
        <f t="shared" si="784"/>
        <v>0</v>
      </c>
      <c r="AG513" s="460"/>
      <c r="AH513" s="14"/>
      <c r="AI513" s="14"/>
      <c r="AJ513" s="14"/>
      <c r="AK513" s="14"/>
      <c r="AL513" s="14"/>
      <c r="AM513" s="14"/>
      <c r="AN513" s="14"/>
      <c r="AO513" s="14"/>
      <c r="AP513" s="14"/>
      <c r="AQ513" s="14"/>
      <c r="AR513" s="14"/>
      <c r="AS513" s="14"/>
      <c r="AT513" s="14"/>
    </row>
    <row r="514">
      <c r="A514" s="442"/>
      <c r="B514" s="442">
        <v>4.0</v>
      </c>
      <c r="C514" s="482" t="s">
        <v>1165</v>
      </c>
      <c r="D514" s="483" t="s">
        <v>15</v>
      </c>
      <c r="E514" s="483" t="s">
        <v>33</v>
      </c>
      <c r="F514" s="484" t="s">
        <v>77</v>
      </c>
      <c r="G514" s="471">
        <v>2.0</v>
      </c>
      <c r="H514" s="471">
        <v>0.0</v>
      </c>
      <c r="I514" s="486">
        <v>1.0</v>
      </c>
      <c r="J514" s="486">
        <v>1.0</v>
      </c>
      <c r="K514" s="499" t="s">
        <v>188</v>
      </c>
      <c r="L514" s="499"/>
      <c r="M514" s="499">
        <v>4.0</v>
      </c>
      <c r="N514" s="499">
        <v>4.0</v>
      </c>
      <c r="O514" s="223" t="s">
        <v>1056</v>
      </c>
      <c r="P514" s="14"/>
      <c r="Q514" s="452" t="str">
        <f>MATCH($D514,Reference!$J$5:$J$9,0)</f>
        <v>2</v>
      </c>
      <c r="R514" s="452" t="str">
        <f>MATCH($E514,Reference!$J$26:$J$32,0)</f>
        <v>2</v>
      </c>
      <c r="S514" s="452" t="str">
        <f>MATCH($F514,Reference!$J$45:$J$54,0)</f>
        <v>10</v>
      </c>
      <c r="T514" s="453" t="str">
        <f>MATCH($K514,Reference!$J$37:$J$39,0)</f>
        <v>3</v>
      </c>
      <c r="U514" s="454" t="str">
        <f t="shared" si="735"/>
        <v>2</v>
      </c>
      <c r="V514" s="454" t="str">
        <f t="shared" si="3"/>
        <v>1</v>
      </c>
      <c r="W514" s="454" t="str">
        <f t="shared" si="782"/>
        <v>0</v>
      </c>
      <c r="X514" s="454" t="str">
        <f t="shared" si="736"/>
        <v>2</v>
      </c>
      <c r="Y514" s="456" t="str">
        <f t="shared" si="5"/>
        <v>FALSE</v>
      </c>
      <c r="Z514" s="456" t="str">
        <f t="shared" si="6"/>
        <v>FALSE</v>
      </c>
      <c r="AA514" s="457" t="str">
        <f t="shared" ref="AA514:AB514" si="846">1-I514</f>
        <v>0%</v>
      </c>
      <c r="AB514" s="457" t="str">
        <f t="shared" si="846"/>
        <v>0%</v>
      </c>
      <c r="AC514" s="456" t="str">
        <f t="shared" si="8"/>
        <v>2</v>
      </c>
      <c r="AD514" s="458" t="str">
        <f t="shared" si="738"/>
        <v>0</v>
      </c>
      <c r="AE514" s="458" t="str">
        <f t="shared" si="10"/>
        <v>1</v>
      </c>
      <c r="AF514" s="459" t="str">
        <f t="shared" si="784"/>
        <v>0</v>
      </c>
      <c r="AG514" s="460"/>
      <c r="AH514" s="14"/>
      <c r="AI514" s="14"/>
      <c r="AJ514" s="14"/>
      <c r="AK514" s="14"/>
      <c r="AL514" s="14"/>
      <c r="AM514" s="14"/>
      <c r="AN514" s="14"/>
      <c r="AO514" s="14"/>
      <c r="AP514" s="14"/>
      <c r="AQ514" s="14"/>
      <c r="AR514" s="14"/>
      <c r="AS514" s="14"/>
      <c r="AT514" s="14"/>
    </row>
    <row r="515">
      <c r="A515" s="682"/>
      <c r="B515" s="469">
        <v>4.0</v>
      </c>
      <c r="C515" s="501" t="s">
        <v>1166</v>
      </c>
      <c r="D515" s="502" t="s">
        <v>15</v>
      </c>
      <c r="E515" s="502" t="s">
        <v>47</v>
      </c>
      <c r="F515" s="503" t="s">
        <v>77</v>
      </c>
      <c r="G515" s="504" t="str">
        <f>IF(Summary!$Y$27&gt;=VLOOKUP(C515,Reference!$N$6:$O$36,2,0),2,0)</f>
        <v>2</v>
      </c>
      <c r="H515" s="504">
        <v>0.0</v>
      </c>
      <c r="I515" s="505">
        <v>1.0</v>
      </c>
      <c r="J515" s="505"/>
      <c r="K515" s="506" t="s">
        <v>188</v>
      </c>
      <c r="L515" s="506" t="s">
        <v>446</v>
      </c>
      <c r="M515" s="506">
        <v>3.0</v>
      </c>
      <c r="N515" s="506">
        <v>5.0</v>
      </c>
      <c r="O515" s="507" t="s">
        <v>1167</v>
      </c>
      <c r="P515" s="14"/>
      <c r="Q515" s="452" t="str">
        <f>MATCH($D515,Reference!$J$5:$J$9,0)</f>
        <v>2</v>
      </c>
      <c r="R515" s="452" t="str">
        <f>MATCH($E515,Reference!$J$26:$J$32,0)</f>
        <v>6</v>
      </c>
      <c r="S515" s="452" t="str">
        <f>MATCH($F515,Reference!$J$45:$J$54,0)</f>
        <v>10</v>
      </c>
      <c r="T515" s="453" t="str">
        <f>MATCH($K515,Reference!$J$37:$J$39,0)</f>
        <v>3</v>
      </c>
      <c r="U515" s="454" t="str">
        <f t="shared" si="735"/>
        <v>2</v>
      </c>
      <c r="V515" s="454" t="str">
        <f t="shared" si="3"/>
        <v>1</v>
      </c>
      <c r="W515" s="454" t="str">
        <f t="shared" si="782"/>
        <v>0</v>
      </c>
      <c r="X515" s="454" t="str">
        <f t="shared" si="736"/>
        <v>2</v>
      </c>
      <c r="Y515" s="456" t="str">
        <f t="shared" si="5"/>
        <v>FALSE</v>
      </c>
      <c r="Z515" s="456" t="str">
        <f t="shared" si="6"/>
        <v>FALSE</v>
      </c>
      <c r="AA515" s="457" t="str">
        <f t="shared" ref="AA515:AB515" si="847">1-I515</f>
        <v>0%</v>
      </c>
      <c r="AB515" s="457" t="str">
        <f t="shared" si="847"/>
        <v>100%</v>
      </c>
      <c r="AC515" s="456" t="str">
        <f t="shared" si="8"/>
        <v>2</v>
      </c>
      <c r="AD515" s="458" t="str">
        <f t="shared" si="738"/>
        <v>0</v>
      </c>
      <c r="AE515" s="458" t="str">
        <f t="shared" si="10"/>
        <v>1</v>
      </c>
      <c r="AF515" s="459" t="str">
        <f t="shared" si="784"/>
        <v>0</v>
      </c>
      <c r="AG515" s="460"/>
      <c r="AH515" s="14"/>
      <c r="AI515" s="14"/>
      <c r="AJ515" s="14"/>
      <c r="AK515" s="14"/>
      <c r="AL515" s="14"/>
      <c r="AM515" s="14"/>
      <c r="AN515" s="14"/>
      <c r="AO515" s="14"/>
      <c r="AP515" s="14"/>
      <c r="AQ515" s="14"/>
      <c r="AR515" s="14"/>
      <c r="AS515" s="14"/>
      <c r="AT515" s="14"/>
    </row>
    <row r="516">
      <c r="A516" s="509"/>
      <c r="B516" s="442">
        <v>4.0</v>
      </c>
      <c r="C516" s="482" t="s">
        <v>1168</v>
      </c>
      <c r="D516" s="483" t="s">
        <v>15</v>
      </c>
      <c r="E516" s="483" t="s">
        <v>33</v>
      </c>
      <c r="F516" s="484" t="s">
        <v>77</v>
      </c>
      <c r="G516" s="471">
        <v>2.0</v>
      </c>
      <c r="H516" s="485">
        <v>0.0</v>
      </c>
      <c r="I516" s="486">
        <v>1.0</v>
      </c>
      <c r="J516" s="486">
        <v>1.0</v>
      </c>
      <c r="K516" s="499" t="s">
        <v>188</v>
      </c>
      <c r="L516" s="499" t="s">
        <v>660</v>
      </c>
      <c r="M516" s="499">
        <v>3.0</v>
      </c>
      <c r="N516" s="499">
        <v>3.0</v>
      </c>
      <c r="O516" s="223" t="s">
        <v>1169</v>
      </c>
      <c r="P516" s="14"/>
      <c r="Q516" s="452" t="str">
        <f>MATCH($D516,Reference!$J$5:$J$9,0)</f>
        <v>2</v>
      </c>
      <c r="R516" s="452" t="str">
        <f>MATCH($E516,Reference!$J$26:$J$32,0)</f>
        <v>2</v>
      </c>
      <c r="S516" s="452" t="str">
        <f>MATCH($F516,Reference!$J$45:$J$54,0)</f>
        <v>10</v>
      </c>
      <c r="T516" s="453" t="str">
        <f>MATCH($K516,Reference!$J$37:$J$39,0)</f>
        <v>3</v>
      </c>
      <c r="U516" s="454" t="str">
        <f t="shared" si="735"/>
        <v>2</v>
      </c>
      <c r="V516" s="454" t="str">
        <f t="shared" si="3"/>
        <v>1</v>
      </c>
      <c r="W516" s="454" t="str">
        <f t="shared" si="782"/>
        <v>0</v>
      </c>
      <c r="X516" s="454" t="str">
        <f t="shared" si="736"/>
        <v>2</v>
      </c>
      <c r="Y516" s="456" t="str">
        <f t="shared" si="5"/>
        <v>FALSE</v>
      </c>
      <c r="Z516" s="456" t="str">
        <f t="shared" si="6"/>
        <v>FALSE</v>
      </c>
      <c r="AA516" s="457" t="str">
        <f t="shared" ref="AA516:AB516" si="848">1-I516</f>
        <v>0%</v>
      </c>
      <c r="AB516" s="457" t="str">
        <f t="shared" si="848"/>
        <v>0%</v>
      </c>
      <c r="AC516" s="456" t="str">
        <f t="shared" si="8"/>
        <v>2</v>
      </c>
      <c r="AD516" s="458" t="str">
        <f t="shared" si="738"/>
        <v>0</v>
      </c>
      <c r="AE516" s="458" t="str">
        <f t="shared" si="10"/>
        <v>1</v>
      </c>
      <c r="AF516" s="459" t="str">
        <f t="shared" si="784"/>
        <v>0</v>
      </c>
      <c r="AG516" s="460"/>
      <c r="AH516" s="14"/>
      <c r="AI516" s="14"/>
      <c r="AJ516" s="14"/>
      <c r="AK516" s="14"/>
      <c r="AL516" s="14"/>
      <c r="AM516" s="14"/>
      <c r="AN516" s="14"/>
      <c r="AO516" s="14"/>
      <c r="AP516" s="14"/>
      <c r="AQ516" s="14"/>
      <c r="AR516" s="14"/>
      <c r="AS516" s="14"/>
      <c r="AT516" s="14"/>
    </row>
    <row r="517">
      <c r="A517" s="442"/>
      <c r="B517" s="466">
        <v>4.0</v>
      </c>
      <c r="C517" s="475" t="s">
        <v>1170</v>
      </c>
      <c r="D517" s="476" t="s">
        <v>15</v>
      </c>
      <c r="E517" s="477" t="s">
        <v>36</v>
      </c>
      <c r="F517" s="477" t="s">
        <v>77</v>
      </c>
      <c r="G517" s="478">
        <v>2.0</v>
      </c>
      <c r="H517" s="478">
        <v>0.0</v>
      </c>
      <c r="I517" s="479">
        <v>1.0</v>
      </c>
      <c r="J517" s="479">
        <v>1.0</v>
      </c>
      <c r="K517" s="477" t="s">
        <v>188</v>
      </c>
      <c r="L517" s="477"/>
      <c r="M517" s="477">
        <v>5.0</v>
      </c>
      <c r="N517" s="477">
        <v>4.0</v>
      </c>
      <c r="O517" s="480" t="s">
        <v>1072</v>
      </c>
      <c r="P517" s="14"/>
      <c r="Q517" s="452" t="str">
        <f>MATCH($D517,Reference!$J$5:$J$9,0)</f>
        <v>2</v>
      </c>
      <c r="R517" s="452" t="str">
        <f>MATCH($E517,Reference!$J$26:$J$32,0)</f>
        <v>7</v>
      </c>
      <c r="S517" s="452" t="str">
        <f>MATCH($F517,Reference!$J$45:$J$54,0)</f>
        <v>10</v>
      </c>
      <c r="T517" s="453" t="str">
        <f>MATCH($K517,Reference!$J$37:$J$39,0)</f>
        <v>3</v>
      </c>
      <c r="U517" s="454" t="str">
        <f t="shared" si="735"/>
        <v>2</v>
      </c>
      <c r="V517" s="454" t="str">
        <f t="shared" si="3"/>
        <v>1</v>
      </c>
      <c r="W517" s="454" t="str">
        <f t="shared" si="782"/>
        <v>0</v>
      </c>
      <c r="X517" s="454" t="str">
        <f t="shared" si="736"/>
        <v>2</v>
      </c>
      <c r="Y517" s="456" t="str">
        <f t="shared" si="5"/>
        <v>FALSE</v>
      </c>
      <c r="Z517" s="456" t="str">
        <f t="shared" si="6"/>
        <v>FALSE</v>
      </c>
      <c r="AA517" s="457" t="str">
        <f t="shared" ref="AA517:AB517" si="849">1-I517</f>
        <v>0%</v>
      </c>
      <c r="AB517" s="457" t="str">
        <f t="shared" si="849"/>
        <v>0%</v>
      </c>
      <c r="AC517" s="456" t="str">
        <f t="shared" si="8"/>
        <v>2</v>
      </c>
      <c r="AD517" s="458" t="str">
        <f t="shared" si="738"/>
        <v>0</v>
      </c>
      <c r="AE517" s="458" t="str">
        <f t="shared" si="10"/>
        <v>1</v>
      </c>
      <c r="AF517" s="459" t="str">
        <f t="shared" si="784"/>
        <v>0</v>
      </c>
      <c r="AG517" s="460"/>
      <c r="AH517" s="14"/>
      <c r="AI517" s="14"/>
      <c r="AJ517" s="14"/>
      <c r="AK517" s="14"/>
      <c r="AL517" s="14"/>
      <c r="AM517" s="14"/>
      <c r="AN517" s="14"/>
      <c r="AO517" s="14"/>
      <c r="AP517" s="14"/>
      <c r="AQ517" s="14"/>
      <c r="AR517" s="14"/>
      <c r="AS517" s="14"/>
      <c r="AT517" s="14"/>
    </row>
    <row r="518">
      <c r="A518" s="466"/>
      <c r="B518" s="466">
        <v>4.0</v>
      </c>
      <c r="C518" s="475" t="s">
        <v>1171</v>
      </c>
      <c r="D518" s="476" t="s">
        <v>15</v>
      </c>
      <c r="E518" s="477" t="s">
        <v>36</v>
      </c>
      <c r="F518" s="477" t="s">
        <v>77</v>
      </c>
      <c r="G518" s="478">
        <v>2.0</v>
      </c>
      <c r="H518" s="478">
        <v>0.0</v>
      </c>
      <c r="I518" s="479">
        <v>1.0</v>
      </c>
      <c r="J518" s="479">
        <v>1.0</v>
      </c>
      <c r="K518" s="477" t="s">
        <v>188</v>
      </c>
      <c r="L518" s="477"/>
      <c r="M518" s="477">
        <v>2.0</v>
      </c>
      <c r="N518" s="477">
        <v>6.0</v>
      </c>
      <c r="O518" s="480" t="s">
        <v>1172</v>
      </c>
      <c r="P518" s="14"/>
      <c r="Q518" s="452" t="str">
        <f>MATCH($D518,Reference!$J$5:$J$9,0)</f>
        <v>2</v>
      </c>
      <c r="R518" s="452" t="str">
        <f>MATCH($E518,Reference!$J$26:$J$32,0)</f>
        <v>7</v>
      </c>
      <c r="S518" s="452" t="str">
        <f>MATCH($F518,Reference!$J$45:$J$54,0)</f>
        <v>10</v>
      </c>
      <c r="T518" s="453" t="str">
        <f>MATCH($K518,Reference!$J$37:$J$39,0)</f>
        <v>3</v>
      </c>
      <c r="U518" s="454" t="str">
        <f t="shared" si="735"/>
        <v>2</v>
      </c>
      <c r="V518" s="454" t="str">
        <f t="shared" si="3"/>
        <v>1</v>
      </c>
      <c r="W518" s="454" t="str">
        <f t="shared" si="782"/>
        <v>0</v>
      </c>
      <c r="X518" s="454" t="str">
        <f t="shared" si="736"/>
        <v>2</v>
      </c>
      <c r="Y518" s="456" t="str">
        <f t="shared" si="5"/>
        <v>FALSE</v>
      </c>
      <c r="Z518" s="456" t="str">
        <f t="shared" si="6"/>
        <v>FALSE</v>
      </c>
      <c r="AA518" s="457" t="str">
        <f t="shared" ref="AA518:AB518" si="850">1-I518</f>
        <v>0%</v>
      </c>
      <c r="AB518" s="457" t="str">
        <f t="shared" si="850"/>
        <v>0%</v>
      </c>
      <c r="AC518" s="456" t="str">
        <f t="shared" si="8"/>
        <v>2</v>
      </c>
      <c r="AD518" s="458" t="str">
        <f t="shared" si="738"/>
        <v>0</v>
      </c>
      <c r="AE518" s="458" t="str">
        <f t="shared" si="10"/>
        <v>1</v>
      </c>
      <c r="AF518" s="459" t="str">
        <f t="shared" si="784"/>
        <v>0</v>
      </c>
      <c r="AG518" s="460"/>
      <c r="AH518" s="14"/>
      <c r="AI518" s="14"/>
      <c r="AJ518" s="14"/>
      <c r="AK518" s="14"/>
      <c r="AL518" s="14"/>
      <c r="AM518" s="14"/>
      <c r="AN518" s="14"/>
      <c r="AO518" s="14"/>
      <c r="AP518" s="14"/>
      <c r="AQ518" s="14"/>
      <c r="AR518" s="14"/>
      <c r="AS518" s="14"/>
      <c r="AT518" s="14"/>
    </row>
    <row r="519">
      <c r="A519" s="442"/>
      <c r="B519" s="469">
        <v>4.0</v>
      </c>
      <c r="C519" s="501" t="s">
        <v>1173</v>
      </c>
      <c r="D519" s="502" t="s">
        <v>15</v>
      </c>
      <c r="E519" s="502" t="s">
        <v>47</v>
      </c>
      <c r="F519" s="503" t="s">
        <v>77</v>
      </c>
      <c r="G519" s="504" t="str">
        <f>IF(Summary!$Y$27&gt;=VLOOKUP(C519,Reference!$N$6:$O$36,2,0),2,0)</f>
        <v>2</v>
      </c>
      <c r="H519" s="504">
        <v>0.0</v>
      </c>
      <c r="I519" s="505">
        <v>1.0</v>
      </c>
      <c r="J519" s="505"/>
      <c r="K519" s="506" t="s">
        <v>188</v>
      </c>
      <c r="L519" s="506" t="s">
        <v>446</v>
      </c>
      <c r="M519" s="506">
        <v>5.0</v>
      </c>
      <c r="N519" s="506">
        <v>6.0</v>
      </c>
      <c r="O519" s="507" t="s">
        <v>1174</v>
      </c>
      <c r="P519" s="14"/>
      <c r="Q519" s="452" t="str">
        <f>MATCH($D519,Reference!$J$5:$J$9,0)</f>
        <v>2</v>
      </c>
      <c r="R519" s="452" t="str">
        <f>MATCH($E519,Reference!$J$26:$J$32,0)</f>
        <v>6</v>
      </c>
      <c r="S519" s="452" t="str">
        <f>MATCH($F519,Reference!$J$45:$J$54,0)</f>
        <v>10</v>
      </c>
      <c r="T519" s="453" t="str">
        <f>MATCH($K519,Reference!$J$37:$J$39,0)</f>
        <v>3</v>
      </c>
      <c r="U519" s="454" t="str">
        <f t="shared" si="735"/>
        <v>2</v>
      </c>
      <c r="V519" s="454" t="str">
        <f t="shared" si="3"/>
        <v>1</v>
      </c>
      <c r="W519" s="454" t="str">
        <f t="shared" si="782"/>
        <v>0</v>
      </c>
      <c r="X519" s="454" t="str">
        <f t="shared" si="736"/>
        <v>2</v>
      </c>
      <c r="Y519" s="456" t="str">
        <f t="shared" si="5"/>
        <v>FALSE</v>
      </c>
      <c r="Z519" s="456" t="str">
        <f t="shared" si="6"/>
        <v>FALSE</v>
      </c>
      <c r="AA519" s="457" t="str">
        <f t="shared" ref="AA519:AB519" si="851">1-I519</f>
        <v>0%</v>
      </c>
      <c r="AB519" s="457" t="str">
        <f t="shared" si="851"/>
        <v>100%</v>
      </c>
      <c r="AC519" s="456" t="str">
        <f t="shared" si="8"/>
        <v>2</v>
      </c>
      <c r="AD519" s="458" t="str">
        <f t="shared" si="738"/>
        <v>0</v>
      </c>
      <c r="AE519" s="458" t="str">
        <f t="shared" si="10"/>
        <v>1</v>
      </c>
      <c r="AF519" s="459" t="str">
        <f t="shared" si="784"/>
        <v>0</v>
      </c>
      <c r="AG519" s="460"/>
      <c r="AH519" s="14"/>
      <c r="AI519" s="14"/>
      <c r="AJ519" s="14"/>
      <c r="AK519" s="14"/>
      <c r="AL519" s="14"/>
      <c r="AM519" s="14"/>
      <c r="AN519" s="14"/>
      <c r="AO519" s="14"/>
      <c r="AP519" s="14"/>
      <c r="AQ519" s="14"/>
      <c r="AR519" s="14"/>
      <c r="AS519" s="14"/>
      <c r="AT519" s="14"/>
    </row>
    <row r="520">
      <c r="A520" s="466"/>
      <c r="B520" s="463">
        <v>4.0</v>
      </c>
      <c r="C520" s="538" t="s">
        <v>1175</v>
      </c>
      <c r="D520" s="539" t="s">
        <v>15</v>
      </c>
      <c r="E520" s="539" t="s">
        <v>35</v>
      </c>
      <c r="F520" s="540" t="s">
        <v>77</v>
      </c>
      <c r="G520" s="541">
        <v>2.0</v>
      </c>
      <c r="H520" s="493">
        <v>0.0</v>
      </c>
      <c r="I520" s="494">
        <v>1.0</v>
      </c>
      <c r="J520" s="494">
        <v>1.0</v>
      </c>
      <c r="K520" s="542" t="s">
        <v>188</v>
      </c>
      <c r="L520" s="542" t="s">
        <v>238</v>
      </c>
      <c r="M520" s="542">
        <v>5.0</v>
      </c>
      <c r="N520" s="542">
        <v>4.0</v>
      </c>
      <c r="O520" s="543"/>
      <c r="P520" s="14"/>
      <c r="Q520" s="452" t="str">
        <f>MATCH($D520,Reference!$J$5:$J$9,0)</f>
        <v>2</v>
      </c>
      <c r="R520" s="452" t="str">
        <f>MATCH($E520,Reference!$J$26:$J$32,0)</f>
        <v>5</v>
      </c>
      <c r="S520" s="452" t="str">
        <f>MATCH($F520,Reference!$J$45:$J$54,0)</f>
        <v>10</v>
      </c>
      <c r="T520" s="453" t="str">
        <f>MATCH($K520,Reference!$J$37:$J$39,0)</f>
        <v>3</v>
      </c>
      <c r="U520" s="454" t="str">
        <f t="shared" si="735"/>
        <v>2</v>
      </c>
      <c r="V520" s="454" t="str">
        <f t="shared" si="3"/>
        <v>1</v>
      </c>
      <c r="W520" s="454" t="str">
        <f t="shared" si="782"/>
        <v>0</v>
      </c>
      <c r="X520" s="454" t="str">
        <f t="shared" si="736"/>
        <v>2</v>
      </c>
      <c r="Y520" s="456" t="str">
        <f t="shared" si="5"/>
        <v>FALSE</v>
      </c>
      <c r="Z520" s="456" t="str">
        <f t="shared" si="6"/>
        <v>FALSE</v>
      </c>
      <c r="AA520" s="457" t="str">
        <f t="shared" ref="AA520:AB520" si="852">1-I520</f>
        <v>0%</v>
      </c>
      <c r="AB520" s="457" t="str">
        <f t="shared" si="852"/>
        <v>0%</v>
      </c>
      <c r="AC520" s="456" t="str">
        <f t="shared" si="8"/>
        <v>2</v>
      </c>
      <c r="AD520" s="458" t="str">
        <f t="shared" si="738"/>
        <v>0</v>
      </c>
      <c r="AE520" s="458" t="str">
        <f t="shared" si="10"/>
        <v>1</v>
      </c>
      <c r="AF520" s="459" t="str">
        <f t="shared" si="784"/>
        <v>0</v>
      </c>
      <c r="AG520" s="460"/>
      <c r="AH520" s="14"/>
      <c r="AI520" s="14"/>
      <c r="AJ520" s="14"/>
      <c r="AK520" s="14"/>
      <c r="AL520" s="14"/>
      <c r="AM520" s="14"/>
      <c r="AN520" s="14"/>
      <c r="AO520" s="14"/>
      <c r="AP520" s="14"/>
      <c r="AQ520" s="14"/>
      <c r="AR520" s="14"/>
      <c r="AS520" s="14"/>
      <c r="AT520" s="14"/>
    </row>
    <row r="521">
      <c r="A521" s="463"/>
      <c r="B521" s="466">
        <v>4.0</v>
      </c>
      <c r="C521" s="475" t="s">
        <v>1176</v>
      </c>
      <c r="D521" s="476" t="s">
        <v>15</v>
      </c>
      <c r="E521" s="477" t="s">
        <v>36</v>
      </c>
      <c r="F521" s="477" t="s">
        <v>77</v>
      </c>
      <c r="G521" s="478">
        <v>2.0</v>
      </c>
      <c r="H521" s="478">
        <v>1.0</v>
      </c>
      <c r="I521" s="479">
        <v>1.0</v>
      </c>
      <c r="J521" s="479">
        <v>1.0</v>
      </c>
      <c r="K521" s="476" t="s">
        <v>188</v>
      </c>
      <c r="L521" s="477"/>
      <c r="M521" s="477">
        <v>2.0</v>
      </c>
      <c r="N521" s="478">
        <v>6.0</v>
      </c>
      <c r="O521" s="480" t="s">
        <v>1177</v>
      </c>
      <c r="P521" s="14"/>
      <c r="Q521" s="452" t="str">
        <f>MATCH($D521,Reference!$J$5:$J$9,0)</f>
        <v>2</v>
      </c>
      <c r="R521" s="452" t="str">
        <f>MATCH($E521,Reference!$J$26:$J$32,0)</f>
        <v>7</v>
      </c>
      <c r="S521" s="452" t="str">
        <f>MATCH($F521,Reference!$J$45:$J$54,0)</f>
        <v>10</v>
      </c>
      <c r="T521" s="453" t="str">
        <f>MATCH($K521,Reference!$J$37:$J$39,0)</f>
        <v>3</v>
      </c>
      <c r="U521" s="454" t="str">
        <f t="shared" si="735"/>
        <v>2</v>
      </c>
      <c r="V521" s="454" t="str">
        <f t="shared" si="3"/>
        <v>1</v>
      </c>
      <c r="W521" s="454" t="str">
        <f t="shared" si="782"/>
        <v>50</v>
      </c>
      <c r="X521" s="454" t="str">
        <f t="shared" si="736"/>
        <v>2</v>
      </c>
      <c r="Y521" s="456" t="str">
        <f t="shared" si="5"/>
        <v>FALSE</v>
      </c>
      <c r="Z521" s="456" t="str">
        <f t="shared" si="6"/>
        <v>FALSE</v>
      </c>
      <c r="AA521" s="457" t="str">
        <f t="shared" ref="AA521:AB521" si="853">1-I521</f>
        <v>0%</v>
      </c>
      <c r="AB521" s="457" t="str">
        <f t="shared" si="853"/>
        <v>0%</v>
      </c>
      <c r="AC521" s="456" t="str">
        <f t="shared" si="8"/>
        <v>2</v>
      </c>
      <c r="AD521" s="458" t="str">
        <f t="shared" si="738"/>
        <v>1</v>
      </c>
      <c r="AE521" s="458" t="str">
        <f t="shared" si="10"/>
        <v>1</v>
      </c>
      <c r="AF521" s="459" t="str">
        <f t="shared" si="784"/>
        <v>5</v>
      </c>
      <c r="AG521" s="460"/>
      <c r="AH521" s="14"/>
      <c r="AI521" s="14"/>
      <c r="AJ521" s="14"/>
      <c r="AK521" s="14"/>
      <c r="AL521" s="14"/>
      <c r="AM521" s="14"/>
      <c r="AN521" s="14"/>
      <c r="AO521" s="14"/>
      <c r="AP521" s="14"/>
      <c r="AQ521" s="14"/>
      <c r="AR521" s="14"/>
      <c r="AS521" s="14"/>
      <c r="AT521" s="14"/>
    </row>
    <row r="522">
      <c r="A522" s="750"/>
      <c r="B522" s="463">
        <v>4.0</v>
      </c>
      <c r="C522" s="538" t="s">
        <v>1178</v>
      </c>
      <c r="D522" s="539" t="s">
        <v>15</v>
      </c>
      <c r="E522" s="539" t="s">
        <v>35</v>
      </c>
      <c r="F522" s="540" t="s">
        <v>77</v>
      </c>
      <c r="G522" s="541">
        <v>2.0</v>
      </c>
      <c r="H522" s="541">
        <v>0.0</v>
      </c>
      <c r="I522" s="494">
        <v>1.0</v>
      </c>
      <c r="J522" s="494">
        <v>1.0</v>
      </c>
      <c r="K522" s="539" t="s">
        <v>188</v>
      </c>
      <c r="L522" s="539" t="s">
        <v>198</v>
      </c>
      <c r="M522" s="540">
        <v>4.0</v>
      </c>
      <c r="N522" s="541">
        <v>5.0</v>
      </c>
      <c r="O522" s="543" t="s">
        <v>1179</v>
      </c>
      <c r="P522" s="14"/>
      <c r="Q522" s="452" t="str">
        <f>MATCH($D522,Reference!$J$5:$J$9,0)</f>
        <v>2</v>
      </c>
      <c r="R522" s="452" t="str">
        <f>MATCH($E522,Reference!$J$26:$J$32,0)</f>
        <v>5</v>
      </c>
      <c r="S522" s="452" t="str">
        <f>MATCH($F522,Reference!$J$45:$J$54,0)</f>
        <v>10</v>
      </c>
      <c r="T522" s="453" t="str">
        <f>MATCH($K522,Reference!$J$37:$J$39,0)</f>
        <v>3</v>
      </c>
      <c r="U522" s="454" t="str">
        <f t="shared" si="735"/>
        <v>2</v>
      </c>
      <c r="V522" s="454" t="str">
        <f t="shared" si="3"/>
        <v>1</v>
      </c>
      <c r="W522" s="454" t="str">
        <f t="shared" si="782"/>
        <v>0</v>
      </c>
      <c r="X522" s="454" t="str">
        <f t="shared" si="736"/>
        <v>2</v>
      </c>
      <c r="Y522" s="456" t="str">
        <f t="shared" si="5"/>
        <v>FALSE</v>
      </c>
      <c r="Z522" s="456" t="str">
        <f t="shared" si="6"/>
        <v>FALSE</v>
      </c>
      <c r="AA522" s="457" t="str">
        <f t="shared" ref="AA522:AB522" si="854">1-I522</f>
        <v>0%</v>
      </c>
      <c r="AB522" s="457" t="str">
        <f t="shared" si="854"/>
        <v>0%</v>
      </c>
      <c r="AC522" s="456" t="str">
        <f t="shared" si="8"/>
        <v>2</v>
      </c>
      <c r="AD522" s="458" t="str">
        <f t="shared" si="738"/>
        <v>0</v>
      </c>
      <c r="AE522" s="458" t="str">
        <f t="shared" si="10"/>
        <v>1</v>
      </c>
      <c r="AF522" s="459" t="str">
        <f t="shared" si="784"/>
        <v>0</v>
      </c>
      <c r="AG522" s="460"/>
      <c r="AH522" s="14"/>
      <c r="AI522" s="14"/>
      <c r="AJ522" s="14"/>
      <c r="AK522" s="14"/>
      <c r="AL522" s="14"/>
      <c r="AM522" s="14"/>
      <c r="AN522" s="14"/>
      <c r="AO522" s="14"/>
      <c r="AP522" s="14"/>
      <c r="AQ522" s="14"/>
      <c r="AR522" s="14"/>
      <c r="AS522" s="14"/>
      <c r="AT522" s="14"/>
    </row>
    <row r="523">
      <c r="A523" s="442"/>
      <c r="B523" s="442">
        <v>4.0</v>
      </c>
      <c r="C523" s="482" t="s">
        <v>1180</v>
      </c>
      <c r="D523" s="483" t="s">
        <v>15</v>
      </c>
      <c r="E523" s="483" t="s">
        <v>33</v>
      </c>
      <c r="F523" s="484" t="s">
        <v>77</v>
      </c>
      <c r="G523" s="471">
        <v>2.0</v>
      </c>
      <c r="H523" s="471">
        <v>0.0</v>
      </c>
      <c r="I523" s="486">
        <v>1.0</v>
      </c>
      <c r="J523" s="486">
        <v>1.0</v>
      </c>
      <c r="K523" s="483" t="s">
        <v>188</v>
      </c>
      <c r="L523" s="483"/>
      <c r="M523" s="484">
        <v>1.0</v>
      </c>
      <c r="N523" s="471">
        <v>7.0</v>
      </c>
      <c r="O523" s="223" t="s">
        <v>189</v>
      </c>
      <c r="P523" s="14"/>
      <c r="Q523" s="452" t="str">
        <f>MATCH($D523,Reference!$J$5:$J$9,0)</f>
        <v>2</v>
      </c>
      <c r="R523" s="452" t="str">
        <f>MATCH($E523,Reference!$J$26:$J$32,0)</f>
        <v>2</v>
      </c>
      <c r="S523" s="452" t="str">
        <f>MATCH($F523,Reference!$J$45:$J$54,0)</f>
        <v>10</v>
      </c>
      <c r="T523" s="453" t="str">
        <f>MATCH($K523,Reference!$J$37:$J$39,0)</f>
        <v>3</v>
      </c>
      <c r="U523" s="454" t="str">
        <f t="shared" si="735"/>
        <v>2</v>
      </c>
      <c r="V523" s="454" t="str">
        <f t="shared" si="3"/>
        <v>1</v>
      </c>
      <c r="W523" s="454" t="str">
        <f t="shared" si="782"/>
        <v>0</v>
      </c>
      <c r="X523" s="454" t="str">
        <f t="shared" si="736"/>
        <v>2</v>
      </c>
      <c r="Y523" s="456" t="str">
        <f t="shared" si="5"/>
        <v>FALSE</v>
      </c>
      <c r="Z523" s="456" t="str">
        <f t="shared" si="6"/>
        <v>FALSE</v>
      </c>
      <c r="AA523" s="457" t="str">
        <f t="shared" ref="AA523:AB523" si="855">1-I523</f>
        <v>0%</v>
      </c>
      <c r="AB523" s="457" t="str">
        <f t="shared" si="855"/>
        <v>0%</v>
      </c>
      <c r="AC523" s="456" t="str">
        <f t="shared" si="8"/>
        <v>2</v>
      </c>
      <c r="AD523" s="458" t="str">
        <f t="shared" si="738"/>
        <v>0</v>
      </c>
      <c r="AE523" s="458" t="str">
        <f t="shared" si="10"/>
        <v>1</v>
      </c>
      <c r="AF523" s="459" t="str">
        <f t="shared" si="784"/>
        <v>0</v>
      </c>
      <c r="AG523" s="460"/>
      <c r="AH523" s="14"/>
      <c r="AI523" s="14"/>
      <c r="AJ523" s="14"/>
      <c r="AK523" s="14"/>
      <c r="AL523" s="14"/>
      <c r="AM523" s="14"/>
      <c r="AN523" s="14"/>
      <c r="AO523" s="14"/>
      <c r="AP523" s="14"/>
      <c r="AQ523" s="14"/>
      <c r="AR523" s="14"/>
      <c r="AS523" s="14"/>
      <c r="AT523" s="14"/>
    </row>
    <row r="524">
      <c r="A524" s="509"/>
      <c r="B524" s="463">
        <v>4.0</v>
      </c>
      <c r="C524" s="538" t="s">
        <v>1181</v>
      </c>
      <c r="D524" s="539" t="s">
        <v>15</v>
      </c>
      <c r="E524" s="539" t="s">
        <v>35</v>
      </c>
      <c r="F524" s="540" t="s">
        <v>77</v>
      </c>
      <c r="G524" s="541">
        <v>2.0</v>
      </c>
      <c r="H524" s="541">
        <v>0.0</v>
      </c>
      <c r="I524" s="494">
        <v>1.0</v>
      </c>
      <c r="J524" s="494">
        <v>1.0</v>
      </c>
      <c r="K524" s="542" t="s">
        <v>188</v>
      </c>
      <c r="L524" s="542" t="s">
        <v>198</v>
      </c>
      <c r="M524" s="542">
        <v>4.0</v>
      </c>
      <c r="N524" s="542">
        <v>3.0</v>
      </c>
      <c r="O524" s="543" t="s">
        <v>1182</v>
      </c>
      <c r="P524" s="14"/>
      <c r="Q524" s="452" t="str">
        <f>MATCH($D524,Reference!$J$5:$J$9,0)</f>
        <v>2</v>
      </c>
      <c r="R524" s="452" t="str">
        <f>MATCH($E524,Reference!$J$26:$J$32,0)</f>
        <v>5</v>
      </c>
      <c r="S524" s="452" t="str">
        <f>MATCH($F524,Reference!$J$45:$J$54,0)</f>
        <v>10</v>
      </c>
      <c r="T524" s="453" t="str">
        <f>MATCH($K524,Reference!$J$37:$J$39,0)</f>
        <v>3</v>
      </c>
      <c r="U524" s="454" t="str">
        <f t="shared" si="735"/>
        <v>2</v>
      </c>
      <c r="V524" s="454" t="str">
        <f t="shared" si="3"/>
        <v>1</v>
      </c>
      <c r="W524" s="454" t="str">
        <f t="shared" si="782"/>
        <v>0</v>
      </c>
      <c r="X524" s="454" t="str">
        <f t="shared" si="736"/>
        <v>2</v>
      </c>
      <c r="Y524" s="456" t="str">
        <f t="shared" si="5"/>
        <v>FALSE</v>
      </c>
      <c r="Z524" s="456" t="str">
        <f t="shared" si="6"/>
        <v>FALSE</v>
      </c>
      <c r="AA524" s="457" t="str">
        <f t="shared" ref="AA524:AB524" si="856">1-I524</f>
        <v>0%</v>
      </c>
      <c r="AB524" s="457" t="str">
        <f t="shared" si="856"/>
        <v>0%</v>
      </c>
      <c r="AC524" s="456" t="str">
        <f t="shared" si="8"/>
        <v>2</v>
      </c>
      <c r="AD524" s="458" t="str">
        <f t="shared" si="738"/>
        <v>0</v>
      </c>
      <c r="AE524" s="458" t="str">
        <f t="shared" si="10"/>
        <v>1</v>
      </c>
      <c r="AF524" s="459" t="str">
        <f t="shared" si="784"/>
        <v>0</v>
      </c>
      <c r="AG524" s="460"/>
      <c r="AH524" s="14"/>
      <c r="AI524" s="14"/>
      <c r="AJ524" s="14"/>
      <c r="AK524" s="14"/>
      <c r="AL524" s="14"/>
      <c r="AM524" s="14"/>
      <c r="AN524" s="14"/>
      <c r="AO524" s="14"/>
      <c r="AP524" s="14"/>
      <c r="AQ524" s="14"/>
      <c r="AR524" s="14"/>
      <c r="AS524" s="14"/>
      <c r="AT524" s="14"/>
    </row>
    <row r="525">
      <c r="A525" s="442"/>
      <c r="B525" s="466">
        <v>4.0</v>
      </c>
      <c r="C525" s="475" t="s">
        <v>1183</v>
      </c>
      <c r="D525" s="476" t="s">
        <v>15</v>
      </c>
      <c r="E525" s="477" t="s">
        <v>36</v>
      </c>
      <c r="F525" s="477" t="s">
        <v>77</v>
      </c>
      <c r="G525" s="478">
        <v>2.0</v>
      </c>
      <c r="H525" s="478">
        <v>0.0</v>
      </c>
      <c r="I525" s="479">
        <v>1.0</v>
      </c>
      <c r="J525" s="479">
        <v>1.0</v>
      </c>
      <c r="K525" s="477" t="s">
        <v>188</v>
      </c>
      <c r="L525" s="477"/>
      <c r="M525" s="477">
        <v>3.0</v>
      </c>
      <c r="N525" s="477">
        <v>5.0</v>
      </c>
      <c r="O525" s="480" t="s">
        <v>1184</v>
      </c>
      <c r="P525" s="14"/>
      <c r="Q525" s="452" t="str">
        <f>MATCH($D525,Reference!$J$5:$J$9,0)</f>
        <v>2</v>
      </c>
      <c r="R525" s="452" t="str">
        <f>MATCH($E525,Reference!$J$26:$J$32,0)</f>
        <v>7</v>
      </c>
      <c r="S525" s="452" t="str">
        <f>MATCH($F525,Reference!$J$45:$J$54,0)</f>
        <v>10</v>
      </c>
      <c r="T525" s="453" t="str">
        <f>MATCH($K525,Reference!$J$37:$J$39,0)</f>
        <v>3</v>
      </c>
      <c r="U525" s="454" t="str">
        <f t="shared" si="735"/>
        <v>2</v>
      </c>
      <c r="V525" s="454" t="str">
        <f t="shared" si="3"/>
        <v>1</v>
      </c>
      <c r="W525" s="454" t="str">
        <f t="shared" si="782"/>
        <v>0</v>
      </c>
      <c r="X525" s="454" t="str">
        <f t="shared" si="736"/>
        <v>2</v>
      </c>
      <c r="Y525" s="456" t="str">
        <f t="shared" si="5"/>
        <v>FALSE</v>
      </c>
      <c r="Z525" s="456" t="str">
        <f t="shared" si="6"/>
        <v>FALSE</v>
      </c>
      <c r="AA525" s="457" t="str">
        <f t="shared" ref="AA525:AB525" si="857">1-I525</f>
        <v>0%</v>
      </c>
      <c r="AB525" s="457" t="str">
        <f t="shared" si="857"/>
        <v>0%</v>
      </c>
      <c r="AC525" s="456" t="str">
        <f t="shared" si="8"/>
        <v>2</v>
      </c>
      <c r="AD525" s="458" t="str">
        <f t="shared" si="738"/>
        <v>0</v>
      </c>
      <c r="AE525" s="458" t="str">
        <f t="shared" si="10"/>
        <v>1</v>
      </c>
      <c r="AF525" s="459" t="str">
        <f t="shared" si="784"/>
        <v>0</v>
      </c>
      <c r="AG525" s="460"/>
      <c r="AH525" s="14"/>
      <c r="AI525" s="14"/>
      <c r="AJ525" s="14"/>
      <c r="AK525" s="14"/>
      <c r="AL525" s="14"/>
      <c r="AM525" s="14"/>
      <c r="AN525" s="14"/>
      <c r="AO525" s="14"/>
      <c r="AP525" s="14"/>
      <c r="AQ525" s="14"/>
      <c r="AR525" s="14"/>
      <c r="AS525" s="14"/>
      <c r="AT525" s="14"/>
    </row>
    <row r="526">
      <c r="A526" s="682"/>
      <c r="B526" s="442">
        <v>4.0</v>
      </c>
      <c r="C526" s="482" t="s">
        <v>1185</v>
      </c>
      <c r="D526" s="483" t="s">
        <v>15</v>
      </c>
      <c r="E526" s="483" t="s">
        <v>33</v>
      </c>
      <c r="F526" s="484" t="s">
        <v>77</v>
      </c>
      <c r="G526" s="471">
        <v>2.0</v>
      </c>
      <c r="H526" s="471">
        <v>0.0</v>
      </c>
      <c r="I526" s="486">
        <v>1.0</v>
      </c>
      <c r="J526" s="486">
        <v>1.0</v>
      </c>
      <c r="K526" s="499" t="s">
        <v>188</v>
      </c>
      <c r="L526" s="499"/>
      <c r="M526" s="499">
        <v>3.0</v>
      </c>
      <c r="N526" s="499">
        <v>3.0</v>
      </c>
      <c r="O526" s="223" t="s">
        <v>492</v>
      </c>
      <c r="P526" s="14"/>
      <c r="Q526" s="452" t="str">
        <f>MATCH($D526,Reference!$J$5:$J$9,0)</f>
        <v>2</v>
      </c>
      <c r="R526" s="452" t="str">
        <f>MATCH($E526,Reference!$J$26:$J$32,0)</f>
        <v>2</v>
      </c>
      <c r="S526" s="452" t="str">
        <f>MATCH($F526,Reference!$J$45:$J$54,0)</f>
        <v>10</v>
      </c>
      <c r="T526" s="453" t="str">
        <f>MATCH($K526,Reference!$J$37:$J$39,0)</f>
        <v>3</v>
      </c>
      <c r="U526" s="454" t="str">
        <f t="shared" si="735"/>
        <v>2</v>
      </c>
      <c r="V526" s="454" t="str">
        <f t="shared" si="3"/>
        <v>1</v>
      </c>
      <c r="W526" s="454" t="str">
        <f t="shared" si="782"/>
        <v>0</v>
      </c>
      <c r="X526" s="454" t="str">
        <f t="shared" si="736"/>
        <v>2</v>
      </c>
      <c r="Y526" s="456" t="str">
        <f t="shared" si="5"/>
        <v>FALSE</v>
      </c>
      <c r="Z526" s="456" t="str">
        <f t="shared" si="6"/>
        <v>FALSE</v>
      </c>
      <c r="AA526" s="457" t="str">
        <f t="shared" ref="AA526:AB526" si="858">1-I526</f>
        <v>0%</v>
      </c>
      <c r="AB526" s="457" t="str">
        <f t="shared" si="858"/>
        <v>0%</v>
      </c>
      <c r="AC526" s="456" t="str">
        <f t="shared" si="8"/>
        <v>2</v>
      </c>
      <c r="AD526" s="458" t="str">
        <f t="shared" si="738"/>
        <v>0</v>
      </c>
      <c r="AE526" s="458" t="str">
        <f t="shared" si="10"/>
        <v>1</v>
      </c>
      <c r="AF526" s="459" t="str">
        <f t="shared" si="784"/>
        <v>0</v>
      </c>
      <c r="AG526" s="460"/>
      <c r="AH526" s="14"/>
      <c r="AI526" s="14"/>
      <c r="AJ526" s="14"/>
      <c r="AK526" s="14"/>
      <c r="AL526" s="14"/>
      <c r="AM526" s="14"/>
      <c r="AN526" s="14"/>
      <c r="AO526" s="14"/>
      <c r="AP526" s="14"/>
      <c r="AQ526" s="14"/>
      <c r="AR526" s="14"/>
      <c r="AS526" s="14"/>
      <c r="AT526" s="14"/>
    </row>
    <row r="527">
      <c r="A527" s="466"/>
      <c r="B527" s="442">
        <v>4.0</v>
      </c>
      <c r="C527" s="482" t="s">
        <v>1186</v>
      </c>
      <c r="D527" s="483" t="s">
        <v>15</v>
      </c>
      <c r="E527" s="483" t="s">
        <v>33</v>
      </c>
      <c r="F527" s="484" t="s">
        <v>77</v>
      </c>
      <c r="G527" s="471">
        <v>2.0</v>
      </c>
      <c r="H527" s="471">
        <v>0.0</v>
      </c>
      <c r="I527" s="486">
        <v>1.0</v>
      </c>
      <c r="J527" s="486">
        <v>1.0</v>
      </c>
      <c r="K527" s="499" t="s">
        <v>188</v>
      </c>
      <c r="L527" s="499"/>
      <c r="M527" s="499">
        <v>4.0</v>
      </c>
      <c r="N527" s="499">
        <v>3.0</v>
      </c>
      <c r="O527" s="223" t="s">
        <v>1100</v>
      </c>
      <c r="P527" s="14"/>
      <c r="Q527" s="452" t="str">
        <f>MATCH($D527,Reference!$J$5:$J$9,0)</f>
        <v>2</v>
      </c>
      <c r="R527" s="452" t="str">
        <f>MATCH($E527,Reference!$J$26:$J$32,0)</f>
        <v>2</v>
      </c>
      <c r="S527" s="452" t="str">
        <f>MATCH($F527,Reference!$J$45:$J$54,0)</f>
        <v>10</v>
      </c>
      <c r="T527" s="453" t="str">
        <f>MATCH($K527,Reference!$J$37:$J$39,0)</f>
        <v>3</v>
      </c>
      <c r="U527" s="454" t="str">
        <f t="shared" si="735"/>
        <v>2</v>
      </c>
      <c r="V527" s="454" t="str">
        <f t="shared" si="3"/>
        <v>1</v>
      </c>
      <c r="W527" s="454" t="str">
        <f t="shared" si="782"/>
        <v>0</v>
      </c>
      <c r="X527" s="454" t="str">
        <f t="shared" si="736"/>
        <v>2</v>
      </c>
      <c r="Y527" s="456" t="str">
        <f t="shared" si="5"/>
        <v>FALSE</v>
      </c>
      <c r="Z527" s="456" t="str">
        <f t="shared" si="6"/>
        <v>FALSE</v>
      </c>
      <c r="AA527" s="457" t="str">
        <f t="shared" ref="AA527:AB527" si="859">1-I527</f>
        <v>0%</v>
      </c>
      <c r="AB527" s="457" t="str">
        <f t="shared" si="859"/>
        <v>0%</v>
      </c>
      <c r="AC527" s="456" t="str">
        <f t="shared" si="8"/>
        <v>2</v>
      </c>
      <c r="AD527" s="458" t="str">
        <f t="shared" si="738"/>
        <v>0</v>
      </c>
      <c r="AE527" s="458" t="str">
        <f t="shared" si="10"/>
        <v>1</v>
      </c>
      <c r="AF527" s="459" t="str">
        <f t="shared" si="784"/>
        <v>0</v>
      </c>
      <c r="AG527" s="460"/>
      <c r="AH527" s="14"/>
      <c r="AI527" s="14"/>
      <c r="AJ527" s="14"/>
      <c r="AK527" s="14"/>
      <c r="AL527" s="14"/>
      <c r="AM527" s="14"/>
      <c r="AN527" s="14"/>
      <c r="AO527" s="14"/>
      <c r="AP527" s="14"/>
      <c r="AQ527" s="14"/>
      <c r="AR527" s="14"/>
      <c r="AS527" s="14"/>
      <c r="AT527" s="14"/>
    </row>
    <row r="528">
      <c r="A528" s="442"/>
      <c r="B528" s="466">
        <v>4.0</v>
      </c>
      <c r="C528" s="475" t="s">
        <v>1187</v>
      </c>
      <c r="D528" s="476" t="s">
        <v>15</v>
      </c>
      <c r="E528" s="477" t="s">
        <v>36</v>
      </c>
      <c r="F528" s="477" t="s">
        <v>77</v>
      </c>
      <c r="G528" s="478">
        <v>2.0</v>
      </c>
      <c r="H528" s="478">
        <v>0.0</v>
      </c>
      <c r="I528" s="479">
        <v>1.0</v>
      </c>
      <c r="J528" s="479">
        <v>1.0</v>
      </c>
      <c r="K528" s="477" t="s">
        <v>188</v>
      </c>
      <c r="L528" s="477"/>
      <c r="M528" s="477">
        <v>1.0</v>
      </c>
      <c r="N528" s="477">
        <v>8.0</v>
      </c>
      <c r="O528" s="480" t="s">
        <v>1188</v>
      </c>
      <c r="P528" s="14"/>
      <c r="Q528" s="452" t="str">
        <f>MATCH($D528,Reference!$J$5:$J$9,0)</f>
        <v>2</v>
      </c>
      <c r="R528" s="452" t="str">
        <f>MATCH($E528,Reference!$J$26:$J$32,0)</f>
        <v>7</v>
      </c>
      <c r="S528" s="452" t="str">
        <f>MATCH($F528,Reference!$J$45:$J$54,0)</f>
        <v>10</v>
      </c>
      <c r="T528" s="453" t="str">
        <f>MATCH($K528,Reference!$J$37:$J$39,0)</f>
        <v>3</v>
      </c>
      <c r="U528" s="454" t="str">
        <f t="shared" si="735"/>
        <v>2</v>
      </c>
      <c r="V528" s="454" t="str">
        <f t="shared" si="3"/>
        <v>1</v>
      </c>
      <c r="W528" s="454" t="str">
        <f t="shared" si="782"/>
        <v>0</v>
      </c>
      <c r="X528" s="454" t="str">
        <f t="shared" si="736"/>
        <v>2</v>
      </c>
      <c r="Y528" s="456" t="str">
        <f t="shared" si="5"/>
        <v>FALSE</v>
      </c>
      <c r="Z528" s="456" t="str">
        <f t="shared" si="6"/>
        <v>FALSE</v>
      </c>
      <c r="AA528" s="457" t="str">
        <f t="shared" ref="AA528:AB528" si="860">1-I528</f>
        <v>0%</v>
      </c>
      <c r="AB528" s="457" t="str">
        <f t="shared" si="860"/>
        <v>0%</v>
      </c>
      <c r="AC528" s="456" t="str">
        <f t="shared" si="8"/>
        <v>2</v>
      </c>
      <c r="AD528" s="458" t="str">
        <f t="shared" si="738"/>
        <v>0</v>
      </c>
      <c r="AE528" s="458" t="str">
        <f t="shared" si="10"/>
        <v>1</v>
      </c>
      <c r="AF528" s="459" t="str">
        <f t="shared" si="784"/>
        <v>0</v>
      </c>
      <c r="AG528" s="460"/>
      <c r="AH528" s="14"/>
      <c r="AI528" s="14"/>
      <c r="AJ528" s="14"/>
      <c r="AK528" s="14"/>
      <c r="AL528" s="14"/>
      <c r="AM528" s="14"/>
      <c r="AN528" s="14"/>
      <c r="AO528" s="14"/>
      <c r="AP528" s="14"/>
      <c r="AQ528" s="14"/>
      <c r="AR528" s="14"/>
      <c r="AS528" s="14"/>
      <c r="AT528" s="14"/>
    </row>
    <row r="529">
      <c r="A529" s="442"/>
      <c r="B529" s="463">
        <v>5.0</v>
      </c>
      <c r="C529" s="538" t="s">
        <v>1189</v>
      </c>
      <c r="D529" s="539" t="s">
        <v>15</v>
      </c>
      <c r="E529" s="539" t="s">
        <v>35</v>
      </c>
      <c r="F529" s="540" t="s">
        <v>77</v>
      </c>
      <c r="G529" s="541">
        <v>2.0</v>
      </c>
      <c r="H529" s="541">
        <v>0.0</v>
      </c>
      <c r="I529" s="494">
        <v>1.0</v>
      </c>
      <c r="J529" s="494">
        <v>1.0</v>
      </c>
      <c r="K529" s="542" t="s">
        <v>188</v>
      </c>
      <c r="L529" s="542" t="s">
        <v>198</v>
      </c>
      <c r="M529" s="542">
        <v>3.0</v>
      </c>
      <c r="N529" s="542">
        <v>3.0</v>
      </c>
      <c r="O529" s="543" t="s">
        <v>1190</v>
      </c>
      <c r="P529" s="14"/>
      <c r="Q529" s="452" t="str">
        <f>MATCH($D529,Reference!$J$5:$J$9,0)</f>
        <v>2</v>
      </c>
      <c r="R529" s="452" t="str">
        <f>MATCH($E529,Reference!$J$26:$J$32,0)</f>
        <v>5</v>
      </c>
      <c r="S529" s="452" t="str">
        <f>MATCH($F529,Reference!$J$45:$J$54,0)</f>
        <v>10</v>
      </c>
      <c r="T529" s="453" t="str">
        <f>MATCH($K529,Reference!$J$37:$J$39,0)</f>
        <v>3</v>
      </c>
      <c r="U529" s="454" t="str">
        <f t="shared" si="735"/>
        <v>2</v>
      </c>
      <c r="V529" s="454" t="str">
        <f t="shared" si="3"/>
        <v>1</v>
      </c>
      <c r="W529" s="454" t="str">
        <f t="shared" si="782"/>
        <v>0</v>
      </c>
      <c r="X529" s="454" t="str">
        <f t="shared" si="736"/>
        <v>2</v>
      </c>
      <c r="Y529" s="456" t="str">
        <f t="shared" si="5"/>
        <v>FALSE</v>
      </c>
      <c r="Z529" s="456" t="str">
        <f t="shared" si="6"/>
        <v>FALSE</v>
      </c>
      <c r="AA529" s="457" t="str">
        <f t="shared" ref="AA529:AB529" si="861">1-I529</f>
        <v>0%</v>
      </c>
      <c r="AB529" s="457" t="str">
        <f t="shared" si="861"/>
        <v>0%</v>
      </c>
      <c r="AC529" s="456" t="str">
        <f t="shared" si="8"/>
        <v>2</v>
      </c>
      <c r="AD529" s="458" t="str">
        <f t="shared" si="738"/>
        <v>0</v>
      </c>
      <c r="AE529" s="458" t="str">
        <f t="shared" si="10"/>
        <v>1</v>
      </c>
      <c r="AF529" s="459" t="str">
        <f t="shared" si="784"/>
        <v>0</v>
      </c>
      <c r="AG529" s="460"/>
      <c r="AH529" s="14"/>
      <c r="AI529" s="14"/>
      <c r="AJ529" s="14"/>
      <c r="AK529" s="14"/>
      <c r="AL529" s="14"/>
      <c r="AM529" s="14"/>
      <c r="AN529" s="14"/>
      <c r="AO529" s="14"/>
      <c r="AP529" s="14"/>
      <c r="AQ529" s="14"/>
      <c r="AR529" s="14"/>
      <c r="AS529" s="14"/>
      <c r="AT529" s="14"/>
    </row>
    <row r="530">
      <c r="A530" s="442"/>
      <c r="B530" s="469">
        <v>5.0</v>
      </c>
      <c r="C530" s="501" t="s">
        <v>1191</v>
      </c>
      <c r="D530" s="502" t="s">
        <v>15</v>
      </c>
      <c r="E530" s="502" t="s">
        <v>47</v>
      </c>
      <c r="F530" s="503" t="s">
        <v>77</v>
      </c>
      <c r="G530" s="504" t="str">
        <f>IF(Summary!$Y$27&gt;=VLOOKUP(C530,Reference!$N$6:$O$36,2,0),2,0)</f>
        <v>2</v>
      </c>
      <c r="H530" s="504">
        <v>0.0</v>
      </c>
      <c r="I530" s="505">
        <v>1.0</v>
      </c>
      <c r="J530" s="505"/>
      <c r="K530" s="506" t="s">
        <v>188</v>
      </c>
      <c r="L530" s="506"/>
      <c r="M530" s="506">
        <v>5.0</v>
      </c>
      <c r="N530" s="506">
        <v>4.0</v>
      </c>
      <c r="O530" s="507" t="s">
        <v>1192</v>
      </c>
      <c r="P530" s="14"/>
      <c r="Q530" s="452" t="str">
        <f>MATCH($D530,Reference!$J$5:$J$9,0)</f>
        <v>2</v>
      </c>
      <c r="R530" s="452" t="str">
        <f>MATCH($E530,Reference!$J$26:$J$32,0)</f>
        <v>6</v>
      </c>
      <c r="S530" s="452" t="str">
        <f>MATCH($F530,Reference!$J$45:$J$54,0)</f>
        <v>10</v>
      </c>
      <c r="T530" s="453" t="str">
        <f>MATCH($K530,Reference!$J$37:$J$39,0)</f>
        <v>3</v>
      </c>
      <c r="U530" s="454" t="str">
        <f t="shared" si="735"/>
        <v>2</v>
      </c>
      <c r="V530" s="454" t="str">
        <f t="shared" si="3"/>
        <v>1</v>
      </c>
      <c r="W530" s="454" t="str">
        <f t="shared" si="782"/>
        <v>0</v>
      </c>
      <c r="X530" s="454" t="str">
        <f t="shared" si="736"/>
        <v>2</v>
      </c>
      <c r="Y530" s="456" t="str">
        <f t="shared" si="5"/>
        <v>FALSE</v>
      </c>
      <c r="Z530" s="456" t="str">
        <f t="shared" si="6"/>
        <v>FALSE</v>
      </c>
      <c r="AA530" s="457" t="str">
        <f t="shared" ref="AA530:AB530" si="862">1-I530</f>
        <v>0%</v>
      </c>
      <c r="AB530" s="457" t="str">
        <f t="shared" si="862"/>
        <v>100%</v>
      </c>
      <c r="AC530" s="456" t="str">
        <f t="shared" si="8"/>
        <v>2</v>
      </c>
      <c r="AD530" s="458" t="str">
        <f t="shared" si="738"/>
        <v>0</v>
      </c>
      <c r="AE530" s="458" t="str">
        <f t="shared" si="10"/>
        <v>1</v>
      </c>
      <c r="AF530" s="459" t="str">
        <f t="shared" si="784"/>
        <v>0</v>
      </c>
      <c r="AG530" s="460"/>
      <c r="AH530" s="14"/>
      <c r="AI530" s="14"/>
      <c r="AJ530" s="14"/>
      <c r="AK530" s="14"/>
      <c r="AL530" s="14"/>
      <c r="AM530" s="14"/>
      <c r="AN530" s="14"/>
      <c r="AO530" s="14"/>
      <c r="AP530" s="14"/>
      <c r="AQ530" s="14"/>
      <c r="AR530" s="14"/>
      <c r="AS530" s="14"/>
      <c r="AT530" s="14"/>
    </row>
    <row r="531">
      <c r="A531" s="442"/>
      <c r="B531" s="466">
        <v>5.0</v>
      </c>
      <c r="C531" s="475" t="s">
        <v>1193</v>
      </c>
      <c r="D531" s="476" t="s">
        <v>15</v>
      </c>
      <c r="E531" s="477" t="s">
        <v>36</v>
      </c>
      <c r="F531" s="477" t="s">
        <v>77</v>
      </c>
      <c r="G531" s="478">
        <v>2.0</v>
      </c>
      <c r="H531" s="478">
        <v>0.0</v>
      </c>
      <c r="I531" s="479">
        <v>1.0</v>
      </c>
      <c r="J531" s="479">
        <v>1.0</v>
      </c>
      <c r="K531" s="477" t="s">
        <v>188</v>
      </c>
      <c r="L531" s="477" t="s">
        <v>198</v>
      </c>
      <c r="M531" s="477">
        <v>5.0</v>
      </c>
      <c r="N531" s="477">
        <v>5.0</v>
      </c>
      <c r="O531" s="480" t="s">
        <v>1194</v>
      </c>
      <c r="P531" s="14"/>
      <c r="Q531" s="452" t="str">
        <f>MATCH($D531,Reference!$J$5:$J$9,0)</f>
        <v>2</v>
      </c>
      <c r="R531" s="452" t="str">
        <f>MATCH($E531,Reference!$J$26:$J$32,0)</f>
        <v>7</v>
      </c>
      <c r="S531" s="452" t="str">
        <f>MATCH($F531,Reference!$J$45:$J$54,0)</f>
        <v>10</v>
      </c>
      <c r="T531" s="453" t="str">
        <f>MATCH($K531,Reference!$J$37:$J$39,0)</f>
        <v>3</v>
      </c>
      <c r="U531" s="454" t="str">
        <f t="shared" si="735"/>
        <v>2</v>
      </c>
      <c r="V531" s="454" t="str">
        <f t="shared" si="3"/>
        <v>1</v>
      </c>
      <c r="W531" s="454" t="str">
        <f t="shared" si="782"/>
        <v>0</v>
      </c>
      <c r="X531" s="454" t="str">
        <f t="shared" si="736"/>
        <v>2</v>
      </c>
      <c r="Y531" s="456" t="str">
        <f t="shared" si="5"/>
        <v>FALSE</v>
      </c>
      <c r="Z531" s="456" t="str">
        <f t="shared" si="6"/>
        <v>FALSE</v>
      </c>
      <c r="AA531" s="457" t="str">
        <f t="shared" ref="AA531:AB531" si="863">1-I531</f>
        <v>0%</v>
      </c>
      <c r="AB531" s="457" t="str">
        <f t="shared" si="863"/>
        <v>0%</v>
      </c>
      <c r="AC531" s="456" t="str">
        <f t="shared" si="8"/>
        <v>2</v>
      </c>
      <c r="AD531" s="458" t="str">
        <f t="shared" si="738"/>
        <v>0</v>
      </c>
      <c r="AE531" s="458" t="str">
        <f t="shared" si="10"/>
        <v>1</v>
      </c>
      <c r="AF531" s="459" t="str">
        <f t="shared" si="784"/>
        <v>0</v>
      </c>
      <c r="AG531" s="460"/>
      <c r="AH531" s="14"/>
      <c r="AI531" s="14"/>
      <c r="AJ531" s="14"/>
      <c r="AK531" s="14"/>
      <c r="AL531" s="14"/>
      <c r="AM531" s="14"/>
      <c r="AN531" s="14"/>
      <c r="AO531" s="14"/>
      <c r="AP531" s="14"/>
      <c r="AQ531" s="14"/>
      <c r="AR531" s="14"/>
      <c r="AS531" s="14"/>
      <c r="AT531" s="14"/>
    </row>
    <row r="532">
      <c r="A532" s="463"/>
      <c r="B532" s="442">
        <v>5.0</v>
      </c>
      <c r="C532" s="482" t="s">
        <v>1195</v>
      </c>
      <c r="D532" s="483" t="s">
        <v>15</v>
      </c>
      <c r="E532" s="483" t="s">
        <v>33</v>
      </c>
      <c r="F532" s="484" t="s">
        <v>77</v>
      </c>
      <c r="G532" s="471">
        <v>2.0</v>
      </c>
      <c r="H532" s="485">
        <v>0.0</v>
      </c>
      <c r="I532" s="486">
        <v>1.0</v>
      </c>
      <c r="J532" s="486">
        <v>1.0</v>
      </c>
      <c r="K532" s="499" t="s">
        <v>188</v>
      </c>
      <c r="L532" s="499"/>
      <c r="M532" s="499">
        <v>3.0</v>
      </c>
      <c r="N532" s="499">
        <v>6.0</v>
      </c>
      <c r="O532" s="223" t="s">
        <v>189</v>
      </c>
      <c r="P532" s="14"/>
      <c r="Q532" s="452" t="str">
        <f>MATCH($D532,Reference!$J$5:$J$9,0)</f>
        <v>2</v>
      </c>
      <c r="R532" s="452" t="str">
        <f>MATCH($E532,Reference!$J$26:$J$32,0)</f>
        <v>2</v>
      </c>
      <c r="S532" s="452" t="str">
        <f>MATCH($F532,Reference!$J$45:$J$54,0)</f>
        <v>10</v>
      </c>
      <c r="T532" s="453" t="str">
        <f>MATCH($K532,Reference!$J$37:$J$39,0)</f>
        <v>3</v>
      </c>
      <c r="U532" s="454" t="str">
        <f t="shared" si="735"/>
        <v>2</v>
      </c>
      <c r="V532" s="454" t="str">
        <f t="shared" si="3"/>
        <v>1</v>
      </c>
      <c r="W532" s="454" t="str">
        <f t="shared" si="782"/>
        <v>0</v>
      </c>
      <c r="X532" s="454" t="str">
        <f t="shared" si="736"/>
        <v>2</v>
      </c>
      <c r="Y532" s="456" t="str">
        <f t="shared" si="5"/>
        <v>FALSE</v>
      </c>
      <c r="Z532" s="456" t="str">
        <f t="shared" si="6"/>
        <v>FALSE</v>
      </c>
      <c r="AA532" s="457" t="str">
        <f t="shared" ref="AA532:AB532" si="864">1-I532</f>
        <v>0%</v>
      </c>
      <c r="AB532" s="457" t="str">
        <f t="shared" si="864"/>
        <v>0%</v>
      </c>
      <c r="AC532" s="456" t="str">
        <f t="shared" si="8"/>
        <v>2</v>
      </c>
      <c r="AD532" s="458" t="str">
        <f t="shared" si="738"/>
        <v>0</v>
      </c>
      <c r="AE532" s="458" t="str">
        <f t="shared" si="10"/>
        <v>1</v>
      </c>
      <c r="AF532" s="459" t="str">
        <f t="shared" si="784"/>
        <v>0</v>
      </c>
      <c r="AG532" s="460"/>
      <c r="AH532" s="14"/>
      <c r="AI532" s="14"/>
      <c r="AJ532" s="14"/>
      <c r="AK532" s="14"/>
      <c r="AL532" s="14"/>
      <c r="AM532" s="14"/>
      <c r="AN532" s="14"/>
      <c r="AO532" s="14"/>
      <c r="AP532" s="14"/>
      <c r="AQ532" s="14"/>
      <c r="AR532" s="14"/>
      <c r="AS532" s="14"/>
      <c r="AT532" s="14"/>
    </row>
    <row r="533">
      <c r="A533" s="442"/>
      <c r="B533" s="466">
        <v>5.0</v>
      </c>
      <c r="C533" s="475" t="s">
        <v>1196</v>
      </c>
      <c r="D533" s="476" t="s">
        <v>15</v>
      </c>
      <c r="E533" s="477" t="s">
        <v>36</v>
      </c>
      <c r="F533" s="477" t="s">
        <v>77</v>
      </c>
      <c r="G533" s="478">
        <v>2.0</v>
      </c>
      <c r="H533" s="478">
        <v>0.0</v>
      </c>
      <c r="I533" s="479">
        <v>1.0</v>
      </c>
      <c r="J533" s="479">
        <v>1.0</v>
      </c>
      <c r="K533" s="477" t="s">
        <v>188</v>
      </c>
      <c r="L533" s="477"/>
      <c r="M533" s="477">
        <v>4.0</v>
      </c>
      <c r="N533" s="477">
        <v>4.0</v>
      </c>
      <c r="O533" s="480" t="s">
        <v>1197</v>
      </c>
      <c r="P533" s="14"/>
      <c r="Q533" s="452" t="str">
        <f>MATCH($D533,Reference!$J$5:$J$9,0)</f>
        <v>2</v>
      </c>
      <c r="R533" s="452" t="str">
        <f>MATCH($E533,Reference!$J$26:$J$32,0)</f>
        <v>7</v>
      </c>
      <c r="S533" s="452" t="str">
        <f>MATCH($F533,Reference!$J$45:$J$54,0)</f>
        <v>10</v>
      </c>
      <c r="T533" s="453" t="str">
        <f>MATCH($K533,Reference!$J$37:$J$39,0)</f>
        <v>3</v>
      </c>
      <c r="U533" s="454" t="str">
        <f t="shared" si="735"/>
        <v>2</v>
      </c>
      <c r="V533" s="454" t="str">
        <f t="shared" si="3"/>
        <v>1</v>
      </c>
      <c r="W533" s="454" t="str">
        <f t="shared" si="782"/>
        <v>0</v>
      </c>
      <c r="X533" s="454" t="str">
        <f t="shared" si="736"/>
        <v>2</v>
      </c>
      <c r="Y533" s="456" t="str">
        <f t="shared" si="5"/>
        <v>FALSE</v>
      </c>
      <c r="Z533" s="456" t="str">
        <f t="shared" si="6"/>
        <v>FALSE</v>
      </c>
      <c r="AA533" s="457" t="str">
        <f t="shared" ref="AA533:AB533" si="865">1-I533</f>
        <v>0%</v>
      </c>
      <c r="AB533" s="457" t="str">
        <f t="shared" si="865"/>
        <v>0%</v>
      </c>
      <c r="AC533" s="456" t="str">
        <f t="shared" si="8"/>
        <v>2</v>
      </c>
      <c r="AD533" s="458" t="str">
        <f t="shared" si="738"/>
        <v>0</v>
      </c>
      <c r="AE533" s="458" t="str">
        <f t="shared" si="10"/>
        <v>1</v>
      </c>
      <c r="AF533" s="459" t="str">
        <f t="shared" si="784"/>
        <v>0</v>
      </c>
      <c r="AG533" s="460"/>
      <c r="AH533" s="14"/>
      <c r="AI533" s="14"/>
      <c r="AJ533" s="14"/>
      <c r="AK533" s="14"/>
      <c r="AL533" s="14"/>
      <c r="AM533" s="14"/>
      <c r="AN533" s="14"/>
      <c r="AO533" s="14"/>
      <c r="AP533" s="14"/>
      <c r="AQ533" s="14"/>
      <c r="AR533" s="14"/>
      <c r="AS533" s="14"/>
      <c r="AT533" s="14"/>
    </row>
    <row r="534">
      <c r="A534" s="442"/>
      <c r="B534" s="466">
        <v>5.0</v>
      </c>
      <c r="C534" s="475" t="s">
        <v>1198</v>
      </c>
      <c r="D534" s="476" t="s">
        <v>15</v>
      </c>
      <c r="E534" s="477" t="s">
        <v>36</v>
      </c>
      <c r="F534" s="477" t="s">
        <v>77</v>
      </c>
      <c r="G534" s="478">
        <v>2.0</v>
      </c>
      <c r="H534" s="478">
        <v>0.0</v>
      </c>
      <c r="I534" s="479">
        <v>1.0</v>
      </c>
      <c r="J534" s="479">
        <v>1.0</v>
      </c>
      <c r="K534" s="476" t="s">
        <v>188</v>
      </c>
      <c r="L534" s="477" t="s">
        <v>238</v>
      </c>
      <c r="M534" s="477">
        <v>4.0</v>
      </c>
      <c r="N534" s="478">
        <v>3.0</v>
      </c>
      <c r="O534" s="480" t="s">
        <v>1199</v>
      </c>
      <c r="P534" s="14"/>
      <c r="Q534" s="452" t="str">
        <f>MATCH($D534,Reference!$J$5:$J$9,0)</f>
        <v>2</v>
      </c>
      <c r="R534" s="452" t="str">
        <f>MATCH($E534,Reference!$J$26:$J$32,0)</f>
        <v>7</v>
      </c>
      <c r="S534" s="452" t="str">
        <f>MATCH($F534,Reference!$J$45:$J$54,0)</f>
        <v>10</v>
      </c>
      <c r="T534" s="453" t="str">
        <f>MATCH($K534,Reference!$J$37:$J$39,0)</f>
        <v>3</v>
      </c>
      <c r="U534" s="454" t="str">
        <f t="shared" si="735"/>
        <v>2</v>
      </c>
      <c r="V534" s="454" t="str">
        <f t="shared" si="3"/>
        <v>1</v>
      </c>
      <c r="W534" s="454" t="str">
        <f t="shared" si="782"/>
        <v>0</v>
      </c>
      <c r="X534" s="454" t="str">
        <f t="shared" si="736"/>
        <v>2</v>
      </c>
      <c r="Y534" s="456" t="str">
        <f t="shared" si="5"/>
        <v>FALSE</v>
      </c>
      <c r="Z534" s="456" t="str">
        <f t="shared" si="6"/>
        <v>FALSE</v>
      </c>
      <c r="AA534" s="457" t="str">
        <f t="shared" ref="AA534:AB534" si="866">1-I534</f>
        <v>0%</v>
      </c>
      <c r="AB534" s="457" t="str">
        <f t="shared" si="866"/>
        <v>0%</v>
      </c>
      <c r="AC534" s="456" t="str">
        <f t="shared" si="8"/>
        <v>2</v>
      </c>
      <c r="AD534" s="458" t="str">
        <f t="shared" si="738"/>
        <v>0</v>
      </c>
      <c r="AE534" s="458" t="str">
        <f t="shared" si="10"/>
        <v>1</v>
      </c>
      <c r="AF534" s="459" t="str">
        <f t="shared" si="784"/>
        <v>0</v>
      </c>
      <c r="AG534" s="460"/>
      <c r="AH534" s="14"/>
      <c r="AI534" s="14"/>
      <c r="AJ534" s="14"/>
      <c r="AK534" s="14"/>
      <c r="AL534" s="14"/>
      <c r="AM534" s="14"/>
      <c r="AN534" s="14"/>
      <c r="AO534" s="14"/>
      <c r="AP534" s="14"/>
      <c r="AQ534" s="14"/>
      <c r="AR534" s="14"/>
      <c r="AS534" s="14"/>
      <c r="AT534" s="14"/>
    </row>
    <row r="535">
      <c r="A535" s="442"/>
      <c r="B535" s="466">
        <v>5.0</v>
      </c>
      <c r="C535" s="475" t="s">
        <v>1200</v>
      </c>
      <c r="D535" s="476" t="s">
        <v>15</v>
      </c>
      <c r="E535" s="477" t="s">
        <v>36</v>
      </c>
      <c r="F535" s="477" t="s">
        <v>77</v>
      </c>
      <c r="G535" s="478">
        <v>2.0</v>
      </c>
      <c r="H535" s="478">
        <v>0.0</v>
      </c>
      <c r="I535" s="479">
        <v>1.0</v>
      </c>
      <c r="J535" s="479">
        <v>1.0</v>
      </c>
      <c r="K535" s="477" t="s">
        <v>188</v>
      </c>
      <c r="L535" s="477"/>
      <c r="M535" s="477">
        <v>5.0</v>
      </c>
      <c r="N535" s="477">
        <v>6.0</v>
      </c>
      <c r="O535" s="480"/>
      <c r="P535" s="14"/>
      <c r="Q535" s="452" t="str">
        <f>MATCH($D535,Reference!$J$5:$J$9,0)</f>
        <v>2</v>
      </c>
      <c r="R535" s="452" t="str">
        <f>MATCH($E535,Reference!$J$26:$J$32,0)</f>
        <v>7</v>
      </c>
      <c r="S535" s="452" t="str">
        <f>MATCH($F535,Reference!$J$45:$J$54,0)</f>
        <v>10</v>
      </c>
      <c r="T535" s="453" t="str">
        <f>MATCH($K535,Reference!$J$37:$J$39,0)</f>
        <v>3</v>
      </c>
      <c r="U535" s="454" t="str">
        <f t="shared" si="735"/>
        <v>2</v>
      </c>
      <c r="V535" s="454" t="str">
        <f t="shared" si="3"/>
        <v>1</v>
      </c>
      <c r="W535" s="454" t="str">
        <f t="shared" si="782"/>
        <v>0</v>
      </c>
      <c r="X535" s="454" t="str">
        <f t="shared" si="736"/>
        <v>2</v>
      </c>
      <c r="Y535" s="456" t="str">
        <f t="shared" si="5"/>
        <v>FALSE</v>
      </c>
      <c r="Z535" s="456" t="str">
        <f t="shared" si="6"/>
        <v>FALSE</v>
      </c>
      <c r="AA535" s="457" t="str">
        <f t="shared" ref="AA535:AB535" si="867">1-I535</f>
        <v>0%</v>
      </c>
      <c r="AB535" s="457" t="str">
        <f t="shared" si="867"/>
        <v>0%</v>
      </c>
      <c r="AC535" s="456" t="str">
        <f t="shared" si="8"/>
        <v>2</v>
      </c>
      <c r="AD535" s="458" t="str">
        <f t="shared" si="738"/>
        <v>0</v>
      </c>
      <c r="AE535" s="458" t="str">
        <f t="shared" si="10"/>
        <v>1</v>
      </c>
      <c r="AF535" s="459" t="str">
        <f t="shared" si="784"/>
        <v>0</v>
      </c>
      <c r="AG535" s="460"/>
      <c r="AH535" s="14"/>
      <c r="AI535" s="14"/>
      <c r="AJ535" s="14"/>
      <c r="AK535" s="14"/>
      <c r="AL535" s="14"/>
      <c r="AM535" s="14"/>
      <c r="AN535" s="14"/>
      <c r="AO535" s="14"/>
      <c r="AP535" s="14"/>
      <c r="AQ535" s="14"/>
      <c r="AR535" s="14"/>
      <c r="AS535" s="14"/>
      <c r="AT535" s="14"/>
    </row>
    <row r="536">
      <c r="A536" s="682"/>
      <c r="B536" s="463">
        <v>5.0</v>
      </c>
      <c r="C536" s="538" t="s">
        <v>1201</v>
      </c>
      <c r="D536" s="539" t="s">
        <v>15</v>
      </c>
      <c r="E536" s="539" t="s">
        <v>35</v>
      </c>
      <c r="F536" s="540" t="s">
        <v>77</v>
      </c>
      <c r="G536" s="541">
        <v>2.0</v>
      </c>
      <c r="H536" s="541">
        <v>0.0</v>
      </c>
      <c r="I536" s="494">
        <v>1.0</v>
      </c>
      <c r="J536" s="494">
        <v>1.0</v>
      </c>
      <c r="K536" s="542" t="s">
        <v>188</v>
      </c>
      <c r="L536" s="542" t="s">
        <v>660</v>
      </c>
      <c r="M536" s="542">
        <v>7.0</v>
      </c>
      <c r="N536" s="542">
        <v>4.0</v>
      </c>
      <c r="O536" s="543"/>
      <c r="P536" s="14"/>
      <c r="Q536" s="452" t="str">
        <f>MATCH($D536,Reference!$J$5:$J$9,0)</f>
        <v>2</v>
      </c>
      <c r="R536" s="452" t="str">
        <f>MATCH($E536,Reference!$J$26:$J$32,0)</f>
        <v>5</v>
      </c>
      <c r="S536" s="452" t="str">
        <f>MATCH($F536,Reference!$J$45:$J$54,0)</f>
        <v>10</v>
      </c>
      <c r="T536" s="453" t="str">
        <f>MATCH($K536,Reference!$J$37:$J$39,0)</f>
        <v>3</v>
      </c>
      <c r="U536" s="454" t="str">
        <f t="shared" si="735"/>
        <v>2</v>
      </c>
      <c r="V536" s="454" t="str">
        <f t="shared" si="3"/>
        <v>1</v>
      </c>
      <c r="W536" s="454" t="str">
        <f t="shared" si="782"/>
        <v>0</v>
      </c>
      <c r="X536" s="454" t="str">
        <f t="shared" si="736"/>
        <v>2</v>
      </c>
      <c r="Y536" s="456" t="str">
        <f t="shared" si="5"/>
        <v>FALSE</v>
      </c>
      <c r="Z536" s="456" t="str">
        <f t="shared" si="6"/>
        <v>FALSE</v>
      </c>
      <c r="AA536" s="457" t="str">
        <f t="shared" ref="AA536:AB536" si="868">1-I536</f>
        <v>0%</v>
      </c>
      <c r="AB536" s="457" t="str">
        <f t="shared" si="868"/>
        <v>0%</v>
      </c>
      <c r="AC536" s="456" t="str">
        <f t="shared" si="8"/>
        <v>2</v>
      </c>
      <c r="AD536" s="458" t="str">
        <f t="shared" si="738"/>
        <v>0</v>
      </c>
      <c r="AE536" s="458" t="str">
        <f t="shared" si="10"/>
        <v>1</v>
      </c>
      <c r="AF536" s="459" t="str">
        <f t="shared" si="784"/>
        <v>0</v>
      </c>
      <c r="AG536" s="460"/>
      <c r="AH536" s="14"/>
      <c r="AI536" s="14"/>
      <c r="AJ536" s="14"/>
      <c r="AK536" s="14"/>
      <c r="AL536" s="14"/>
      <c r="AM536" s="14"/>
      <c r="AN536" s="14"/>
      <c r="AO536" s="14"/>
      <c r="AP536" s="14"/>
      <c r="AQ536" s="14"/>
      <c r="AR536" s="14"/>
      <c r="AS536" s="14"/>
      <c r="AT536" s="14"/>
    </row>
    <row r="537">
      <c r="A537" s="442"/>
      <c r="B537" s="442">
        <v>5.0</v>
      </c>
      <c r="C537" s="482" t="s">
        <v>1202</v>
      </c>
      <c r="D537" s="483" t="s">
        <v>15</v>
      </c>
      <c r="E537" s="483" t="s">
        <v>33</v>
      </c>
      <c r="F537" s="484" t="s">
        <v>77</v>
      </c>
      <c r="G537" s="471">
        <v>2.0</v>
      </c>
      <c r="H537" s="485">
        <v>0.0</v>
      </c>
      <c r="I537" s="486">
        <v>1.0</v>
      </c>
      <c r="J537" s="486">
        <v>1.0</v>
      </c>
      <c r="K537" s="499" t="s">
        <v>188</v>
      </c>
      <c r="L537" s="499"/>
      <c r="M537" s="499">
        <v>4.0</v>
      </c>
      <c r="N537" s="499">
        <v>4.0</v>
      </c>
      <c r="O537" s="223" t="s">
        <v>1203</v>
      </c>
      <c r="P537" s="14"/>
      <c r="Q537" s="452" t="str">
        <f>MATCH($D537,Reference!$J$5:$J$9,0)</f>
        <v>2</v>
      </c>
      <c r="R537" s="452" t="str">
        <f>MATCH($E537,Reference!$J$26:$J$32,0)</f>
        <v>2</v>
      </c>
      <c r="S537" s="452" t="str">
        <f>MATCH($F537,Reference!$J$45:$J$54,0)</f>
        <v>10</v>
      </c>
      <c r="T537" s="453" t="str">
        <f>MATCH($K537,Reference!$J$37:$J$39,0)</f>
        <v>3</v>
      </c>
      <c r="U537" s="454" t="str">
        <f t="shared" si="735"/>
        <v>2</v>
      </c>
      <c r="V537" s="454" t="str">
        <f t="shared" si="3"/>
        <v>1</v>
      </c>
      <c r="W537" s="454" t="str">
        <f t="shared" si="782"/>
        <v>0</v>
      </c>
      <c r="X537" s="454" t="str">
        <f t="shared" si="736"/>
        <v>2</v>
      </c>
      <c r="Y537" s="456" t="str">
        <f t="shared" si="5"/>
        <v>FALSE</v>
      </c>
      <c r="Z537" s="456" t="str">
        <f t="shared" si="6"/>
        <v>FALSE</v>
      </c>
      <c r="AA537" s="457" t="str">
        <f t="shared" ref="AA537:AB537" si="869">1-I537</f>
        <v>0%</v>
      </c>
      <c r="AB537" s="457" t="str">
        <f t="shared" si="869"/>
        <v>0%</v>
      </c>
      <c r="AC537" s="456" t="str">
        <f t="shared" si="8"/>
        <v>2</v>
      </c>
      <c r="AD537" s="458" t="str">
        <f t="shared" si="738"/>
        <v>0</v>
      </c>
      <c r="AE537" s="458" t="str">
        <f t="shared" si="10"/>
        <v>1</v>
      </c>
      <c r="AF537" s="459" t="str">
        <f t="shared" si="784"/>
        <v>0</v>
      </c>
      <c r="AG537" s="460"/>
      <c r="AH537" s="14"/>
      <c r="AI537" s="14"/>
      <c r="AJ537" s="14"/>
      <c r="AK537" s="14"/>
      <c r="AL537" s="14"/>
      <c r="AM537" s="14"/>
      <c r="AN537" s="14"/>
      <c r="AO537" s="14"/>
      <c r="AP537" s="14"/>
      <c r="AQ537" s="14"/>
      <c r="AR537" s="14"/>
      <c r="AS537" s="14"/>
      <c r="AT537" s="14"/>
    </row>
    <row r="538">
      <c r="A538" s="442"/>
      <c r="B538" s="682">
        <v>5.0</v>
      </c>
      <c r="C538" s="683" t="s">
        <v>1204</v>
      </c>
      <c r="D538" s="684" t="s">
        <v>15</v>
      </c>
      <c r="E538" s="684" t="s">
        <v>41</v>
      </c>
      <c r="F538" s="685" t="s">
        <v>77</v>
      </c>
      <c r="G538" s="686" t="str">
        <f>IF(Summary!$Y$25&gt;=VLOOKUP(C538,Reference!$N$41:$O$70,2,0),2,0)</f>
        <v>2</v>
      </c>
      <c r="H538" s="686">
        <v>0.0</v>
      </c>
      <c r="I538" s="518">
        <v>1.0</v>
      </c>
      <c r="J538" s="518"/>
      <c r="K538" s="687" t="s">
        <v>188</v>
      </c>
      <c r="L538" s="687"/>
      <c r="M538" s="687">
        <v>4.0</v>
      </c>
      <c r="N538" s="687">
        <v>6.0</v>
      </c>
      <c r="O538" s="688" t="s">
        <v>1205</v>
      </c>
      <c r="P538" s="14"/>
      <c r="Q538" s="452" t="str">
        <f>MATCH($D538,Reference!$J$5:$J$9,0)</f>
        <v>2</v>
      </c>
      <c r="R538" s="452" t="str">
        <f>MATCH($E538,Reference!$J$26:$J$32,0)</f>
        <v>4</v>
      </c>
      <c r="S538" s="452" t="str">
        <f>MATCH($F538,Reference!$J$45:$J$54,0)</f>
        <v>10</v>
      </c>
      <c r="T538" s="453" t="str">
        <f>MATCH($K538,Reference!$J$37:$J$39,0)</f>
        <v>3</v>
      </c>
      <c r="U538" s="454" t="str">
        <f t="shared" si="735"/>
        <v>2</v>
      </c>
      <c r="V538" s="454" t="str">
        <f t="shared" si="3"/>
        <v>1</v>
      </c>
      <c r="W538" s="454" t="str">
        <f t="shared" si="782"/>
        <v>0</v>
      </c>
      <c r="X538" s="454" t="str">
        <f t="shared" si="736"/>
        <v>2</v>
      </c>
      <c r="Y538" s="456" t="str">
        <f t="shared" si="5"/>
        <v>FALSE</v>
      </c>
      <c r="Z538" s="456" t="str">
        <f t="shared" si="6"/>
        <v>FALSE</v>
      </c>
      <c r="AA538" s="457" t="str">
        <f t="shared" ref="AA538:AB538" si="870">1-I538</f>
        <v>0%</v>
      </c>
      <c r="AB538" s="457" t="str">
        <f t="shared" si="870"/>
        <v>100%</v>
      </c>
      <c r="AC538" s="456" t="str">
        <f t="shared" si="8"/>
        <v>2</v>
      </c>
      <c r="AD538" s="458" t="str">
        <f t="shared" si="738"/>
        <v>0</v>
      </c>
      <c r="AE538" s="458" t="str">
        <f t="shared" si="10"/>
        <v>1</v>
      </c>
      <c r="AF538" s="459" t="str">
        <f t="shared" si="784"/>
        <v>0</v>
      </c>
      <c r="AG538" s="460"/>
      <c r="AH538" s="14"/>
      <c r="AI538" s="14"/>
      <c r="AJ538" s="14"/>
      <c r="AK538" s="14"/>
      <c r="AL538" s="14"/>
      <c r="AM538" s="14"/>
      <c r="AN538" s="14"/>
      <c r="AO538" s="14"/>
      <c r="AP538" s="14"/>
      <c r="AQ538" s="14"/>
      <c r="AR538" s="14"/>
      <c r="AS538" s="14"/>
      <c r="AT538" s="14"/>
    </row>
    <row r="539">
      <c r="A539" s="466"/>
      <c r="B539" s="442">
        <v>5.0</v>
      </c>
      <c r="C539" s="482" t="s">
        <v>1206</v>
      </c>
      <c r="D539" s="483" t="s">
        <v>15</v>
      </c>
      <c r="E539" s="483" t="s">
        <v>33</v>
      </c>
      <c r="F539" s="484" t="s">
        <v>77</v>
      </c>
      <c r="G539" s="471">
        <v>2.0</v>
      </c>
      <c r="H539" s="471">
        <v>0.0</v>
      </c>
      <c r="I539" s="486">
        <v>1.0</v>
      </c>
      <c r="J539" s="486">
        <v>1.0</v>
      </c>
      <c r="K539" s="499" t="s">
        <v>188</v>
      </c>
      <c r="L539" s="499"/>
      <c r="M539" s="499">
        <v>4.0</v>
      </c>
      <c r="N539" s="499">
        <v>6.0</v>
      </c>
      <c r="O539" s="223" t="s">
        <v>1207</v>
      </c>
      <c r="P539" s="14"/>
      <c r="Q539" s="452" t="str">
        <f>MATCH($D539,Reference!$J$5:$J$9,0)</f>
        <v>2</v>
      </c>
      <c r="R539" s="452" t="str">
        <f>MATCH($E539,Reference!$J$26:$J$32,0)</f>
        <v>2</v>
      </c>
      <c r="S539" s="452" t="str">
        <f>MATCH($F539,Reference!$J$45:$J$54,0)</f>
        <v>10</v>
      </c>
      <c r="T539" s="453" t="str">
        <f>MATCH($K539,Reference!$J$37:$J$39,0)</f>
        <v>3</v>
      </c>
      <c r="U539" s="454" t="str">
        <f t="shared" si="735"/>
        <v>2</v>
      </c>
      <c r="V539" s="454" t="str">
        <f t="shared" si="3"/>
        <v>1</v>
      </c>
      <c r="W539" s="454" t="str">
        <f t="shared" si="782"/>
        <v>0</v>
      </c>
      <c r="X539" s="454" t="str">
        <f t="shared" si="736"/>
        <v>2</v>
      </c>
      <c r="Y539" s="456" t="str">
        <f t="shared" si="5"/>
        <v>FALSE</v>
      </c>
      <c r="Z539" s="456" t="str">
        <f t="shared" si="6"/>
        <v>FALSE</v>
      </c>
      <c r="AA539" s="457" t="str">
        <f t="shared" ref="AA539:AB539" si="871">1-I539</f>
        <v>0%</v>
      </c>
      <c r="AB539" s="457" t="str">
        <f t="shared" si="871"/>
        <v>0%</v>
      </c>
      <c r="AC539" s="456" t="str">
        <f t="shared" si="8"/>
        <v>2</v>
      </c>
      <c r="AD539" s="458" t="str">
        <f t="shared" si="738"/>
        <v>0</v>
      </c>
      <c r="AE539" s="458" t="str">
        <f t="shared" si="10"/>
        <v>1</v>
      </c>
      <c r="AF539" s="459" t="str">
        <f t="shared" si="784"/>
        <v>0</v>
      </c>
      <c r="AG539" s="460"/>
      <c r="AH539" s="14"/>
      <c r="AI539" s="14"/>
      <c r="AJ539" s="14"/>
      <c r="AK539" s="14"/>
      <c r="AL539" s="14"/>
      <c r="AM539" s="14"/>
      <c r="AN539" s="14"/>
      <c r="AO539" s="14"/>
      <c r="AP539" s="14"/>
      <c r="AQ539" s="14"/>
      <c r="AR539" s="14"/>
      <c r="AS539" s="14"/>
      <c r="AT539" s="14"/>
    </row>
    <row r="540">
      <c r="A540" s="463"/>
      <c r="B540" s="442">
        <v>5.0</v>
      </c>
      <c r="C540" s="482" t="s">
        <v>1208</v>
      </c>
      <c r="D540" s="483" t="s">
        <v>15</v>
      </c>
      <c r="E540" s="483" t="s">
        <v>33</v>
      </c>
      <c r="F540" s="484" t="s">
        <v>77</v>
      </c>
      <c r="G540" s="471">
        <v>2.0</v>
      </c>
      <c r="H540" s="485">
        <v>0.0</v>
      </c>
      <c r="I540" s="486">
        <v>1.0</v>
      </c>
      <c r="J540" s="486">
        <v>1.0</v>
      </c>
      <c r="K540" s="499" t="s">
        <v>188</v>
      </c>
      <c r="L540" s="499" t="s">
        <v>238</v>
      </c>
      <c r="M540" s="499">
        <v>5.0</v>
      </c>
      <c r="N540" s="499">
        <v>5.0</v>
      </c>
      <c r="O540" s="223" t="s">
        <v>1076</v>
      </c>
      <c r="P540" s="14"/>
      <c r="Q540" s="452" t="str">
        <f>MATCH($D540,Reference!$J$5:$J$9,0)</f>
        <v>2</v>
      </c>
      <c r="R540" s="452" t="str">
        <f>MATCH($E540,Reference!$J$26:$J$32,0)</f>
        <v>2</v>
      </c>
      <c r="S540" s="452" t="str">
        <f>MATCH($F540,Reference!$J$45:$J$54,0)</f>
        <v>10</v>
      </c>
      <c r="T540" s="453" t="str">
        <f>MATCH($K540,Reference!$J$37:$J$39,0)</f>
        <v>3</v>
      </c>
      <c r="U540" s="454" t="str">
        <f t="shared" si="735"/>
        <v>2</v>
      </c>
      <c r="V540" s="454" t="str">
        <f t="shared" si="3"/>
        <v>1</v>
      </c>
      <c r="W540" s="454" t="str">
        <f t="shared" si="782"/>
        <v>0</v>
      </c>
      <c r="X540" s="454" t="str">
        <f t="shared" si="736"/>
        <v>2</v>
      </c>
      <c r="Y540" s="456" t="str">
        <f t="shared" si="5"/>
        <v>FALSE</v>
      </c>
      <c r="Z540" s="456" t="str">
        <f t="shared" si="6"/>
        <v>FALSE</v>
      </c>
      <c r="AA540" s="457" t="str">
        <f t="shared" ref="AA540:AB540" si="872">1-I540</f>
        <v>0%</v>
      </c>
      <c r="AB540" s="457" t="str">
        <f t="shared" si="872"/>
        <v>0%</v>
      </c>
      <c r="AC540" s="456" t="str">
        <f t="shared" si="8"/>
        <v>2</v>
      </c>
      <c r="AD540" s="458" t="str">
        <f t="shared" si="738"/>
        <v>0</v>
      </c>
      <c r="AE540" s="458" t="str">
        <f t="shared" si="10"/>
        <v>1</v>
      </c>
      <c r="AF540" s="459" t="str">
        <f t="shared" si="784"/>
        <v>0</v>
      </c>
      <c r="AG540" s="460"/>
      <c r="AH540" s="14"/>
      <c r="AI540" s="14"/>
      <c r="AJ540" s="14"/>
      <c r="AK540" s="14"/>
      <c r="AL540" s="14"/>
      <c r="AM540" s="14"/>
      <c r="AN540" s="14"/>
      <c r="AO540" s="14"/>
      <c r="AP540" s="14"/>
      <c r="AQ540" s="14"/>
      <c r="AR540" s="14"/>
      <c r="AS540" s="14"/>
      <c r="AT540" s="14"/>
    </row>
    <row r="541">
      <c r="A541" s="463"/>
      <c r="B541" s="442">
        <v>5.0</v>
      </c>
      <c r="C541" s="482" t="s">
        <v>1209</v>
      </c>
      <c r="D541" s="483" t="s">
        <v>15</v>
      </c>
      <c r="E541" s="483" t="s">
        <v>33</v>
      </c>
      <c r="F541" s="484" t="s">
        <v>77</v>
      </c>
      <c r="G541" s="471">
        <v>2.0</v>
      </c>
      <c r="H541" s="471">
        <v>0.0</v>
      </c>
      <c r="I541" s="486">
        <v>1.0</v>
      </c>
      <c r="J541" s="486">
        <v>1.0</v>
      </c>
      <c r="K541" s="499" t="s">
        <v>188</v>
      </c>
      <c r="L541" s="499"/>
      <c r="M541" s="499">
        <v>7.0</v>
      </c>
      <c r="N541" s="499">
        <v>6.0</v>
      </c>
      <c r="O541" s="223" t="s">
        <v>1210</v>
      </c>
      <c r="P541" s="14"/>
      <c r="Q541" s="452" t="str">
        <f>MATCH($D541,Reference!$J$5:$J$9,0)</f>
        <v>2</v>
      </c>
      <c r="R541" s="452" t="str">
        <f>MATCH($E541,Reference!$J$26:$J$32,0)</f>
        <v>2</v>
      </c>
      <c r="S541" s="452" t="str">
        <f>MATCH($F541,Reference!$J$45:$J$54,0)</f>
        <v>10</v>
      </c>
      <c r="T541" s="453" t="str">
        <f>MATCH($K541,Reference!$J$37:$J$39,0)</f>
        <v>3</v>
      </c>
      <c r="U541" s="454" t="str">
        <f t="shared" si="735"/>
        <v>2</v>
      </c>
      <c r="V541" s="454" t="str">
        <f t="shared" si="3"/>
        <v>1</v>
      </c>
      <c r="W541" s="454" t="str">
        <f t="shared" si="782"/>
        <v>0</v>
      </c>
      <c r="X541" s="454" t="str">
        <f t="shared" si="736"/>
        <v>2</v>
      </c>
      <c r="Y541" s="456" t="str">
        <f t="shared" si="5"/>
        <v>FALSE</v>
      </c>
      <c r="Z541" s="456" t="str">
        <f t="shared" si="6"/>
        <v>FALSE</v>
      </c>
      <c r="AA541" s="457" t="str">
        <f t="shared" ref="AA541:AB541" si="873">1-I541</f>
        <v>0%</v>
      </c>
      <c r="AB541" s="457" t="str">
        <f t="shared" si="873"/>
        <v>0%</v>
      </c>
      <c r="AC541" s="456" t="str">
        <f t="shared" si="8"/>
        <v>2</v>
      </c>
      <c r="AD541" s="458" t="str">
        <f t="shared" si="738"/>
        <v>0</v>
      </c>
      <c r="AE541" s="458" t="str">
        <f t="shared" si="10"/>
        <v>1</v>
      </c>
      <c r="AF541" s="459" t="str">
        <f t="shared" si="784"/>
        <v>0</v>
      </c>
      <c r="AG541" s="460"/>
      <c r="AH541" s="14"/>
      <c r="AI541" s="14"/>
      <c r="AJ541" s="14"/>
      <c r="AK541" s="14"/>
      <c r="AL541" s="14"/>
      <c r="AM541" s="14"/>
      <c r="AN541" s="14"/>
      <c r="AO541" s="14"/>
      <c r="AP541" s="14"/>
      <c r="AQ541" s="14"/>
      <c r="AR541" s="14"/>
      <c r="AS541" s="14"/>
      <c r="AT541" s="14"/>
    </row>
    <row r="542">
      <c r="A542" s="442"/>
      <c r="B542" s="469">
        <v>6.0</v>
      </c>
      <c r="C542" s="501" t="s">
        <v>1211</v>
      </c>
      <c r="D542" s="502" t="s">
        <v>15</v>
      </c>
      <c r="E542" s="502" t="s">
        <v>47</v>
      </c>
      <c r="F542" s="503" t="s">
        <v>77</v>
      </c>
      <c r="G542" s="504" t="str">
        <f>IF(Summary!$Y$27&gt;=VLOOKUP(C542,Reference!$N$6:$O$36,2,0),2,0)</f>
        <v>2</v>
      </c>
      <c r="H542" s="504">
        <v>0.0</v>
      </c>
      <c r="I542" s="505">
        <v>1.0</v>
      </c>
      <c r="J542" s="505"/>
      <c r="K542" s="506" t="s">
        <v>188</v>
      </c>
      <c r="L542" s="506" t="s">
        <v>446</v>
      </c>
      <c r="M542" s="506">
        <v>6.0</v>
      </c>
      <c r="N542" s="506">
        <v>6.0</v>
      </c>
      <c r="O542" s="507" t="s">
        <v>1212</v>
      </c>
      <c r="P542" s="14"/>
      <c r="Q542" s="452" t="str">
        <f>MATCH($D542,Reference!$J$5:$J$9,0)</f>
        <v>2</v>
      </c>
      <c r="R542" s="452" t="str">
        <f>MATCH($E542,Reference!$J$26:$J$32,0)</f>
        <v>6</v>
      </c>
      <c r="S542" s="452" t="str">
        <f>MATCH($F542,Reference!$J$45:$J$54,0)</f>
        <v>10</v>
      </c>
      <c r="T542" s="453" t="str">
        <f>MATCH($K542,Reference!$J$37:$J$39,0)</f>
        <v>3</v>
      </c>
      <c r="U542" s="454" t="str">
        <f t="shared" si="735"/>
        <v>2</v>
      </c>
      <c r="V542" s="454" t="str">
        <f t="shared" si="3"/>
        <v>1</v>
      </c>
      <c r="W542" s="454" t="str">
        <f t="shared" si="782"/>
        <v>0</v>
      </c>
      <c r="X542" s="454" t="str">
        <f t="shared" si="736"/>
        <v>2</v>
      </c>
      <c r="Y542" s="456" t="str">
        <f t="shared" si="5"/>
        <v>FALSE</v>
      </c>
      <c r="Z542" s="456" t="str">
        <f t="shared" si="6"/>
        <v>FALSE</v>
      </c>
      <c r="AA542" s="457" t="str">
        <f t="shared" ref="AA542:AB542" si="874">1-I542</f>
        <v>0%</v>
      </c>
      <c r="AB542" s="457" t="str">
        <f t="shared" si="874"/>
        <v>100%</v>
      </c>
      <c r="AC542" s="456" t="str">
        <f t="shared" si="8"/>
        <v>2</v>
      </c>
      <c r="AD542" s="458" t="str">
        <f t="shared" si="738"/>
        <v>0</v>
      </c>
      <c r="AE542" s="458" t="str">
        <f t="shared" si="10"/>
        <v>1</v>
      </c>
      <c r="AF542" s="459" t="str">
        <f t="shared" si="784"/>
        <v>0</v>
      </c>
      <c r="AG542" s="460"/>
      <c r="AH542" s="14"/>
      <c r="AI542" s="14"/>
      <c r="AJ542" s="14"/>
      <c r="AK542" s="14"/>
      <c r="AL542" s="14"/>
      <c r="AM542" s="14"/>
      <c r="AN542" s="14"/>
      <c r="AO542" s="14"/>
      <c r="AP542" s="14"/>
      <c r="AQ542" s="14"/>
      <c r="AR542" s="14"/>
      <c r="AS542" s="14"/>
      <c r="AT542" s="14"/>
    </row>
    <row r="543">
      <c r="A543" s="442"/>
      <c r="B543" s="442">
        <v>6.0</v>
      </c>
      <c r="C543" s="482" t="s">
        <v>1213</v>
      </c>
      <c r="D543" s="483" t="s">
        <v>15</v>
      </c>
      <c r="E543" s="483" t="s">
        <v>33</v>
      </c>
      <c r="F543" s="484" t="s">
        <v>77</v>
      </c>
      <c r="G543" s="471">
        <v>2.0</v>
      </c>
      <c r="H543" s="485">
        <v>0.0</v>
      </c>
      <c r="I543" s="486">
        <v>1.0</v>
      </c>
      <c r="J543" s="530">
        <v>1.0</v>
      </c>
      <c r="K543" s="499" t="s">
        <v>188</v>
      </c>
      <c r="L543" s="531"/>
      <c r="M543" s="499">
        <v>5.0</v>
      </c>
      <c r="N543" s="499">
        <v>5.0</v>
      </c>
      <c r="O543" s="532" t="s">
        <v>1214</v>
      </c>
      <c r="P543" s="14"/>
      <c r="Q543" s="452" t="str">
        <f>MATCH($D543,Reference!$J$5:$J$9,0)</f>
        <v>2</v>
      </c>
      <c r="R543" s="452" t="str">
        <f>MATCH($E543,Reference!$J$26:$J$32,0)</f>
        <v>2</v>
      </c>
      <c r="S543" s="452" t="str">
        <f>MATCH($F543,Reference!$J$45:$J$54,0)</f>
        <v>10</v>
      </c>
      <c r="T543" s="453" t="str">
        <f>MATCH($K543,Reference!$J$37:$J$39,0)</f>
        <v>3</v>
      </c>
      <c r="U543" s="454" t="str">
        <f t="shared" si="735"/>
        <v>2</v>
      </c>
      <c r="V543" s="454" t="str">
        <f t="shared" si="3"/>
        <v>1</v>
      </c>
      <c r="W543" s="454" t="str">
        <f t="shared" si="782"/>
        <v>0</v>
      </c>
      <c r="X543" s="454" t="str">
        <f t="shared" si="736"/>
        <v>2</v>
      </c>
      <c r="Y543" s="456" t="str">
        <f t="shared" si="5"/>
        <v>FALSE</v>
      </c>
      <c r="Z543" s="456" t="str">
        <f t="shared" si="6"/>
        <v>FALSE</v>
      </c>
      <c r="AA543" s="457" t="str">
        <f t="shared" ref="AA543:AB543" si="875">1-I543</f>
        <v>0%</v>
      </c>
      <c r="AB543" s="457" t="str">
        <f t="shared" si="875"/>
        <v>0%</v>
      </c>
      <c r="AC543" s="456" t="str">
        <f t="shared" si="8"/>
        <v>2</v>
      </c>
      <c r="AD543" s="458" t="str">
        <f t="shared" si="738"/>
        <v>0</v>
      </c>
      <c r="AE543" s="458" t="str">
        <f t="shared" si="10"/>
        <v>1</v>
      </c>
      <c r="AF543" s="459" t="str">
        <f t="shared" si="784"/>
        <v>0</v>
      </c>
      <c r="AG543" s="460"/>
      <c r="AH543" s="14"/>
      <c r="AI543" s="14"/>
      <c r="AJ543" s="14"/>
      <c r="AK543" s="14"/>
      <c r="AL543" s="14"/>
      <c r="AM543" s="14"/>
      <c r="AN543" s="14"/>
      <c r="AO543" s="14"/>
      <c r="AP543" s="14"/>
      <c r="AQ543" s="14"/>
      <c r="AR543" s="14"/>
      <c r="AS543" s="14"/>
      <c r="AT543" s="14"/>
    </row>
    <row r="544">
      <c r="A544" s="442"/>
      <c r="B544" s="442">
        <v>6.0</v>
      </c>
      <c r="C544" s="482" t="s">
        <v>1215</v>
      </c>
      <c r="D544" s="483" t="s">
        <v>15</v>
      </c>
      <c r="E544" s="483" t="s">
        <v>33</v>
      </c>
      <c r="F544" s="484" t="s">
        <v>77</v>
      </c>
      <c r="G544" s="471">
        <v>2.0</v>
      </c>
      <c r="H544" s="471">
        <v>0.0</v>
      </c>
      <c r="I544" s="486">
        <v>1.0</v>
      </c>
      <c r="J544" s="486">
        <v>1.0</v>
      </c>
      <c r="K544" s="499" t="s">
        <v>188</v>
      </c>
      <c r="L544" s="499"/>
      <c r="M544" s="499">
        <v>5.0</v>
      </c>
      <c r="N544" s="499">
        <v>4.0</v>
      </c>
      <c r="O544" s="223" t="s">
        <v>1216</v>
      </c>
      <c r="P544" s="14"/>
      <c r="Q544" s="452" t="str">
        <f>MATCH($D544,Reference!$J$5:$J$9,0)</f>
        <v>2</v>
      </c>
      <c r="R544" s="452" t="str">
        <f>MATCH($E544,Reference!$J$26:$J$32,0)</f>
        <v>2</v>
      </c>
      <c r="S544" s="452" t="str">
        <f>MATCH($F544,Reference!$J$45:$J$54,0)</f>
        <v>10</v>
      </c>
      <c r="T544" s="453" t="str">
        <f>MATCH($K544,Reference!$J$37:$J$39,0)</f>
        <v>3</v>
      </c>
      <c r="U544" s="454" t="str">
        <f t="shared" si="735"/>
        <v>2</v>
      </c>
      <c r="V544" s="454" t="str">
        <f t="shared" si="3"/>
        <v>1</v>
      </c>
      <c r="W544" s="454" t="str">
        <f t="shared" si="782"/>
        <v>0</v>
      </c>
      <c r="X544" s="454" t="str">
        <f t="shared" si="736"/>
        <v>2</v>
      </c>
      <c r="Y544" s="456" t="str">
        <f t="shared" si="5"/>
        <v>FALSE</v>
      </c>
      <c r="Z544" s="456" t="str">
        <f t="shared" si="6"/>
        <v>FALSE</v>
      </c>
      <c r="AA544" s="457" t="str">
        <f t="shared" ref="AA544:AB544" si="876">1-I544</f>
        <v>0%</v>
      </c>
      <c r="AB544" s="457" t="str">
        <f t="shared" si="876"/>
        <v>0%</v>
      </c>
      <c r="AC544" s="456" t="str">
        <f t="shared" si="8"/>
        <v>2</v>
      </c>
      <c r="AD544" s="458" t="str">
        <f t="shared" si="738"/>
        <v>0</v>
      </c>
      <c r="AE544" s="458" t="str">
        <f t="shared" si="10"/>
        <v>1</v>
      </c>
      <c r="AF544" s="459" t="str">
        <f t="shared" si="784"/>
        <v>0</v>
      </c>
      <c r="AG544" s="460"/>
      <c r="AH544" s="14"/>
      <c r="AI544" s="14"/>
      <c r="AJ544" s="14"/>
      <c r="AK544" s="14"/>
      <c r="AL544" s="14"/>
      <c r="AM544" s="14"/>
      <c r="AN544" s="14"/>
      <c r="AO544" s="14"/>
      <c r="AP544" s="14"/>
      <c r="AQ544" s="14"/>
      <c r="AR544" s="14"/>
      <c r="AS544" s="14"/>
      <c r="AT544" s="14"/>
    </row>
    <row r="545">
      <c r="A545" s="466"/>
      <c r="B545" s="469">
        <v>6.0</v>
      </c>
      <c r="C545" s="501" t="s">
        <v>1217</v>
      </c>
      <c r="D545" s="502" t="s">
        <v>15</v>
      </c>
      <c r="E545" s="502" t="s">
        <v>47</v>
      </c>
      <c r="F545" s="503" t="s">
        <v>77</v>
      </c>
      <c r="G545" s="504" t="str">
        <f>IF(Summary!$Y$27&gt;=VLOOKUP(C545,Reference!$N$6:$O$36,2,0),2,0)</f>
        <v>2</v>
      </c>
      <c r="H545" s="504">
        <v>0.0</v>
      </c>
      <c r="I545" s="505">
        <v>1.0</v>
      </c>
      <c r="J545" s="505"/>
      <c r="K545" s="506" t="s">
        <v>188</v>
      </c>
      <c r="L545" s="506" t="s">
        <v>446</v>
      </c>
      <c r="M545" s="506">
        <v>6.0</v>
      </c>
      <c r="N545" s="506">
        <v>4.0</v>
      </c>
      <c r="O545" s="507" t="s">
        <v>1218</v>
      </c>
      <c r="P545" s="14"/>
      <c r="Q545" s="452" t="str">
        <f>MATCH($D545,Reference!$J$5:$J$9,0)</f>
        <v>2</v>
      </c>
      <c r="R545" s="452" t="str">
        <f>MATCH($E545,Reference!$J$26:$J$32,0)</f>
        <v>6</v>
      </c>
      <c r="S545" s="452" t="str">
        <f>MATCH($F545,Reference!$J$45:$J$54,0)</f>
        <v>10</v>
      </c>
      <c r="T545" s="453" t="str">
        <f>MATCH($K545,Reference!$J$37:$J$39,0)</f>
        <v>3</v>
      </c>
      <c r="U545" s="454" t="str">
        <f t="shared" si="735"/>
        <v>2</v>
      </c>
      <c r="V545" s="454" t="str">
        <f t="shared" si="3"/>
        <v>1</v>
      </c>
      <c r="W545" s="454" t="str">
        <f t="shared" si="782"/>
        <v>0</v>
      </c>
      <c r="X545" s="454" t="str">
        <f t="shared" si="736"/>
        <v>2</v>
      </c>
      <c r="Y545" s="456" t="str">
        <f t="shared" si="5"/>
        <v>FALSE</v>
      </c>
      <c r="Z545" s="456" t="str">
        <f t="shared" si="6"/>
        <v>FALSE</v>
      </c>
      <c r="AA545" s="457" t="str">
        <f t="shared" ref="AA545:AB545" si="877">1-I545</f>
        <v>0%</v>
      </c>
      <c r="AB545" s="457" t="str">
        <f t="shared" si="877"/>
        <v>100%</v>
      </c>
      <c r="AC545" s="456" t="str">
        <f t="shared" si="8"/>
        <v>2</v>
      </c>
      <c r="AD545" s="458" t="str">
        <f t="shared" si="738"/>
        <v>0</v>
      </c>
      <c r="AE545" s="458" t="str">
        <f t="shared" si="10"/>
        <v>1</v>
      </c>
      <c r="AF545" s="459" t="str">
        <f t="shared" si="784"/>
        <v>0</v>
      </c>
      <c r="AG545" s="460"/>
      <c r="AH545" s="14"/>
      <c r="AI545" s="14"/>
      <c r="AJ545" s="14"/>
      <c r="AK545" s="14"/>
      <c r="AL545" s="14"/>
      <c r="AM545" s="14"/>
      <c r="AN545" s="14"/>
      <c r="AO545" s="14"/>
      <c r="AP545" s="14"/>
      <c r="AQ545" s="14"/>
      <c r="AR545" s="14"/>
      <c r="AS545" s="14"/>
      <c r="AT545" s="14"/>
    </row>
    <row r="546">
      <c r="A546" s="463"/>
      <c r="B546" s="442">
        <v>6.0</v>
      </c>
      <c r="C546" s="482" t="s">
        <v>1219</v>
      </c>
      <c r="D546" s="483" t="s">
        <v>15</v>
      </c>
      <c r="E546" s="483" t="s">
        <v>33</v>
      </c>
      <c r="F546" s="484" t="s">
        <v>77</v>
      </c>
      <c r="G546" s="471">
        <v>2.0</v>
      </c>
      <c r="H546" s="471">
        <v>0.0</v>
      </c>
      <c r="I546" s="486">
        <v>1.0</v>
      </c>
      <c r="J546" s="486">
        <v>1.0</v>
      </c>
      <c r="K546" s="499" t="s">
        <v>188</v>
      </c>
      <c r="L546" s="499"/>
      <c r="M546" s="499">
        <v>4.0</v>
      </c>
      <c r="N546" s="499">
        <v>5.0</v>
      </c>
      <c r="O546" s="223" t="s">
        <v>768</v>
      </c>
      <c r="P546" s="14"/>
      <c r="Q546" s="452" t="str">
        <f>MATCH($D546,Reference!$J$5:$J$9,0)</f>
        <v>2</v>
      </c>
      <c r="R546" s="452" t="str">
        <f>MATCH($E546,Reference!$J$26:$J$32,0)</f>
        <v>2</v>
      </c>
      <c r="S546" s="452" t="str">
        <f>MATCH($F546,Reference!$J$45:$J$54,0)</f>
        <v>10</v>
      </c>
      <c r="T546" s="453" t="str">
        <f>MATCH($K546,Reference!$J$37:$J$39,0)</f>
        <v>3</v>
      </c>
      <c r="U546" s="454" t="str">
        <f t="shared" si="735"/>
        <v>2</v>
      </c>
      <c r="V546" s="454" t="str">
        <f t="shared" si="3"/>
        <v>1</v>
      </c>
      <c r="W546" s="454" t="str">
        <f t="shared" si="782"/>
        <v>0</v>
      </c>
      <c r="X546" s="454" t="str">
        <f t="shared" si="736"/>
        <v>2</v>
      </c>
      <c r="Y546" s="456" t="str">
        <f t="shared" si="5"/>
        <v>FALSE</v>
      </c>
      <c r="Z546" s="456" t="str">
        <f t="shared" si="6"/>
        <v>FALSE</v>
      </c>
      <c r="AA546" s="457" t="str">
        <f t="shared" ref="AA546:AB546" si="878">1-I546</f>
        <v>0%</v>
      </c>
      <c r="AB546" s="457" t="str">
        <f t="shared" si="878"/>
        <v>0%</v>
      </c>
      <c r="AC546" s="456" t="str">
        <f t="shared" si="8"/>
        <v>2</v>
      </c>
      <c r="AD546" s="458" t="str">
        <f t="shared" si="738"/>
        <v>0</v>
      </c>
      <c r="AE546" s="458" t="str">
        <f t="shared" si="10"/>
        <v>1</v>
      </c>
      <c r="AF546" s="459" t="str">
        <f t="shared" si="784"/>
        <v>0</v>
      </c>
      <c r="AG546" s="460"/>
      <c r="AH546" s="14"/>
      <c r="AI546" s="14"/>
      <c r="AJ546" s="14"/>
      <c r="AK546" s="14"/>
      <c r="AL546" s="14"/>
      <c r="AM546" s="14"/>
      <c r="AN546" s="14"/>
      <c r="AO546" s="14"/>
      <c r="AP546" s="14"/>
      <c r="AQ546" s="14"/>
      <c r="AR546" s="14"/>
      <c r="AS546" s="14"/>
      <c r="AT546" s="14"/>
    </row>
    <row r="547">
      <c r="A547" s="442"/>
      <c r="B547" s="466">
        <v>7.0</v>
      </c>
      <c r="C547" s="475" t="s">
        <v>1220</v>
      </c>
      <c r="D547" s="476" t="s">
        <v>15</v>
      </c>
      <c r="E547" s="477" t="s">
        <v>36</v>
      </c>
      <c r="F547" s="477" t="s">
        <v>77</v>
      </c>
      <c r="G547" s="478">
        <v>2.0</v>
      </c>
      <c r="H547" s="478">
        <v>0.0</v>
      </c>
      <c r="I547" s="479">
        <v>1.0</v>
      </c>
      <c r="J547" s="479">
        <v>1.0</v>
      </c>
      <c r="K547" s="477" t="s">
        <v>188</v>
      </c>
      <c r="L547" s="477" t="s">
        <v>238</v>
      </c>
      <c r="M547" s="477">
        <v>5.0</v>
      </c>
      <c r="N547" s="477">
        <v>9.0</v>
      </c>
      <c r="O547" s="480"/>
      <c r="P547" s="14"/>
      <c r="Q547" s="452" t="str">
        <f>MATCH($D547,Reference!$J$5:$J$9,0)</f>
        <v>2</v>
      </c>
      <c r="R547" s="452" t="str">
        <f>MATCH($E547,Reference!$J$26:$J$32,0)</f>
        <v>7</v>
      </c>
      <c r="S547" s="452" t="str">
        <f>MATCH($F547,Reference!$J$45:$J$54,0)</f>
        <v>10</v>
      </c>
      <c r="T547" s="453" t="str">
        <f>MATCH($K547,Reference!$J$37:$J$39,0)</f>
        <v>3</v>
      </c>
      <c r="U547" s="454" t="str">
        <f t="shared" si="735"/>
        <v>2</v>
      </c>
      <c r="V547" s="454" t="str">
        <f t="shared" si="3"/>
        <v>1</v>
      </c>
      <c r="W547" s="454" t="str">
        <f t="shared" si="782"/>
        <v>0</v>
      </c>
      <c r="X547" s="454" t="str">
        <f t="shared" si="736"/>
        <v>2</v>
      </c>
      <c r="Y547" s="456" t="str">
        <f t="shared" si="5"/>
        <v>FALSE</v>
      </c>
      <c r="Z547" s="456" t="str">
        <f t="shared" si="6"/>
        <v>FALSE</v>
      </c>
      <c r="AA547" s="457" t="str">
        <f t="shared" ref="AA547:AB547" si="879">1-I547</f>
        <v>0%</v>
      </c>
      <c r="AB547" s="457" t="str">
        <f t="shared" si="879"/>
        <v>0%</v>
      </c>
      <c r="AC547" s="456" t="str">
        <f t="shared" si="8"/>
        <v>2</v>
      </c>
      <c r="AD547" s="458" t="str">
        <f t="shared" si="738"/>
        <v>0</v>
      </c>
      <c r="AE547" s="458" t="str">
        <f t="shared" si="10"/>
        <v>1</v>
      </c>
      <c r="AF547" s="459" t="str">
        <f t="shared" si="784"/>
        <v>0</v>
      </c>
      <c r="AG547" s="460"/>
      <c r="AH547" s="14"/>
      <c r="AI547" s="14"/>
      <c r="AJ547" s="14"/>
      <c r="AK547" s="14"/>
      <c r="AL547" s="14"/>
      <c r="AM547" s="14"/>
      <c r="AN547" s="14"/>
      <c r="AO547" s="14"/>
      <c r="AP547" s="14"/>
      <c r="AQ547" s="14"/>
      <c r="AR547" s="14"/>
      <c r="AS547" s="14"/>
      <c r="AT547" s="14"/>
    </row>
    <row r="548">
      <c r="A548" s="466"/>
      <c r="B548" s="463">
        <v>8.0</v>
      </c>
      <c r="C548" s="538" t="s">
        <v>1221</v>
      </c>
      <c r="D548" s="539" t="s">
        <v>15</v>
      </c>
      <c r="E548" s="539" t="s">
        <v>35</v>
      </c>
      <c r="F548" s="540" t="s">
        <v>77</v>
      </c>
      <c r="G548" s="541">
        <v>2.0</v>
      </c>
      <c r="H548" s="493">
        <v>0.0</v>
      </c>
      <c r="I548" s="494">
        <v>1.0</v>
      </c>
      <c r="J548" s="494">
        <v>1.0</v>
      </c>
      <c r="K548" s="542" t="s">
        <v>188</v>
      </c>
      <c r="L548" s="495" t="s">
        <v>198</v>
      </c>
      <c r="M548" s="542">
        <v>7.0</v>
      </c>
      <c r="N548" s="542">
        <v>7.0</v>
      </c>
      <c r="O548" s="496" t="s">
        <v>492</v>
      </c>
      <c r="P548" s="14"/>
      <c r="Q548" s="452" t="str">
        <f>MATCH($D548,Reference!$J$5:$J$9,0)</f>
        <v>2</v>
      </c>
      <c r="R548" s="452" t="str">
        <f>MATCH($E548,Reference!$J$26:$J$32,0)</f>
        <v>5</v>
      </c>
      <c r="S548" s="452" t="str">
        <f>MATCH($F548,Reference!$J$45:$J$54,0)</f>
        <v>10</v>
      </c>
      <c r="T548" s="453" t="str">
        <f>MATCH($K548,Reference!$J$37:$J$39,0)</f>
        <v>3</v>
      </c>
      <c r="U548" s="454" t="str">
        <f t="shared" si="735"/>
        <v>2</v>
      </c>
      <c r="V548" s="454" t="str">
        <f t="shared" si="3"/>
        <v>1</v>
      </c>
      <c r="W548" s="454" t="str">
        <f t="shared" si="782"/>
        <v>0</v>
      </c>
      <c r="X548" s="454" t="str">
        <f t="shared" si="736"/>
        <v>2</v>
      </c>
      <c r="Y548" s="456" t="str">
        <f t="shared" si="5"/>
        <v>FALSE</v>
      </c>
      <c r="Z548" s="456" t="str">
        <f t="shared" si="6"/>
        <v>FALSE</v>
      </c>
      <c r="AA548" s="457" t="str">
        <f t="shared" ref="AA548:AB548" si="880">1-I548</f>
        <v>0%</v>
      </c>
      <c r="AB548" s="457" t="str">
        <f t="shared" si="880"/>
        <v>0%</v>
      </c>
      <c r="AC548" s="456" t="str">
        <f t="shared" si="8"/>
        <v>2</v>
      </c>
      <c r="AD548" s="458" t="str">
        <f t="shared" si="738"/>
        <v>0</v>
      </c>
      <c r="AE548" s="458" t="str">
        <f t="shared" si="10"/>
        <v>1</v>
      </c>
      <c r="AF548" s="459" t="str">
        <f t="shared" si="784"/>
        <v>0</v>
      </c>
      <c r="AG548" s="460"/>
      <c r="AH548" s="14"/>
      <c r="AI548" s="14"/>
      <c r="AJ548" s="14"/>
      <c r="AK548" s="14"/>
      <c r="AL548" s="14"/>
      <c r="AM548" s="14"/>
      <c r="AN548" s="14"/>
      <c r="AO548" s="14"/>
      <c r="AP548" s="14"/>
      <c r="AQ548" s="14"/>
      <c r="AR548" s="14"/>
      <c r="AS548" s="14"/>
      <c r="AT548" s="14"/>
    </row>
    <row r="549">
      <c r="A549" s="509"/>
      <c r="B549" s="466">
        <v>9.0</v>
      </c>
      <c r="C549" s="475" t="s">
        <v>1222</v>
      </c>
      <c r="D549" s="476" t="s">
        <v>15</v>
      </c>
      <c r="E549" s="477" t="s">
        <v>36</v>
      </c>
      <c r="F549" s="477" t="s">
        <v>77</v>
      </c>
      <c r="G549" s="478">
        <v>2.0</v>
      </c>
      <c r="H549" s="478">
        <v>0.0</v>
      </c>
      <c r="I549" s="479">
        <v>1.0</v>
      </c>
      <c r="J549" s="479">
        <v>1.0</v>
      </c>
      <c r="K549" s="477" t="s">
        <v>188</v>
      </c>
      <c r="L549" s="477"/>
      <c r="M549" s="477">
        <v>9.0</v>
      </c>
      <c r="N549" s="477">
        <v>7.0</v>
      </c>
      <c r="O549" s="480" t="s">
        <v>1223</v>
      </c>
      <c r="P549" s="14"/>
      <c r="Q549" s="452" t="str">
        <f>MATCH($D549,Reference!$J$5:$J$9,0)</f>
        <v>2</v>
      </c>
      <c r="R549" s="452" t="str">
        <f>MATCH($E549,Reference!$J$26:$J$32,0)</f>
        <v>7</v>
      </c>
      <c r="S549" s="452" t="str">
        <f>MATCH($F549,Reference!$J$45:$J$54,0)</f>
        <v>10</v>
      </c>
      <c r="T549" s="453" t="str">
        <f>MATCH($K549,Reference!$J$37:$J$39,0)</f>
        <v>3</v>
      </c>
      <c r="U549" s="454" t="str">
        <f t="shared" si="735"/>
        <v>2</v>
      </c>
      <c r="V549" s="454" t="str">
        <f t="shared" si="3"/>
        <v>1</v>
      </c>
      <c r="W549" s="454" t="str">
        <f t="shared" si="782"/>
        <v>0</v>
      </c>
      <c r="X549" s="454" t="str">
        <f t="shared" si="736"/>
        <v>2</v>
      </c>
      <c r="Y549" s="456" t="str">
        <f t="shared" si="5"/>
        <v>FALSE</v>
      </c>
      <c r="Z549" s="456" t="str">
        <f t="shared" si="6"/>
        <v>FALSE</v>
      </c>
      <c r="AA549" s="457" t="str">
        <f t="shared" ref="AA549:AB549" si="881">1-I549</f>
        <v>0%</v>
      </c>
      <c r="AB549" s="457" t="str">
        <f t="shared" si="881"/>
        <v>0%</v>
      </c>
      <c r="AC549" s="456" t="str">
        <f t="shared" si="8"/>
        <v>2</v>
      </c>
      <c r="AD549" s="458" t="str">
        <f t="shared" si="738"/>
        <v>0</v>
      </c>
      <c r="AE549" s="458" t="str">
        <f t="shared" si="10"/>
        <v>1</v>
      </c>
      <c r="AF549" s="459" t="str">
        <f t="shared" si="784"/>
        <v>0</v>
      </c>
      <c r="AG549" s="460"/>
      <c r="AH549" s="14"/>
      <c r="AI549" s="14"/>
      <c r="AJ549" s="14"/>
      <c r="AK549" s="14"/>
      <c r="AL549" s="14"/>
      <c r="AM549" s="14"/>
      <c r="AN549" s="14"/>
      <c r="AO549" s="14"/>
      <c r="AP549" s="14"/>
      <c r="AQ549" s="14"/>
      <c r="AR549" s="14"/>
      <c r="AS549" s="14"/>
      <c r="AT549" s="14"/>
    </row>
    <row r="550">
      <c r="A550" s="466"/>
      <c r="B550" s="594">
        <v>0.0</v>
      </c>
      <c r="C550" s="595" t="s">
        <v>1224</v>
      </c>
      <c r="D550" s="575" t="s">
        <v>21</v>
      </c>
      <c r="E550" s="575" t="s">
        <v>35</v>
      </c>
      <c r="F550" s="576" t="s">
        <v>77</v>
      </c>
      <c r="G550" s="596">
        <v>2.0</v>
      </c>
      <c r="H550" s="597">
        <v>0.0</v>
      </c>
      <c r="I550" s="598">
        <v>1.0</v>
      </c>
      <c r="J550" s="598">
        <v>1.0</v>
      </c>
      <c r="K550" s="600" t="s">
        <v>188</v>
      </c>
      <c r="L550" s="600" t="s">
        <v>198</v>
      </c>
      <c r="M550" s="600">
        <v>0.0</v>
      </c>
      <c r="N550" s="600">
        <v>2.0</v>
      </c>
      <c r="O550" s="599" t="s">
        <v>189</v>
      </c>
      <c r="P550" s="14"/>
      <c r="Q550" s="452" t="str">
        <f>MATCH($D550,Reference!$J$5:$J$9,0)</f>
        <v>3</v>
      </c>
      <c r="R550" s="452" t="str">
        <f>MATCH($E550,Reference!$J$26:$J$32,0)</f>
        <v>5</v>
      </c>
      <c r="S550" s="452" t="str">
        <f>MATCH($F550,Reference!$J$45:$J$54,0)</f>
        <v>10</v>
      </c>
      <c r="T550" s="453" t="str">
        <f>MATCH($K550,Reference!$J$37:$J$39,0)</f>
        <v>3</v>
      </c>
      <c r="U550" s="454" t="str">
        <f t="shared" si="735"/>
        <v>2</v>
      </c>
      <c r="V550" s="454" t="str">
        <f t="shared" si="3"/>
        <v>1</v>
      </c>
      <c r="W550" s="454" t="str">
        <f t="shared" ref="W550:W552" si="883">(MIN(G550,2)+H550-U550)*100</f>
        <v>0</v>
      </c>
      <c r="X550" s="454" t="str">
        <f t="shared" si="736"/>
        <v>2</v>
      </c>
      <c r="Y550" s="456" t="str">
        <f t="shared" si="5"/>
        <v>FALSE</v>
      </c>
      <c r="Z550" s="456" t="str">
        <f t="shared" si="6"/>
        <v>FALSE</v>
      </c>
      <c r="AA550" s="457" t="str">
        <f t="shared" ref="AA550:AB550" si="882">1-I550</f>
        <v>0%</v>
      </c>
      <c r="AB550" s="457" t="str">
        <f t="shared" si="882"/>
        <v>0%</v>
      </c>
      <c r="AC550" s="456" t="str">
        <f t="shared" si="8"/>
        <v>2</v>
      </c>
      <c r="AD550" s="458" t="str">
        <f t="shared" si="738"/>
        <v>0</v>
      </c>
      <c r="AE550" s="458" t="str">
        <f t="shared" si="10"/>
        <v>1</v>
      </c>
      <c r="AF550" s="459" t="str">
        <f t="shared" ref="AF550:AF610" si="885">(MIN(H550,2)+G550-U550)*20</f>
        <v>0</v>
      </c>
      <c r="AG550" s="460"/>
      <c r="AH550" s="14"/>
      <c r="AI550" s="14"/>
      <c r="AJ550" s="14"/>
      <c r="AK550" s="14"/>
      <c r="AL550" s="14"/>
      <c r="AM550" s="14"/>
      <c r="AN550" s="14"/>
      <c r="AO550" s="14"/>
      <c r="AP550" s="14"/>
      <c r="AQ550" s="14"/>
      <c r="AR550" s="14"/>
      <c r="AS550" s="14"/>
      <c r="AT550" s="14"/>
    </row>
    <row r="551">
      <c r="A551" s="463"/>
      <c r="B551" s="547">
        <v>1.0</v>
      </c>
      <c r="C551" s="548" t="s">
        <v>1225</v>
      </c>
      <c r="D551" s="549" t="s">
        <v>21</v>
      </c>
      <c r="E551" s="549" t="s">
        <v>33</v>
      </c>
      <c r="F551" s="550" t="s">
        <v>77</v>
      </c>
      <c r="G551" s="552">
        <v>0.0</v>
      </c>
      <c r="H551" s="551">
        <v>0.0</v>
      </c>
      <c r="I551" s="553">
        <v>1.0</v>
      </c>
      <c r="J551" s="553">
        <v>1.0</v>
      </c>
      <c r="K551" s="554" t="s">
        <v>188</v>
      </c>
      <c r="L551" s="554" t="s">
        <v>238</v>
      </c>
      <c r="M551" s="554">
        <v>1.0</v>
      </c>
      <c r="N551" s="554">
        <v>1.0</v>
      </c>
      <c r="O551" s="555" t="s">
        <v>1226</v>
      </c>
      <c r="P551" s="14"/>
      <c r="Q551" s="452" t="str">
        <f>MATCH($D551,Reference!$J$5:$J$9,0)</f>
        <v>3</v>
      </c>
      <c r="R551" s="452" t="str">
        <f>MATCH($E551,Reference!$J$26:$J$32,0)</f>
        <v>2</v>
      </c>
      <c r="S551" s="452" t="str">
        <f>MATCH($F551,Reference!$J$45:$J$54,0)</f>
        <v>10</v>
      </c>
      <c r="T551" s="453" t="str">
        <f>MATCH($K551,Reference!$J$37:$J$39,0)</f>
        <v>3</v>
      </c>
      <c r="U551" s="454" t="str">
        <f t="shared" si="735"/>
        <v>0</v>
      </c>
      <c r="V551" s="454" t="str">
        <f t="shared" si="3"/>
        <v>0</v>
      </c>
      <c r="W551" s="454" t="str">
        <f t="shared" si="883"/>
        <v>0</v>
      </c>
      <c r="X551" s="454" t="str">
        <f t="shared" si="736"/>
        <v>0</v>
      </c>
      <c r="Y551" s="456" t="str">
        <f t="shared" si="5"/>
        <v>TRUE</v>
      </c>
      <c r="Z551" s="456" t="str">
        <f t="shared" si="6"/>
        <v>TRUE</v>
      </c>
      <c r="AA551" s="457" t="str">
        <f t="shared" ref="AA551:AB551" si="884">1-I551</f>
        <v>0%</v>
      </c>
      <c r="AB551" s="457" t="str">
        <f t="shared" si="884"/>
        <v>0%</v>
      </c>
      <c r="AC551" s="456" t="str">
        <f t="shared" si="8"/>
        <v>0</v>
      </c>
      <c r="AD551" s="458" t="str">
        <f t="shared" si="738"/>
        <v>0</v>
      </c>
      <c r="AE551" s="458" t="str">
        <f t="shared" si="10"/>
        <v>0</v>
      </c>
      <c r="AF551" s="459" t="str">
        <f t="shared" si="885"/>
        <v>0</v>
      </c>
      <c r="AG551" s="460"/>
      <c r="AH551" s="14"/>
      <c r="AI551" s="14"/>
      <c r="AJ551" s="14"/>
      <c r="AK551" s="14"/>
      <c r="AL551" s="14"/>
      <c r="AM551" s="14"/>
      <c r="AN551" s="14"/>
      <c r="AO551" s="14"/>
      <c r="AP551" s="14"/>
      <c r="AQ551" s="14"/>
      <c r="AR551" s="14"/>
      <c r="AS551" s="14"/>
      <c r="AT551" s="14"/>
    </row>
    <row r="552">
      <c r="A552" s="463"/>
      <c r="B552" s="547">
        <v>1.0</v>
      </c>
      <c r="C552" s="548" t="s">
        <v>1227</v>
      </c>
      <c r="D552" s="549" t="s">
        <v>21</v>
      </c>
      <c r="E552" s="549" t="s">
        <v>33</v>
      </c>
      <c r="F552" s="550" t="s">
        <v>77</v>
      </c>
      <c r="G552" s="552">
        <v>1.0</v>
      </c>
      <c r="H552" s="551">
        <v>0.0</v>
      </c>
      <c r="I552" s="553">
        <v>1.0</v>
      </c>
      <c r="J552" s="553">
        <v>1.0</v>
      </c>
      <c r="K552" s="554" t="s">
        <v>188</v>
      </c>
      <c r="L552" s="554" t="s">
        <v>660</v>
      </c>
      <c r="M552" s="554">
        <v>1.0</v>
      </c>
      <c r="N552" s="554">
        <v>2.0</v>
      </c>
      <c r="O552" s="555" t="s">
        <v>1228</v>
      </c>
      <c r="P552" s="14"/>
      <c r="Q552" s="452" t="str">
        <f>MATCH($D552,Reference!$J$5:$J$9,0)</f>
        <v>3</v>
      </c>
      <c r="R552" s="452" t="str">
        <f>MATCH($E552,Reference!$J$26:$J$32,0)</f>
        <v>2</v>
      </c>
      <c r="S552" s="452" t="str">
        <f>MATCH($F552,Reference!$J$45:$J$54,0)</f>
        <v>10</v>
      </c>
      <c r="T552" s="453" t="str">
        <f>MATCH($K552,Reference!$J$37:$J$39,0)</f>
        <v>3</v>
      </c>
      <c r="U552" s="454" t="str">
        <f t="shared" si="735"/>
        <v>1</v>
      </c>
      <c r="V552" s="454" t="str">
        <f t="shared" si="3"/>
        <v>1</v>
      </c>
      <c r="W552" s="454" t="str">
        <f t="shared" si="883"/>
        <v>0</v>
      </c>
      <c r="X552" s="454" t="str">
        <f t="shared" si="736"/>
        <v>1</v>
      </c>
      <c r="Y552" s="456" t="str">
        <f t="shared" si="5"/>
        <v>FALSE</v>
      </c>
      <c r="Z552" s="456" t="str">
        <f t="shared" si="6"/>
        <v>TRUE</v>
      </c>
      <c r="AA552" s="457" t="str">
        <f t="shared" ref="AA552:AB552" si="886">1-I552</f>
        <v>0%</v>
      </c>
      <c r="AB552" s="457" t="str">
        <f t="shared" si="886"/>
        <v>0%</v>
      </c>
      <c r="AC552" s="456" t="str">
        <f t="shared" si="8"/>
        <v>1</v>
      </c>
      <c r="AD552" s="458" t="str">
        <f t="shared" si="738"/>
        <v>0</v>
      </c>
      <c r="AE552" s="458" t="str">
        <f t="shared" si="10"/>
        <v>1</v>
      </c>
      <c r="AF552" s="459" t="str">
        <f t="shared" si="885"/>
        <v>0</v>
      </c>
      <c r="AG552" s="460"/>
      <c r="AH552" s="14"/>
      <c r="AI552" s="14"/>
      <c r="AJ552" s="14"/>
      <c r="AK552" s="14"/>
      <c r="AL552" s="14"/>
      <c r="AM552" s="14"/>
      <c r="AN552" s="14"/>
      <c r="AO552" s="14"/>
      <c r="AP552" s="14"/>
      <c r="AQ552" s="14"/>
      <c r="AR552" s="14"/>
      <c r="AS552" s="14"/>
      <c r="AT552" s="14"/>
    </row>
    <row r="553">
      <c r="A553" s="682"/>
      <c r="B553" s="607">
        <v>1.0</v>
      </c>
      <c r="C553" s="608" t="s">
        <v>1229</v>
      </c>
      <c r="D553" s="609" t="s">
        <v>21</v>
      </c>
      <c r="E553" s="609" t="s">
        <v>47</v>
      </c>
      <c r="F553" s="610" t="s">
        <v>77</v>
      </c>
      <c r="G553" s="611" t="str">
        <f>IF(Summary!$Y$27&gt;=VLOOKUP(C553,Reference!$N$6:$O$36,2,0),2,0)</f>
        <v>2</v>
      </c>
      <c r="H553" s="611">
        <v>0.0</v>
      </c>
      <c r="I553" s="612">
        <v>1.0</v>
      </c>
      <c r="J553" s="612"/>
      <c r="K553" s="613" t="s">
        <v>188</v>
      </c>
      <c r="L553" s="613"/>
      <c r="M553" s="613">
        <v>0.0</v>
      </c>
      <c r="N553" s="613">
        <v>2.0</v>
      </c>
      <c r="O553" s="614" t="s">
        <v>1230</v>
      </c>
      <c r="P553" s="14"/>
      <c r="Q553" s="452" t="str">
        <f>MATCH($D553,Reference!$J$5:$J$9,0)</f>
        <v>3</v>
      </c>
      <c r="R553" s="452" t="str">
        <f>MATCH($E553,Reference!$J$26:$J$32,0)</f>
        <v>6</v>
      </c>
      <c r="S553" s="452" t="str">
        <f>MATCH($F553,Reference!$J$45:$J$54,0)</f>
        <v>10</v>
      </c>
      <c r="T553" s="453" t="str">
        <f>MATCH($K553,Reference!$J$37:$J$39,0)</f>
        <v>3</v>
      </c>
      <c r="U553" s="454" t="str">
        <f t="shared" si="735"/>
        <v>2</v>
      </c>
      <c r="V553" s="454" t="str">
        <f t="shared" si="3"/>
        <v>1</v>
      </c>
      <c r="W553" s="455">
        <v>0.0</v>
      </c>
      <c r="X553" s="454" t="str">
        <f t="shared" si="736"/>
        <v>2</v>
      </c>
      <c r="Y553" s="456" t="str">
        <f t="shared" si="5"/>
        <v>FALSE</v>
      </c>
      <c r="Z553" s="456" t="str">
        <f t="shared" si="6"/>
        <v>FALSE</v>
      </c>
      <c r="AA553" s="457" t="str">
        <f t="shared" ref="AA553:AB553" si="887">1-I553</f>
        <v>0%</v>
      </c>
      <c r="AB553" s="457" t="str">
        <f t="shared" si="887"/>
        <v>100%</v>
      </c>
      <c r="AC553" s="456" t="str">
        <f t="shared" si="8"/>
        <v>2</v>
      </c>
      <c r="AD553" s="458" t="str">
        <f t="shared" si="738"/>
        <v>0</v>
      </c>
      <c r="AE553" s="458" t="str">
        <f t="shared" si="10"/>
        <v>1</v>
      </c>
      <c r="AF553" s="459" t="str">
        <f t="shared" si="885"/>
        <v>0</v>
      </c>
      <c r="AG553" s="460"/>
      <c r="AH553" s="14"/>
      <c r="AI553" s="14"/>
      <c r="AJ553" s="14"/>
      <c r="AK553" s="14"/>
      <c r="AL553" s="14"/>
      <c r="AM553" s="14"/>
      <c r="AN553" s="14"/>
      <c r="AO553" s="14"/>
      <c r="AP553" s="14"/>
      <c r="AQ553" s="14"/>
      <c r="AR553" s="14"/>
      <c r="AS553" s="14"/>
      <c r="AT553" s="14"/>
    </row>
    <row r="554">
      <c r="A554" s="463"/>
      <c r="B554" s="560">
        <v>1.0</v>
      </c>
      <c r="C554" s="561" t="s">
        <v>1231</v>
      </c>
      <c r="D554" s="562" t="s">
        <v>21</v>
      </c>
      <c r="E554" s="563" t="s">
        <v>36</v>
      </c>
      <c r="F554" s="563" t="s">
        <v>77</v>
      </c>
      <c r="G554" s="564">
        <v>2.0</v>
      </c>
      <c r="H554" s="564">
        <v>0.0</v>
      </c>
      <c r="I554" s="565">
        <v>1.0</v>
      </c>
      <c r="J554" s="565">
        <v>1.0</v>
      </c>
      <c r="K554" s="563" t="s">
        <v>188</v>
      </c>
      <c r="L554" s="563"/>
      <c r="M554" s="563">
        <v>2.0</v>
      </c>
      <c r="N554" s="563">
        <v>4.0</v>
      </c>
      <c r="O554" s="566" t="s">
        <v>1232</v>
      </c>
      <c r="P554" s="14"/>
      <c r="Q554" s="452" t="str">
        <f>MATCH($D554,Reference!$J$5:$J$9,0)</f>
        <v>3</v>
      </c>
      <c r="R554" s="452" t="str">
        <f>MATCH($E554,Reference!$J$26:$J$32,0)</f>
        <v>7</v>
      </c>
      <c r="S554" s="452" t="str">
        <f>MATCH($F554,Reference!$J$45:$J$54,0)</f>
        <v>10</v>
      </c>
      <c r="T554" s="453" t="str">
        <f>MATCH($K554,Reference!$J$37:$J$39,0)</f>
        <v>3</v>
      </c>
      <c r="U554" s="454" t="str">
        <f t="shared" si="735"/>
        <v>2</v>
      </c>
      <c r="V554" s="454" t="str">
        <f t="shared" si="3"/>
        <v>1</v>
      </c>
      <c r="W554" s="454" t="str">
        <f t="shared" ref="W554:W565" si="889">(MIN(G554,2)+H554-U554)*100</f>
        <v>0</v>
      </c>
      <c r="X554" s="454" t="str">
        <f t="shared" si="736"/>
        <v>2</v>
      </c>
      <c r="Y554" s="456" t="str">
        <f t="shared" si="5"/>
        <v>FALSE</v>
      </c>
      <c r="Z554" s="456" t="str">
        <f t="shared" si="6"/>
        <v>FALSE</v>
      </c>
      <c r="AA554" s="457" t="str">
        <f t="shared" ref="AA554:AB554" si="888">1-I554</f>
        <v>0%</v>
      </c>
      <c r="AB554" s="457" t="str">
        <f t="shared" si="888"/>
        <v>0%</v>
      </c>
      <c r="AC554" s="456" t="str">
        <f t="shared" si="8"/>
        <v>2</v>
      </c>
      <c r="AD554" s="458" t="str">
        <f t="shared" si="738"/>
        <v>0</v>
      </c>
      <c r="AE554" s="458" t="str">
        <f t="shared" si="10"/>
        <v>1</v>
      </c>
      <c r="AF554" s="459" t="str">
        <f t="shared" si="885"/>
        <v>0</v>
      </c>
      <c r="AG554" s="460"/>
      <c r="AH554" s="14"/>
      <c r="AI554" s="14"/>
      <c r="AJ554" s="14"/>
      <c r="AK554" s="14"/>
      <c r="AL554" s="14"/>
      <c r="AM554" s="14"/>
      <c r="AN554" s="14"/>
      <c r="AO554" s="14"/>
      <c r="AP554" s="14"/>
      <c r="AQ554" s="14"/>
      <c r="AR554" s="14"/>
      <c r="AS554" s="14"/>
      <c r="AT554" s="14"/>
    </row>
    <row r="555">
      <c r="A555" s="442"/>
      <c r="B555" s="547">
        <v>1.0</v>
      </c>
      <c r="C555" s="548" t="s">
        <v>1233</v>
      </c>
      <c r="D555" s="549" t="s">
        <v>21</v>
      </c>
      <c r="E555" s="549" t="s">
        <v>33</v>
      </c>
      <c r="F555" s="550" t="s">
        <v>77</v>
      </c>
      <c r="G555" s="552">
        <v>1.0</v>
      </c>
      <c r="H555" s="551">
        <v>0.0</v>
      </c>
      <c r="I555" s="553">
        <v>1.0</v>
      </c>
      <c r="J555" s="553">
        <v>1.0</v>
      </c>
      <c r="K555" s="554" t="s">
        <v>188</v>
      </c>
      <c r="L555" s="554"/>
      <c r="M555" s="554">
        <v>1.0</v>
      </c>
      <c r="N555" s="554">
        <v>2.0</v>
      </c>
      <c r="O555" s="555" t="s">
        <v>586</v>
      </c>
      <c r="P555" s="14"/>
      <c r="Q555" s="452" t="str">
        <f>MATCH($D555,Reference!$J$5:$J$9,0)</f>
        <v>3</v>
      </c>
      <c r="R555" s="452" t="str">
        <f>MATCH($E555,Reference!$J$26:$J$32,0)</f>
        <v>2</v>
      </c>
      <c r="S555" s="452" t="str">
        <f>MATCH($F555,Reference!$J$45:$J$54,0)</f>
        <v>10</v>
      </c>
      <c r="T555" s="453" t="str">
        <f>MATCH($K555,Reference!$J$37:$J$39,0)</f>
        <v>3</v>
      </c>
      <c r="U555" s="454" t="str">
        <f t="shared" si="735"/>
        <v>1</v>
      </c>
      <c r="V555" s="454" t="str">
        <f t="shared" si="3"/>
        <v>1</v>
      </c>
      <c r="W555" s="454" t="str">
        <f t="shared" si="889"/>
        <v>0</v>
      </c>
      <c r="X555" s="454" t="str">
        <f t="shared" si="736"/>
        <v>1</v>
      </c>
      <c r="Y555" s="456" t="str">
        <f t="shared" si="5"/>
        <v>FALSE</v>
      </c>
      <c r="Z555" s="456" t="str">
        <f t="shared" si="6"/>
        <v>TRUE</v>
      </c>
      <c r="AA555" s="457" t="str">
        <f t="shared" ref="AA555:AB555" si="890">1-I555</f>
        <v>0%</v>
      </c>
      <c r="AB555" s="457" t="str">
        <f t="shared" si="890"/>
        <v>0%</v>
      </c>
      <c r="AC555" s="456" t="str">
        <f t="shared" si="8"/>
        <v>1</v>
      </c>
      <c r="AD555" s="458" t="str">
        <f t="shared" si="738"/>
        <v>0</v>
      </c>
      <c r="AE555" s="458" t="str">
        <f t="shared" si="10"/>
        <v>1</v>
      </c>
      <c r="AF555" s="459" t="str">
        <f t="shared" si="885"/>
        <v>0</v>
      </c>
      <c r="AG555" s="460"/>
      <c r="AH555" s="14"/>
      <c r="AI555" s="14"/>
      <c r="AJ555" s="14"/>
      <c r="AK555" s="14"/>
      <c r="AL555" s="14"/>
      <c r="AM555" s="14"/>
      <c r="AN555" s="14"/>
      <c r="AO555" s="14"/>
      <c r="AP555" s="14"/>
      <c r="AQ555" s="14"/>
      <c r="AR555" s="14"/>
      <c r="AS555" s="14"/>
      <c r="AT555" s="14"/>
    </row>
    <row r="556">
      <c r="A556" s="442"/>
      <c r="B556" s="547">
        <v>1.0</v>
      </c>
      <c r="C556" s="548" t="s">
        <v>1234</v>
      </c>
      <c r="D556" s="549" t="s">
        <v>21</v>
      </c>
      <c r="E556" s="549" t="s">
        <v>33</v>
      </c>
      <c r="F556" s="550" t="s">
        <v>77</v>
      </c>
      <c r="G556" s="552">
        <v>0.0</v>
      </c>
      <c r="H556" s="551">
        <v>0.0</v>
      </c>
      <c r="I556" s="553">
        <v>1.0</v>
      </c>
      <c r="J556" s="553">
        <v>1.0</v>
      </c>
      <c r="K556" s="549" t="s">
        <v>188</v>
      </c>
      <c r="L556" s="549" t="s">
        <v>498</v>
      </c>
      <c r="M556" s="550">
        <v>1.0</v>
      </c>
      <c r="N556" s="551">
        <v>2.0</v>
      </c>
      <c r="O556" s="555" t="s">
        <v>1235</v>
      </c>
      <c r="P556" s="14"/>
      <c r="Q556" s="452" t="str">
        <f>MATCH($D556,Reference!$J$5:$J$9,0)</f>
        <v>3</v>
      </c>
      <c r="R556" s="452" t="str">
        <f>MATCH($E556,Reference!$J$26:$J$32,0)</f>
        <v>2</v>
      </c>
      <c r="S556" s="452" t="str">
        <f>MATCH($F556,Reference!$J$45:$J$54,0)</f>
        <v>10</v>
      </c>
      <c r="T556" s="453" t="str">
        <f>MATCH($K556,Reference!$J$37:$J$39,0)</f>
        <v>3</v>
      </c>
      <c r="U556" s="454" t="str">
        <f t="shared" si="735"/>
        <v>0</v>
      </c>
      <c r="V556" s="454" t="str">
        <f t="shared" si="3"/>
        <v>0</v>
      </c>
      <c r="W556" s="454" t="str">
        <f t="shared" si="889"/>
        <v>0</v>
      </c>
      <c r="X556" s="454" t="str">
        <f t="shared" si="736"/>
        <v>0</v>
      </c>
      <c r="Y556" s="456" t="str">
        <f t="shared" si="5"/>
        <v>TRUE</v>
      </c>
      <c r="Z556" s="456" t="str">
        <f t="shared" si="6"/>
        <v>TRUE</v>
      </c>
      <c r="AA556" s="457" t="str">
        <f t="shared" ref="AA556:AB556" si="891">1-I556</f>
        <v>0%</v>
      </c>
      <c r="AB556" s="457" t="str">
        <f t="shared" si="891"/>
        <v>0%</v>
      </c>
      <c r="AC556" s="456" t="str">
        <f t="shared" si="8"/>
        <v>0</v>
      </c>
      <c r="AD556" s="458" t="str">
        <f t="shared" si="738"/>
        <v>0</v>
      </c>
      <c r="AE556" s="458" t="str">
        <f t="shared" si="10"/>
        <v>0</v>
      </c>
      <c r="AF556" s="459" t="str">
        <f t="shared" si="885"/>
        <v>0</v>
      </c>
      <c r="AG556" s="460"/>
      <c r="AH556" s="14"/>
      <c r="AI556" s="14"/>
      <c r="AJ556" s="14"/>
      <c r="AK556" s="14"/>
      <c r="AL556" s="14"/>
      <c r="AM556" s="14"/>
      <c r="AN556" s="14"/>
      <c r="AO556" s="14"/>
      <c r="AP556" s="14"/>
      <c r="AQ556" s="14"/>
      <c r="AR556" s="14"/>
      <c r="AS556" s="14"/>
      <c r="AT556" s="14"/>
    </row>
    <row r="557">
      <c r="A557" s="463"/>
      <c r="B557" s="547">
        <v>1.0</v>
      </c>
      <c r="C557" s="548" t="s">
        <v>1236</v>
      </c>
      <c r="D557" s="549" t="s">
        <v>21</v>
      </c>
      <c r="E557" s="549" t="s">
        <v>33</v>
      </c>
      <c r="F557" s="550" t="s">
        <v>77</v>
      </c>
      <c r="G557" s="552">
        <v>2.0</v>
      </c>
      <c r="H557" s="552">
        <v>0.0</v>
      </c>
      <c r="I557" s="553">
        <v>1.0</v>
      </c>
      <c r="J557" s="553">
        <v>1.0</v>
      </c>
      <c r="K557" s="557" t="s">
        <v>188</v>
      </c>
      <c r="L557" s="554"/>
      <c r="M557" s="557">
        <v>1.0</v>
      </c>
      <c r="N557" s="557">
        <v>2.0</v>
      </c>
      <c r="O557" s="555" t="s">
        <v>1237</v>
      </c>
      <c r="P557" s="14"/>
      <c r="Q557" s="452" t="str">
        <f>MATCH($D557,Reference!$J$5:$J$9,0)</f>
        <v>3</v>
      </c>
      <c r="R557" s="452" t="str">
        <f>MATCH($E557,Reference!$J$26:$J$32,0)</f>
        <v>2</v>
      </c>
      <c r="S557" s="452" t="str">
        <f>MATCH($F557,Reference!$J$45:$J$54,0)</f>
        <v>10</v>
      </c>
      <c r="T557" s="453" t="str">
        <f>MATCH($K557,Reference!$J$37:$J$39,0)</f>
        <v>3</v>
      </c>
      <c r="U557" s="454" t="str">
        <f t="shared" si="735"/>
        <v>2</v>
      </c>
      <c r="V557" s="454" t="str">
        <f t="shared" si="3"/>
        <v>1</v>
      </c>
      <c r="W557" s="454" t="str">
        <f t="shared" si="889"/>
        <v>0</v>
      </c>
      <c r="X557" s="454" t="str">
        <f t="shared" si="736"/>
        <v>2</v>
      </c>
      <c r="Y557" s="456" t="str">
        <f t="shared" si="5"/>
        <v>FALSE</v>
      </c>
      <c r="Z557" s="456" t="str">
        <f t="shared" si="6"/>
        <v>FALSE</v>
      </c>
      <c r="AA557" s="457" t="str">
        <f t="shared" ref="AA557:AB557" si="892">1-I557</f>
        <v>0%</v>
      </c>
      <c r="AB557" s="457" t="str">
        <f t="shared" si="892"/>
        <v>0%</v>
      </c>
      <c r="AC557" s="456" t="str">
        <f t="shared" si="8"/>
        <v>2</v>
      </c>
      <c r="AD557" s="458" t="str">
        <f t="shared" si="738"/>
        <v>0</v>
      </c>
      <c r="AE557" s="458" t="str">
        <f t="shared" si="10"/>
        <v>1</v>
      </c>
      <c r="AF557" s="459" t="str">
        <f t="shared" si="885"/>
        <v>0</v>
      </c>
      <c r="AG557" s="460"/>
      <c r="AH557" s="14"/>
      <c r="AI557" s="14"/>
      <c r="AJ557" s="14"/>
      <c r="AK557" s="14"/>
      <c r="AL557" s="14"/>
      <c r="AM557" s="14"/>
      <c r="AN557" s="14"/>
      <c r="AO557" s="14"/>
      <c r="AP557" s="14"/>
      <c r="AQ557" s="14"/>
      <c r="AR557" s="14"/>
      <c r="AS557" s="14"/>
      <c r="AT557" s="14"/>
    </row>
    <row r="558">
      <c r="A558" s="442"/>
      <c r="B558" s="547">
        <v>1.0</v>
      </c>
      <c r="C558" s="548" t="s">
        <v>1238</v>
      </c>
      <c r="D558" s="549" t="s">
        <v>21</v>
      </c>
      <c r="E558" s="549" t="s">
        <v>33</v>
      </c>
      <c r="F558" s="550" t="s">
        <v>77</v>
      </c>
      <c r="G558" s="551">
        <v>2.0</v>
      </c>
      <c r="H558" s="551">
        <v>0.0</v>
      </c>
      <c r="I558" s="553">
        <v>1.0</v>
      </c>
      <c r="J558" s="553">
        <v>1.0</v>
      </c>
      <c r="K558" s="554" t="s">
        <v>188</v>
      </c>
      <c r="L558" s="554"/>
      <c r="M558" s="554">
        <v>2.0</v>
      </c>
      <c r="N558" s="554">
        <v>1.0</v>
      </c>
      <c r="O558" s="555" t="s">
        <v>1239</v>
      </c>
      <c r="P558" s="14"/>
      <c r="Q558" s="452" t="str">
        <f>MATCH($D558,Reference!$J$5:$J$9,0)</f>
        <v>3</v>
      </c>
      <c r="R558" s="452" t="str">
        <f>MATCH($E558,Reference!$J$26:$J$32,0)</f>
        <v>2</v>
      </c>
      <c r="S558" s="452" t="str">
        <f>MATCH($F558,Reference!$J$45:$J$54,0)</f>
        <v>10</v>
      </c>
      <c r="T558" s="453" t="str">
        <f>MATCH($K558,Reference!$J$37:$J$39,0)</f>
        <v>3</v>
      </c>
      <c r="U558" s="454" t="str">
        <f t="shared" si="735"/>
        <v>2</v>
      </c>
      <c r="V558" s="454" t="str">
        <f t="shared" si="3"/>
        <v>1</v>
      </c>
      <c r="W558" s="454" t="str">
        <f t="shared" si="889"/>
        <v>0</v>
      </c>
      <c r="X558" s="454" t="str">
        <f t="shared" si="736"/>
        <v>2</v>
      </c>
      <c r="Y558" s="456" t="str">
        <f t="shared" si="5"/>
        <v>FALSE</v>
      </c>
      <c r="Z558" s="456" t="str">
        <f t="shared" si="6"/>
        <v>FALSE</v>
      </c>
      <c r="AA558" s="457" t="str">
        <f t="shared" ref="AA558:AB558" si="893">1-I558</f>
        <v>0%</v>
      </c>
      <c r="AB558" s="457" t="str">
        <f t="shared" si="893"/>
        <v>0%</v>
      </c>
      <c r="AC558" s="456" t="str">
        <f t="shared" si="8"/>
        <v>2</v>
      </c>
      <c r="AD558" s="458" t="str">
        <f t="shared" si="738"/>
        <v>0</v>
      </c>
      <c r="AE558" s="458" t="str">
        <f t="shared" si="10"/>
        <v>1</v>
      </c>
      <c r="AF558" s="459" t="str">
        <f t="shared" si="885"/>
        <v>0</v>
      </c>
      <c r="AG558" s="460"/>
      <c r="AH558" s="14"/>
      <c r="AI558" s="14"/>
      <c r="AJ558" s="14"/>
      <c r="AK558" s="14"/>
      <c r="AL558" s="14"/>
      <c r="AM558" s="14"/>
      <c r="AN558" s="14"/>
      <c r="AO558" s="14"/>
      <c r="AP558" s="14"/>
      <c r="AQ558" s="14"/>
      <c r="AR558" s="14"/>
      <c r="AS558" s="14"/>
      <c r="AT558" s="14"/>
    </row>
    <row r="559">
      <c r="A559" s="463"/>
      <c r="B559" s="547">
        <v>2.0</v>
      </c>
      <c r="C559" s="548" t="s">
        <v>1240</v>
      </c>
      <c r="D559" s="549" t="s">
        <v>21</v>
      </c>
      <c r="E559" s="549" t="s">
        <v>33</v>
      </c>
      <c r="F559" s="550" t="s">
        <v>77</v>
      </c>
      <c r="G559" s="551">
        <v>2.0</v>
      </c>
      <c r="H559" s="551">
        <v>0.0</v>
      </c>
      <c r="I559" s="553">
        <v>1.0</v>
      </c>
      <c r="J559" s="553">
        <v>1.0</v>
      </c>
      <c r="K559" s="554" t="s">
        <v>188</v>
      </c>
      <c r="L559" s="554"/>
      <c r="M559" s="554">
        <v>4.0</v>
      </c>
      <c r="N559" s="554">
        <v>5.0</v>
      </c>
      <c r="O559" s="555" t="s">
        <v>1241</v>
      </c>
      <c r="P559" s="14"/>
      <c r="Q559" s="452" t="str">
        <f>MATCH($D559,Reference!$J$5:$J$9,0)</f>
        <v>3</v>
      </c>
      <c r="R559" s="452" t="str">
        <f>MATCH($E559,Reference!$J$26:$J$32,0)</f>
        <v>2</v>
      </c>
      <c r="S559" s="452" t="str">
        <f>MATCH($F559,Reference!$J$45:$J$54,0)</f>
        <v>10</v>
      </c>
      <c r="T559" s="453" t="str">
        <f>MATCH($K559,Reference!$J$37:$J$39,0)</f>
        <v>3</v>
      </c>
      <c r="U559" s="454" t="str">
        <f t="shared" si="735"/>
        <v>2</v>
      </c>
      <c r="V559" s="454" t="str">
        <f t="shared" si="3"/>
        <v>1</v>
      </c>
      <c r="W559" s="454" t="str">
        <f t="shared" si="889"/>
        <v>0</v>
      </c>
      <c r="X559" s="454" t="str">
        <f t="shared" si="736"/>
        <v>2</v>
      </c>
      <c r="Y559" s="456" t="str">
        <f t="shared" si="5"/>
        <v>FALSE</v>
      </c>
      <c r="Z559" s="456" t="str">
        <f t="shared" si="6"/>
        <v>FALSE</v>
      </c>
      <c r="AA559" s="457" t="str">
        <f t="shared" ref="AA559:AB559" si="894">1-I559</f>
        <v>0%</v>
      </c>
      <c r="AB559" s="457" t="str">
        <f t="shared" si="894"/>
        <v>0%</v>
      </c>
      <c r="AC559" s="456" t="str">
        <f t="shared" si="8"/>
        <v>2</v>
      </c>
      <c r="AD559" s="458" t="str">
        <f t="shared" si="738"/>
        <v>0</v>
      </c>
      <c r="AE559" s="458" t="str">
        <f t="shared" si="10"/>
        <v>1</v>
      </c>
      <c r="AF559" s="459" t="str">
        <f t="shared" si="885"/>
        <v>0</v>
      </c>
      <c r="AG559" s="460"/>
      <c r="AH559" s="14"/>
      <c r="AI559" s="14"/>
      <c r="AJ559" s="14"/>
      <c r="AK559" s="14"/>
      <c r="AL559" s="14"/>
      <c r="AM559" s="14"/>
      <c r="AN559" s="14"/>
      <c r="AO559" s="14"/>
      <c r="AP559" s="14"/>
      <c r="AQ559" s="14"/>
      <c r="AR559" s="14"/>
      <c r="AS559" s="14"/>
      <c r="AT559" s="14"/>
    </row>
    <row r="560">
      <c r="A560" s="463"/>
      <c r="B560" s="560">
        <v>2.0</v>
      </c>
      <c r="C560" s="561" t="s">
        <v>1242</v>
      </c>
      <c r="D560" s="562" t="s">
        <v>21</v>
      </c>
      <c r="E560" s="563" t="s">
        <v>36</v>
      </c>
      <c r="F560" s="563" t="s">
        <v>77</v>
      </c>
      <c r="G560" s="564">
        <v>2.0</v>
      </c>
      <c r="H560" s="564">
        <v>0.0</v>
      </c>
      <c r="I560" s="565">
        <v>1.0</v>
      </c>
      <c r="J560" s="565">
        <v>1.0</v>
      </c>
      <c r="K560" s="563" t="s">
        <v>188</v>
      </c>
      <c r="L560" s="563"/>
      <c r="M560" s="563">
        <v>2.0</v>
      </c>
      <c r="N560" s="563">
        <v>4.0</v>
      </c>
      <c r="O560" s="566" t="s">
        <v>1243</v>
      </c>
      <c r="P560" s="14"/>
      <c r="Q560" s="452" t="str">
        <f>MATCH($D560,Reference!$J$5:$J$9,0)</f>
        <v>3</v>
      </c>
      <c r="R560" s="452" t="str">
        <f>MATCH($E560,Reference!$J$26:$J$32,0)</f>
        <v>7</v>
      </c>
      <c r="S560" s="452" t="str">
        <f>MATCH($F560,Reference!$J$45:$J$54,0)</f>
        <v>10</v>
      </c>
      <c r="T560" s="453" t="str">
        <f>MATCH($K560,Reference!$J$37:$J$39,0)</f>
        <v>3</v>
      </c>
      <c r="U560" s="454" t="str">
        <f t="shared" si="735"/>
        <v>2</v>
      </c>
      <c r="V560" s="454" t="str">
        <f t="shared" si="3"/>
        <v>1</v>
      </c>
      <c r="W560" s="454" t="str">
        <f t="shared" si="889"/>
        <v>0</v>
      </c>
      <c r="X560" s="454" t="str">
        <f t="shared" si="736"/>
        <v>2</v>
      </c>
      <c r="Y560" s="456" t="str">
        <f t="shared" si="5"/>
        <v>FALSE</v>
      </c>
      <c r="Z560" s="456" t="str">
        <f t="shared" si="6"/>
        <v>FALSE</v>
      </c>
      <c r="AA560" s="457" t="str">
        <f t="shared" ref="AA560:AB560" si="895">1-I560</f>
        <v>0%</v>
      </c>
      <c r="AB560" s="457" t="str">
        <f t="shared" si="895"/>
        <v>0%</v>
      </c>
      <c r="AC560" s="456" t="str">
        <f t="shared" si="8"/>
        <v>2</v>
      </c>
      <c r="AD560" s="458" t="str">
        <f t="shared" si="738"/>
        <v>0</v>
      </c>
      <c r="AE560" s="458" t="str">
        <f t="shared" si="10"/>
        <v>1</v>
      </c>
      <c r="AF560" s="459" t="str">
        <f t="shared" si="885"/>
        <v>0</v>
      </c>
      <c r="AG560" s="460"/>
      <c r="AH560" s="14"/>
      <c r="AI560" s="14"/>
      <c r="AJ560" s="14"/>
      <c r="AK560" s="14"/>
      <c r="AL560" s="14"/>
      <c r="AM560" s="14"/>
      <c r="AN560" s="14"/>
      <c r="AO560" s="14"/>
      <c r="AP560" s="14"/>
      <c r="AQ560" s="14"/>
      <c r="AR560" s="14"/>
      <c r="AS560" s="14"/>
      <c r="AT560" s="14"/>
    </row>
    <row r="561">
      <c r="A561" s="442"/>
      <c r="B561" s="547">
        <v>2.0</v>
      </c>
      <c r="C561" s="548" t="s">
        <v>1244</v>
      </c>
      <c r="D561" s="549" t="s">
        <v>21</v>
      </c>
      <c r="E561" s="549" t="s">
        <v>33</v>
      </c>
      <c r="F561" s="550" t="s">
        <v>77</v>
      </c>
      <c r="G561" s="551">
        <v>2.0</v>
      </c>
      <c r="H561" s="551">
        <v>0.0</v>
      </c>
      <c r="I561" s="553">
        <v>1.0</v>
      </c>
      <c r="J561" s="553">
        <v>1.0</v>
      </c>
      <c r="K561" s="554" t="s">
        <v>188</v>
      </c>
      <c r="L561" s="554"/>
      <c r="M561" s="554">
        <v>2.0</v>
      </c>
      <c r="N561" s="554">
        <v>2.0</v>
      </c>
      <c r="O561" s="555" t="s">
        <v>1245</v>
      </c>
      <c r="P561" s="14"/>
      <c r="Q561" s="452" t="str">
        <f>MATCH($D561,Reference!$J$5:$J$9,0)</f>
        <v>3</v>
      </c>
      <c r="R561" s="452" t="str">
        <f>MATCH($E561,Reference!$J$26:$J$32,0)</f>
        <v>2</v>
      </c>
      <c r="S561" s="452" t="str">
        <f>MATCH($F561,Reference!$J$45:$J$54,0)</f>
        <v>10</v>
      </c>
      <c r="T561" s="453" t="str">
        <f>MATCH($K561,Reference!$J$37:$J$39,0)</f>
        <v>3</v>
      </c>
      <c r="U561" s="454" t="str">
        <f t="shared" si="735"/>
        <v>2</v>
      </c>
      <c r="V561" s="454" t="str">
        <f t="shared" si="3"/>
        <v>1</v>
      </c>
      <c r="W561" s="454" t="str">
        <f t="shared" si="889"/>
        <v>0</v>
      </c>
      <c r="X561" s="454" t="str">
        <f t="shared" si="736"/>
        <v>2</v>
      </c>
      <c r="Y561" s="456" t="str">
        <f t="shared" si="5"/>
        <v>FALSE</v>
      </c>
      <c r="Z561" s="456" t="str">
        <f t="shared" si="6"/>
        <v>FALSE</v>
      </c>
      <c r="AA561" s="457" t="str">
        <f t="shared" ref="AA561:AB561" si="896">1-I561</f>
        <v>0%</v>
      </c>
      <c r="AB561" s="457" t="str">
        <f t="shared" si="896"/>
        <v>0%</v>
      </c>
      <c r="AC561" s="456" t="str">
        <f t="shared" si="8"/>
        <v>2</v>
      </c>
      <c r="AD561" s="458" t="str">
        <f t="shared" si="738"/>
        <v>0</v>
      </c>
      <c r="AE561" s="458" t="str">
        <f t="shared" si="10"/>
        <v>1</v>
      </c>
      <c r="AF561" s="459" t="str">
        <f t="shared" si="885"/>
        <v>0</v>
      </c>
      <c r="AG561" s="460"/>
      <c r="AH561" s="14"/>
      <c r="AI561" s="14"/>
      <c r="AJ561" s="14"/>
      <c r="AK561" s="14"/>
      <c r="AL561" s="14"/>
      <c r="AM561" s="14"/>
      <c r="AN561" s="14"/>
      <c r="AO561" s="14"/>
      <c r="AP561" s="14"/>
      <c r="AQ561" s="14"/>
      <c r="AR561" s="14"/>
      <c r="AS561" s="14"/>
      <c r="AT561" s="14"/>
    </row>
    <row r="562">
      <c r="A562" s="442"/>
      <c r="B562" s="547">
        <v>2.0</v>
      </c>
      <c r="C562" s="548" t="s">
        <v>1246</v>
      </c>
      <c r="D562" s="549" t="s">
        <v>21</v>
      </c>
      <c r="E562" s="549" t="s">
        <v>33</v>
      </c>
      <c r="F562" s="550" t="s">
        <v>77</v>
      </c>
      <c r="G562" s="551">
        <v>2.0</v>
      </c>
      <c r="H562" s="552">
        <v>0.0</v>
      </c>
      <c r="I562" s="553">
        <v>1.0</v>
      </c>
      <c r="J562" s="553">
        <v>1.0</v>
      </c>
      <c r="K562" s="554" t="s">
        <v>188</v>
      </c>
      <c r="L562" s="554"/>
      <c r="M562" s="554">
        <v>3.0</v>
      </c>
      <c r="N562" s="554">
        <v>2.0</v>
      </c>
      <c r="O562" s="555" t="s">
        <v>1247</v>
      </c>
      <c r="P562" s="14"/>
      <c r="Q562" s="452" t="str">
        <f>MATCH($D562,Reference!$J$5:$J$9,0)</f>
        <v>3</v>
      </c>
      <c r="R562" s="452" t="str">
        <f>MATCH($E562,Reference!$J$26:$J$32,0)</f>
        <v>2</v>
      </c>
      <c r="S562" s="452" t="str">
        <f>MATCH($F562,Reference!$J$45:$J$54,0)</f>
        <v>10</v>
      </c>
      <c r="T562" s="453" t="str">
        <f>MATCH($K562,Reference!$J$37:$J$39,0)</f>
        <v>3</v>
      </c>
      <c r="U562" s="454" t="str">
        <f t="shared" si="735"/>
        <v>2</v>
      </c>
      <c r="V562" s="454" t="str">
        <f t="shared" si="3"/>
        <v>1</v>
      </c>
      <c r="W562" s="454" t="str">
        <f t="shared" si="889"/>
        <v>0</v>
      </c>
      <c r="X562" s="454" t="str">
        <f t="shared" si="736"/>
        <v>2</v>
      </c>
      <c r="Y562" s="456" t="str">
        <f t="shared" si="5"/>
        <v>FALSE</v>
      </c>
      <c r="Z562" s="456" t="str">
        <f t="shared" si="6"/>
        <v>FALSE</v>
      </c>
      <c r="AA562" s="457" t="str">
        <f t="shared" ref="AA562:AB562" si="897">1-I562</f>
        <v>0%</v>
      </c>
      <c r="AB562" s="457" t="str">
        <f t="shared" si="897"/>
        <v>0%</v>
      </c>
      <c r="AC562" s="456" t="str">
        <f t="shared" si="8"/>
        <v>2</v>
      </c>
      <c r="AD562" s="458" t="str">
        <f t="shared" si="738"/>
        <v>0</v>
      </c>
      <c r="AE562" s="458" t="str">
        <f t="shared" si="10"/>
        <v>1</v>
      </c>
      <c r="AF562" s="459" t="str">
        <f t="shared" si="885"/>
        <v>0</v>
      </c>
      <c r="AG562" s="460"/>
      <c r="AH562" s="14"/>
      <c r="AI562" s="14"/>
      <c r="AJ562" s="14"/>
      <c r="AK562" s="14"/>
      <c r="AL562" s="14"/>
      <c r="AM562" s="14"/>
      <c r="AN562" s="14"/>
      <c r="AO562" s="14"/>
      <c r="AP562" s="14"/>
      <c r="AQ562" s="14"/>
      <c r="AR562" s="14"/>
      <c r="AS562" s="14"/>
      <c r="AT562" s="14"/>
    </row>
    <row r="563">
      <c r="A563" s="571"/>
      <c r="B563" s="547">
        <v>2.0</v>
      </c>
      <c r="C563" s="548" t="s">
        <v>1248</v>
      </c>
      <c r="D563" s="549" t="s">
        <v>21</v>
      </c>
      <c r="E563" s="549" t="s">
        <v>33</v>
      </c>
      <c r="F563" s="550" t="s">
        <v>77</v>
      </c>
      <c r="G563" s="551">
        <v>2.0</v>
      </c>
      <c r="H563" s="551">
        <v>0.0</v>
      </c>
      <c r="I563" s="553">
        <v>1.0</v>
      </c>
      <c r="J563" s="553">
        <v>1.0</v>
      </c>
      <c r="K563" s="549" t="s">
        <v>188</v>
      </c>
      <c r="L563" s="549"/>
      <c r="M563" s="550">
        <v>1.0</v>
      </c>
      <c r="N563" s="551">
        <v>3.0</v>
      </c>
      <c r="O563" s="555" t="s">
        <v>1249</v>
      </c>
      <c r="P563" s="14"/>
      <c r="Q563" s="452" t="str">
        <f>MATCH($D563,Reference!$J$5:$J$9,0)</f>
        <v>3</v>
      </c>
      <c r="R563" s="452" t="str">
        <f>MATCH($E563,Reference!$J$26:$J$32,0)</f>
        <v>2</v>
      </c>
      <c r="S563" s="452" t="str">
        <f>MATCH($F563,Reference!$J$45:$J$54,0)</f>
        <v>10</v>
      </c>
      <c r="T563" s="453" t="str">
        <f>MATCH($K563,Reference!$J$37:$J$39,0)</f>
        <v>3</v>
      </c>
      <c r="U563" s="454" t="str">
        <f t="shared" si="735"/>
        <v>2</v>
      </c>
      <c r="V563" s="454" t="str">
        <f t="shared" si="3"/>
        <v>1</v>
      </c>
      <c r="W563" s="454" t="str">
        <f t="shared" si="889"/>
        <v>0</v>
      </c>
      <c r="X563" s="454" t="str">
        <f t="shared" si="736"/>
        <v>2</v>
      </c>
      <c r="Y563" s="456" t="str">
        <f t="shared" si="5"/>
        <v>FALSE</v>
      </c>
      <c r="Z563" s="456" t="str">
        <f t="shared" si="6"/>
        <v>FALSE</v>
      </c>
      <c r="AA563" s="457" t="str">
        <f t="shared" ref="AA563:AB563" si="898">1-I563</f>
        <v>0%</v>
      </c>
      <c r="AB563" s="457" t="str">
        <f t="shared" si="898"/>
        <v>0%</v>
      </c>
      <c r="AC563" s="456" t="str">
        <f t="shared" si="8"/>
        <v>2</v>
      </c>
      <c r="AD563" s="458" t="str">
        <f t="shared" si="738"/>
        <v>0</v>
      </c>
      <c r="AE563" s="458" t="str">
        <f t="shared" si="10"/>
        <v>1</v>
      </c>
      <c r="AF563" s="459" t="str">
        <f t="shared" si="885"/>
        <v>0</v>
      </c>
      <c r="AG563" s="460"/>
      <c r="AH563" s="14"/>
      <c r="AI563" s="14"/>
      <c r="AJ563" s="14"/>
      <c r="AK563" s="14"/>
      <c r="AL563" s="14"/>
      <c r="AM563" s="14"/>
      <c r="AN563" s="14"/>
      <c r="AO563" s="14"/>
      <c r="AP563" s="14"/>
      <c r="AQ563" s="14"/>
      <c r="AR563" s="14"/>
      <c r="AS563" s="14"/>
      <c r="AT563" s="14"/>
    </row>
    <row r="564">
      <c r="A564" s="442"/>
      <c r="B564" s="547">
        <v>2.0</v>
      </c>
      <c r="C564" s="548" t="s">
        <v>1250</v>
      </c>
      <c r="D564" s="549" t="s">
        <v>21</v>
      </c>
      <c r="E564" s="549" t="s">
        <v>33</v>
      </c>
      <c r="F564" s="550" t="s">
        <v>77</v>
      </c>
      <c r="G564" s="552">
        <v>0.0</v>
      </c>
      <c r="H564" s="551">
        <v>0.0</v>
      </c>
      <c r="I564" s="553">
        <v>1.0</v>
      </c>
      <c r="J564" s="553">
        <v>1.0</v>
      </c>
      <c r="K564" s="549" t="s">
        <v>188</v>
      </c>
      <c r="L564" s="549"/>
      <c r="M564" s="550">
        <v>2.0</v>
      </c>
      <c r="N564" s="551">
        <v>2.0</v>
      </c>
      <c r="O564" s="555" t="s">
        <v>1251</v>
      </c>
      <c r="P564" s="14"/>
      <c r="Q564" s="452" t="str">
        <f>MATCH($D564,Reference!$J$5:$J$9,0)</f>
        <v>3</v>
      </c>
      <c r="R564" s="452" t="str">
        <f>MATCH($E564,Reference!$J$26:$J$32,0)</f>
        <v>2</v>
      </c>
      <c r="S564" s="452" t="str">
        <f>MATCH($F564,Reference!$J$45:$J$54,0)</f>
        <v>10</v>
      </c>
      <c r="T564" s="453" t="str">
        <f>MATCH($K564,Reference!$J$37:$J$39,0)</f>
        <v>3</v>
      </c>
      <c r="U564" s="454" t="str">
        <f t="shared" si="735"/>
        <v>0</v>
      </c>
      <c r="V564" s="454" t="str">
        <f t="shared" si="3"/>
        <v>0</v>
      </c>
      <c r="W564" s="454" t="str">
        <f t="shared" si="889"/>
        <v>0</v>
      </c>
      <c r="X564" s="454" t="str">
        <f t="shared" si="736"/>
        <v>0</v>
      </c>
      <c r="Y564" s="456" t="str">
        <f t="shared" si="5"/>
        <v>TRUE</v>
      </c>
      <c r="Z564" s="456" t="str">
        <f t="shared" si="6"/>
        <v>TRUE</v>
      </c>
      <c r="AA564" s="457" t="str">
        <f t="shared" ref="AA564:AB564" si="899">1-I564</f>
        <v>0%</v>
      </c>
      <c r="AB564" s="457" t="str">
        <f t="shared" si="899"/>
        <v>0%</v>
      </c>
      <c r="AC564" s="456" t="str">
        <f t="shared" si="8"/>
        <v>0</v>
      </c>
      <c r="AD564" s="458" t="str">
        <f t="shared" si="738"/>
        <v>0</v>
      </c>
      <c r="AE564" s="458" t="str">
        <f t="shared" si="10"/>
        <v>0</v>
      </c>
      <c r="AF564" s="459" t="str">
        <f t="shared" si="885"/>
        <v>0</v>
      </c>
      <c r="AG564" s="460"/>
      <c r="AH564" s="14"/>
      <c r="AI564" s="14"/>
      <c r="AJ564" s="14"/>
      <c r="AK564" s="14"/>
      <c r="AL564" s="14"/>
      <c r="AM564" s="14"/>
      <c r="AN564" s="14"/>
      <c r="AO564" s="14"/>
      <c r="AP564" s="14"/>
      <c r="AQ564" s="14"/>
      <c r="AR564" s="14"/>
      <c r="AS564" s="14"/>
      <c r="AT564" s="14"/>
    </row>
    <row r="565">
      <c r="A565" s="442"/>
      <c r="B565" s="547">
        <v>2.0</v>
      </c>
      <c r="C565" s="548" t="s">
        <v>1252</v>
      </c>
      <c r="D565" s="549" t="s">
        <v>21</v>
      </c>
      <c r="E565" s="549" t="s">
        <v>33</v>
      </c>
      <c r="F565" s="550" t="s">
        <v>77</v>
      </c>
      <c r="G565" s="751">
        <v>2.0</v>
      </c>
      <c r="H565" s="551">
        <v>0.0</v>
      </c>
      <c r="I565" s="553">
        <v>1.0</v>
      </c>
      <c r="J565" s="553">
        <v>1.0</v>
      </c>
      <c r="K565" s="549" t="s">
        <v>188</v>
      </c>
      <c r="L565" s="549"/>
      <c r="M565" s="550">
        <v>1.0</v>
      </c>
      <c r="N565" s="751">
        <v>3.0</v>
      </c>
      <c r="O565" s="555" t="s">
        <v>1253</v>
      </c>
      <c r="P565" s="14"/>
      <c r="Q565" s="452" t="str">
        <f>MATCH($D565,Reference!$J$5:$J$9,0)</f>
        <v>3</v>
      </c>
      <c r="R565" s="452" t="str">
        <f>MATCH($E565,Reference!$J$26:$J$32,0)</f>
        <v>2</v>
      </c>
      <c r="S565" s="452" t="str">
        <f>MATCH($F565,Reference!$J$45:$J$54,0)</f>
        <v>10</v>
      </c>
      <c r="T565" s="453" t="str">
        <f>MATCH($K565,Reference!$J$37:$J$39,0)</f>
        <v>3</v>
      </c>
      <c r="U565" s="454" t="str">
        <f t="shared" si="735"/>
        <v>2</v>
      </c>
      <c r="V565" s="454" t="str">
        <f t="shared" si="3"/>
        <v>1</v>
      </c>
      <c r="W565" s="454" t="str">
        <f t="shared" si="889"/>
        <v>0</v>
      </c>
      <c r="X565" s="454" t="str">
        <f t="shared" si="736"/>
        <v>2</v>
      </c>
      <c r="Y565" s="456" t="str">
        <f t="shared" si="5"/>
        <v>FALSE</v>
      </c>
      <c r="Z565" s="456" t="str">
        <f t="shared" si="6"/>
        <v>FALSE</v>
      </c>
      <c r="AA565" s="457" t="str">
        <f t="shared" ref="AA565:AB565" si="900">1-I565</f>
        <v>0%</v>
      </c>
      <c r="AB565" s="457" t="str">
        <f t="shared" si="900"/>
        <v>0%</v>
      </c>
      <c r="AC565" s="456" t="str">
        <f t="shared" si="8"/>
        <v>2</v>
      </c>
      <c r="AD565" s="458" t="str">
        <f t="shared" si="738"/>
        <v>0</v>
      </c>
      <c r="AE565" s="458" t="str">
        <f t="shared" si="10"/>
        <v>1</v>
      </c>
      <c r="AF565" s="459" t="str">
        <f t="shared" si="885"/>
        <v>0</v>
      </c>
      <c r="AG565" s="460"/>
      <c r="AH565" s="14"/>
      <c r="AI565" s="14"/>
      <c r="AJ565" s="14"/>
      <c r="AK565" s="14"/>
      <c r="AL565" s="14"/>
      <c r="AM565" s="14"/>
      <c r="AN565" s="14"/>
      <c r="AO565" s="14"/>
      <c r="AP565" s="14"/>
      <c r="AQ565" s="14"/>
      <c r="AR565" s="14"/>
      <c r="AS565" s="14"/>
      <c r="AT565" s="14"/>
    </row>
    <row r="566">
      <c r="A566" s="442"/>
      <c r="B566" s="752">
        <v>2.0</v>
      </c>
      <c r="C566" s="753" t="s">
        <v>1254</v>
      </c>
      <c r="D566" s="754" t="s">
        <v>21</v>
      </c>
      <c r="E566" s="754" t="s">
        <v>41</v>
      </c>
      <c r="F566" s="755" t="s">
        <v>77</v>
      </c>
      <c r="G566" s="756" t="str">
        <f>IF(Summary!$Y$25&gt;=VLOOKUP(C566,Reference!$N$41:$O$70,2,0),2,0)</f>
        <v>2</v>
      </c>
      <c r="H566" s="756">
        <v>0.0</v>
      </c>
      <c r="I566" s="757">
        <v>1.0</v>
      </c>
      <c r="J566" s="757"/>
      <c r="K566" s="754" t="s">
        <v>188</v>
      </c>
      <c r="L566" s="754"/>
      <c r="M566" s="755">
        <v>0.0</v>
      </c>
      <c r="N566" s="756">
        <v>2.0</v>
      </c>
      <c r="O566" s="758" t="s">
        <v>1255</v>
      </c>
      <c r="P566" s="14"/>
      <c r="Q566" s="452" t="str">
        <f>MATCH($D566,Reference!$J$5:$J$9,0)</f>
        <v>3</v>
      </c>
      <c r="R566" s="452" t="str">
        <f>MATCH($E566,Reference!$J$26:$J$32,0)</f>
        <v>4</v>
      </c>
      <c r="S566" s="452" t="str">
        <f>MATCH($F566,Reference!$J$45:$J$54,0)</f>
        <v>10</v>
      </c>
      <c r="T566" s="453" t="str">
        <f>MATCH($K566,Reference!$J$37:$J$39,0)</f>
        <v>3</v>
      </c>
      <c r="U566" s="454" t="str">
        <f t="shared" si="735"/>
        <v>2</v>
      </c>
      <c r="V566" s="454" t="str">
        <f t="shared" si="3"/>
        <v>1</v>
      </c>
      <c r="W566" s="455">
        <v>0.0</v>
      </c>
      <c r="X566" s="454" t="str">
        <f t="shared" si="736"/>
        <v>2</v>
      </c>
      <c r="Y566" s="456" t="str">
        <f t="shared" si="5"/>
        <v>FALSE</v>
      </c>
      <c r="Z566" s="456" t="str">
        <f t="shared" si="6"/>
        <v>FALSE</v>
      </c>
      <c r="AA566" s="457" t="str">
        <f t="shared" ref="AA566:AB566" si="901">1-I566</f>
        <v>0%</v>
      </c>
      <c r="AB566" s="457" t="str">
        <f t="shared" si="901"/>
        <v>100%</v>
      </c>
      <c r="AC566" s="456" t="str">
        <f t="shared" si="8"/>
        <v>2</v>
      </c>
      <c r="AD566" s="458" t="str">
        <f t="shared" si="738"/>
        <v>0</v>
      </c>
      <c r="AE566" s="458" t="str">
        <f t="shared" si="10"/>
        <v>1</v>
      </c>
      <c r="AF566" s="459" t="str">
        <f t="shared" si="885"/>
        <v>0</v>
      </c>
      <c r="AG566" s="460"/>
      <c r="AH566" s="14"/>
      <c r="AI566" s="14"/>
      <c r="AJ566" s="14"/>
      <c r="AK566" s="14"/>
      <c r="AL566" s="14"/>
      <c r="AM566" s="14"/>
      <c r="AN566" s="14"/>
      <c r="AO566" s="14"/>
      <c r="AP566" s="14"/>
      <c r="AQ566" s="14"/>
      <c r="AR566" s="14"/>
      <c r="AS566" s="14"/>
      <c r="AT566" s="14"/>
    </row>
    <row r="567">
      <c r="A567" s="466"/>
      <c r="B567" s="547">
        <v>2.0</v>
      </c>
      <c r="C567" s="548" t="s">
        <v>1256</v>
      </c>
      <c r="D567" s="549" t="s">
        <v>21</v>
      </c>
      <c r="E567" s="549" t="s">
        <v>33</v>
      </c>
      <c r="F567" s="550" t="s">
        <v>77</v>
      </c>
      <c r="G567" s="551">
        <v>2.0</v>
      </c>
      <c r="H567" s="551">
        <v>0.0</v>
      </c>
      <c r="I567" s="553">
        <v>1.0</v>
      </c>
      <c r="J567" s="553">
        <v>1.0</v>
      </c>
      <c r="K567" s="554" t="s">
        <v>188</v>
      </c>
      <c r="L567" s="554"/>
      <c r="M567" s="554">
        <v>2.0</v>
      </c>
      <c r="N567" s="554">
        <v>2.0</v>
      </c>
      <c r="O567" s="555" t="s">
        <v>1257</v>
      </c>
      <c r="P567" s="14"/>
      <c r="Q567" s="452" t="str">
        <f>MATCH($D567,Reference!$J$5:$J$9,0)</f>
        <v>3</v>
      </c>
      <c r="R567" s="452" t="str">
        <f>MATCH($E567,Reference!$J$26:$J$32,0)</f>
        <v>2</v>
      </c>
      <c r="S567" s="452" t="str">
        <f>MATCH($F567,Reference!$J$45:$J$54,0)</f>
        <v>10</v>
      </c>
      <c r="T567" s="453" t="str">
        <f>MATCH($K567,Reference!$J$37:$J$39,0)</f>
        <v>3</v>
      </c>
      <c r="U567" s="454" t="str">
        <f t="shared" si="735"/>
        <v>2</v>
      </c>
      <c r="V567" s="454" t="str">
        <f t="shared" si="3"/>
        <v>1</v>
      </c>
      <c r="W567" s="454" t="str">
        <f t="shared" ref="W567:W574" si="903">(MIN(G567,2)+H567-U567)*100</f>
        <v>0</v>
      </c>
      <c r="X567" s="454" t="str">
        <f t="shared" si="736"/>
        <v>2</v>
      </c>
      <c r="Y567" s="456" t="str">
        <f t="shared" si="5"/>
        <v>FALSE</v>
      </c>
      <c r="Z567" s="456" t="str">
        <f t="shared" si="6"/>
        <v>FALSE</v>
      </c>
      <c r="AA567" s="457" t="str">
        <f t="shared" ref="AA567:AB567" si="902">1-I567</f>
        <v>0%</v>
      </c>
      <c r="AB567" s="457" t="str">
        <f t="shared" si="902"/>
        <v>0%</v>
      </c>
      <c r="AC567" s="456" t="str">
        <f t="shared" si="8"/>
        <v>2</v>
      </c>
      <c r="AD567" s="458" t="str">
        <f t="shared" si="738"/>
        <v>0</v>
      </c>
      <c r="AE567" s="458" t="str">
        <f t="shared" si="10"/>
        <v>1</v>
      </c>
      <c r="AF567" s="459" t="str">
        <f t="shared" si="885"/>
        <v>0</v>
      </c>
      <c r="AG567" s="460"/>
      <c r="AH567" s="14"/>
      <c r="AI567" s="14"/>
      <c r="AJ567" s="14"/>
      <c r="AK567" s="14"/>
      <c r="AL567" s="14"/>
      <c r="AM567" s="14"/>
      <c r="AN567" s="14"/>
      <c r="AO567" s="14"/>
      <c r="AP567" s="14"/>
      <c r="AQ567" s="14"/>
      <c r="AR567" s="14"/>
      <c r="AS567" s="14"/>
      <c r="AT567" s="14"/>
    </row>
    <row r="568">
      <c r="A568" s="442"/>
      <c r="B568" s="547">
        <v>2.0</v>
      </c>
      <c r="C568" s="548" t="s">
        <v>1258</v>
      </c>
      <c r="D568" s="549" t="s">
        <v>21</v>
      </c>
      <c r="E568" s="549" t="s">
        <v>33</v>
      </c>
      <c r="F568" s="550" t="s">
        <v>77</v>
      </c>
      <c r="G568" s="551">
        <v>2.0</v>
      </c>
      <c r="H568" s="551">
        <v>0.0</v>
      </c>
      <c r="I568" s="553">
        <v>1.0</v>
      </c>
      <c r="J568" s="553">
        <v>1.0</v>
      </c>
      <c r="K568" s="554" t="s">
        <v>188</v>
      </c>
      <c r="L568" s="554"/>
      <c r="M568" s="554">
        <v>2.0</v>
      </c>
      <c r="N568" s="554">
        <v>3.0</v>
      </c>
      <c r="O568" s="555" t="s">
        <v>1259</v>
      </c>
      <c r="P568" s="14"/>
      <c r="Q568" s="452" t="str">
        <f>MATCH($D568,Reference!$J$5:$J$9,0)</f>
        <v>3</v>
      </c>
      <c r="R568" s="452" t="str">
        <f>MATCH($E568,Reference!$J$26:$J$32,0)</f>
        <v>2</v>
      </c>
      <c r="S568" s="452" t="str">
        <f>MATCH($F568,Reference!$J$45:$J$54,0)</f>
        <v>10</v>
      </c>
      <c r="T568" s="453" t="str">
        <f>MATCH($K568,Reference!$J$37:$J$39,0)</f>
        <v>3</v>
      </c>
      <c r="U568" s="454" t="str">
        <f t="shared" si="735"/>
        <v>2</v>
      </c>
      <c r="V568" s="454" t="str">
        <f t="shared" si="3"/>
        <v>1</v>
      </c>
      <c r="W568" s="454" t="str">
        <f t="shared" si="903"/>
        <v>0</v>
      </c>
      <c r="X568" s="454" t="str">
        <f t="shared" si="736"/>
        <v>2</v>
      </c>
      <c r="Y568" s="456" t="str">
        <f t="shared" si="5"/>
        <v>FALSE</v>
      </c>
      <c r="Z568" s="456" t="str">
        <f t="shared" si="6"/>
        <v>FALSE</v>
      </c>
      <c r="AA568" s="457" t="str">
        <f t="shared" ref="AA568:AB568" si="904">1-I568</f>
        <v>0%</v>
      </c>
      <c r="AB568" s="457" t="str">
        <f t="shared" si="904"/>
        <v>0%</v>
      </c>
      <c r="AC568" s="456" t="str">
        <f t="shared" si="8"/>
        <v>2</v>
      </c>
      <c r="AD568" s="458" t="str">
        <f t="shared" si="738"/>
        <v>0</v>
      </c>
      <c r="AE568" s="458" t="str">
        <f t="shared" si="10"/>
        <v>1</v>
      </c>
      <c r="AF568" s="459" t="str">
        <f t="shared" si="885"/>
        <v>0</v>
      </c>
      <c r="AG568" s="460"/>
      <c r="AH568" s="14"/>
      <c r="AI568" s="14"/>
      <c r="AJ568" s="14"/>
      <c r="AK568" s="14"/>
      <c r="AL568" s="14"/>
      <c r="AM568" s="14"/>
      <c r="AN568" s="14"/>
      <c r="AO568" s="14"/>
      <c r="AP568" s="14"/>
      <c r="AQ568" s="14"/>
      <c r="AR568" s="14"/>
      <c r="AS568" s="14"/>
      <c r="AT568" s="14"/>
    </row>
    <row r="569">
      <c r="A569" s="442"/>
      <c r="B569" s="547">
        <v>2.0</v>
      </c>
      <c r="C569" s="548" t="s">
        <v>1260</v>
      </c>
      <c r="D569" s="549" t="s">
        <v>21</v>
      </c>
      <c r="E569" s="549" t="s">
        <v>33</v>
      </c>
      <c r="F569" s="550" t="s">
        <v>77</v>
      </c>
      <c r="G569" s="551">
        <v>2.0</v>
      </c>
      <c r="H569" s="551">
        <v>0.0</v>
      </c>
      <c r="I569" s="553">
        <v>1.0</v>
      </c>
      <c r="J569" s="553">
        <v>1.0</v>
      </c>
      <c r="K569" s="554" t="s">
        <v>188</v>
      </c>
      <c r="L569" s="554"/>
      <c r="M569" s="554">
        <v>3.0</v>
      </c>
      <c r="N569" s="554">
        <v>2.0</v>
      </c>
      <c r="O569" s="555" t="s">
        <v>1261</v>
      </c>
      <c r="P569" s="14"/>
      <c r="Q569" s="452" t="str">
        <f>MATCH($D569,Reference!$J$5:$J$9,0)</f>
        <v>3</v>
      </c>
      <c r="R569" s="452" t="str">
        <f>MATCH($E569,Reference!$J$26:$J$32,0)</f>
        <v>2</v>
      </c>
      <c r="S569" s="452" t="str">
        <f>MATCH($F569,Reference!$J$45:$J$54,0)</f>
        <v>10</v>
      </c>
      <c r="T569" s="453" t="str">
        <f>MATCH($K569,Reference!$J$37:$J$39,0)</f>
        <v>3</v>
      </c>
      <c r="U569" s="454" t="str">
        <f t="shared" si="735"/>
        <v>2</v>
      </c>
      <c r="V569" s="454" t="str">
        <f t="shared" si="3"/>
        <v>1</v>
      </c>
      <c r="W569" s="454" t="str">
        <f t="shared" si="903"/>
        <v>0</v>
      </c>
      <c r="X569" s="454" t="str">
        <f t="shared" si="736"/>
        <v>2</v>
      </c>
      <c r="Y569" s="456" t="str">
        <f t="shared" si="5"/>
        <v>FALSE</v>
      </c>
      <c r="Z569" s="456" t="str">
        <f t="shared" si="6"/>
        <v>FALSE</v>
      </c>
      <c r="AA569" s="457" t="str">
        <f t="shared" ref="AA569:AB569" si="905">1-I569</f>
        <v>0%</v>
      </c>
      <c r="AB569" s="457" t="str">
        <f t="shared" si="905"/>
        <v>0%</v>
      </c>
      <c r="AC569" s="456" t="str">
        <f t="shared" si="8"/>
        <v>2</v>
      </c>
      <c r="AD569" s="458" t="str">
        <f t="shared" si="738"/>
        <v>0</v>
      </c>
      <c r="AE569" s="458" t="str">
        <f t="shared" si="10"/>
        <v>1</v>
      </c>
      <c r="AF569" s="459" t="str">
        <f t="shared" si="885"/>
        <v>0</v>
      </c>
      <c r="AG569" s="460"/>
      <c r="AH569" s="14"/>
      <c r="AI569" s="14"/>
      <c r="AJ569" s="14"/>
      <c r="AK569" s="14"/>
      <c r="AL569" s="14"/>
      <c r="AM569" s="14"/>
      <c r="AN569" s="14"/>
      <c r="AO569" s="14"/>
      <c r="AP569" s="14"/>
      <c r="AQ569" s="14"/>
      <c r="AR569" s="14"/>
      <c r="AS569" s="14"/>
      <c r="AT569" s="14"/>
    </row>
    <row r="570">
      <c r="A570" s="442"/>
      <c r="B570" s="547">
        <v>3.0</v>
      </c>
      <c r="C570" s="548" t="s">
        <v>1262</v>
      </c>
      <c r="D570" s="549" t="s">
        <v>21</v>
      </c>
      <c r="E570" s="549" t="s">
        <v>33</v>
      </c>
      <c r="F570" s="550" t="s">
        <v>77</v>
      </c>
      <c r="G570" s="551">
        <v>2.0</v>
      </c>
      <c r="H570" s="551">
        <v>0.0</v>
      </c>
      <c r="I570" s="553">
        <v>1.0</v>
      </c>
      <c r="J570" s="553">
        <v>1.0</v>
      </c>
      <c r="K570" s="554" t="s">
        <v>188</v>
      </c>
      <c r="L570" s="554" t="s">
        <v>198</v>
      </c>
      <c r="M570" s="554">
        <v>0.0</v>
      </c>
      <c r="N570" s="554">
        <v>3.0</v>
      </c>
      <c r="O570" s="555" t="s">
        <v>1263</v>
      </c>
      <c r="P570" s="14"/>
      <c r="Q570" s="452" t="str">
        <f>MATCH($D570,Reference!$J$5:$J$9,0)</f>
        <v>3</v>
      </c>
      <c r="R570" s="452" t="str">
        <f>MATCH($E570,Reference!$J$26:$J$32,0)</f>
        <v>2</v>
      </c>
      <c r="S570" s="452" t="str">
        <f>MATCH($F570,Reference!$J$45:$J$54,0)</f>
        <v>10</v>
      </c>
      <c r="T570" s="453" t="str">
        <f>MATCH($K570,Reference!$J$37:$J$39,0)</f>
        <v>3</v>
      </c>
      <c r="U570" s="454" t="str">
        <f t="shared" si="735"/>
        <v>2</v>
      </c>
      <c r="V570" s="454" t="str">
        <f t="shared" si="3"/>
        <v>1</v>
      </c>
      <c r="W570" s="454" t="str">
        <f t="shared" si="903"/>
        <v>0</v>
      </c>
      <c r="X570" s="454" t="str">
        <f t="shared" si="736"/>
        <v>2</v>
      </c>
      <c r="Y570" s="456" t="str">
        <f t="shared" si="5"/>
        <v>FALSE</v>
      </c>
      <c r="Z570" s="456" t="str">
        <f t="shared" si="6"/>
        <v>FALSE</v>
      </c>
      <c r="AA570" s="457" t="str">
        <f t="shared" ref="AA570:AB570" si="906">1-I570</f>
        <v>0%</v>
      </c>
      <c r="AB570" s="457" t="str">
        <f t="shared" si="906"/>
        <v>0%</v>
      </c>
      <c r="AC570" s="456" t="str">
        <f t="shared" si="8"/>
        <v>2</v>
      </c>
      <c r="AD570" s="458" t="str">
        <f t="shared" si="738"/>
        <v>0</v>
      </c>
      <c r="AE570" s="458" t="str">
        <f t="shared" si="10"/>
        <v>1</v>
      </c>
      <c r="AF570" s="459" t="str">
        <f t="shared" si="885"/>
        <v>0</v>
      </c>
      <c r="AG570" s="460"/>
      <c r="AH570" s="14"/>
      <c r="AI570" s="14"/>
      <c r="AJ570" s="14"/>
      <c r="AK570" s="14"/>
      <c r="AL570" s="14"/>
      <c r="AM570" s="14"/>
      <c r="AN570" s="14"/>
      <c r="AO570" s="14"/>
      <c r="AP570" s="14"/>
      <c r="AQ570" s="14"/>
      <c r="AR570" s="14"/>
      <c r="AS570" s="14"/>
      <c r="AT570" s="14"/>
    </row>
    <row r="571">
      <c r="A571" s="463"/>
      <c r="B571" s="547">
        <v>3.0</v>
      </c>
      <c r="C571" s="548" t="s">
        <v>1264</v>
      </c>
      <c r="D571" s="549" t="s">
        <v>21</v>
      </c>
      <c r="E571" s="549" t="s">
        <v>33</v>
      </c>
      <c r="F571" s="550" t="s">
        <v>77</v>
      </c>
      <c r="G571" s="551">
        <v>2.0</v>
      </c>
      <c r="H571" s="551">
        <v>0.0</v>
      </c>
      <c r="I571" s="553">
        <v>1.0</v>
      </c>
      <c r="J571" s="553">
        <v>1.0</v>
      </c>
      <c r="K571" s="554" t="s">
        <v>188</v>
      </c>
      <c r="L571" s="554"/>
      <c r="M571" s="554">
        <v>4.0</v>
      </c>
      <c r="N571" s="554">
        <v>2.0</v>
      </c>
      <c r="O571" s="555" t="s">
        <v>1265</v>
      </c>
      <c r="P571" s="14"/>
      <c r="Q571" s="452" t="str">
        <f>MATCH($D571,Reference!$J$5:$J$9,0)</f>
        <v>3</v>
      </c>
      <c r="R571" s="452" t="str">
        <f>MATCH($E571,Reference!$J$26:$J$32,0)</f>
        <v>2</v>
      </c>
      <c r="S571" s="452" t="str">
        <f>MATCH($F571,Reference!$J$45:$J$54,0)</f>
        <v>10</v>
      </c>
      <c r="T571" s="453" t="str">
        <f>MATCH($K571,Reference!$J$37:$J$39,0)</f>
        <v>3</v>
      </c>
      <c r="U571" s="454" t="str">
        <f t="shared" si="735"/>
        <v>2</v>
      </c>
      <c r="V571" s="454" t="str">
        <f t="shared" si="3"/>
        <v>1</v>
      </c>
      <c r="W571" s="454" t="str">
        <f t="shared" si="903"/>
        <v>0</v>
      </c>
      <c r="X571" s="454" t="str">
        <f t="shared" si="736"/>
        <v>2</v>
      </c>
      <c r="Y571" s="456" t="str">
        <f t="shared" si="5"/>
        <v>FALSE</v>
      </c>
      <c r="Z571" s="456" t="str">
        <f t="shared" si="6"/>
        <v>FALSE</v>
      </c>
      <c r="AA571" s="457" t="str">
        <f t="shared" ref="AA571:AB571" si="907">1-I571</f>
        <v>0%</v>
      </c>
      <c r="AB571" s="457" t="str">
        <f t="shared" si="907"/>
        <v>0%</v>
      </c>
      <c r="AC571" s="456" t="str">
        <f t="shared" si="8"/>
        <v>2</v>
      </c>
      <c r="AD571" s="458" t="str">
        <f t="shared" si="738"/>
        <v>0</v>
      </c>
      <c r="AE571" s="458" t="str">
        <f t="shared" si="10"/>
        <v>1</v>
      </c>
      <c r="AF571" s="459" t="str">
        <f t="shared" si="885"/>
        <v>0</v>
      </c>
      <c r="AG571" s="460"/>
      <c r="AH571" s="14"/>
      <c r="AI571" s="14"/>
      <c r="AJ571" s="14"/>
      <c r="AK571" s="14"/>
      <c r="AL571" s="14"/>
      <c r="AM571" s="14"/>
      <c r="AN571" s="14"/>
      <c r="AO571" s="14"/>
      <c r="AP571" s="14"/>
      <c r="AQ571" s="14"/>
      <c r="AR571" s="14"/>
      <c r="AS571" s="14"/>
      <c r="AT571" s="14"/>
    </row>
    <row r="572">
      <c r="A572" s="442"/>
      <c r="B572" s="547">
        <v>3.0</v>
      </c>
      <c r="C572" s="548" t="s">
        <v>1266</v>
      </c>
      <c r="D572" s="549" t="s">
        <v>21</v>
      </c>
      <c r="E572" s="549" t="s">
        <v>33</v>
      </c>
      <c r="F572" s="550" t="s">
        <v>77</v>
      </c>
      <c r="G572" s="551">
        <v>2.0</v>
      </c>
      <c r="H572" s="551">
        <v>0.0</v>
      </c>
      <c r="I572" s="553">
        <v>1.0</v>
      </c>
      <c r="J572" s="553">
        <v>1.0</v>
      </c>
      <c r="K572" s="554" t="s">
        <v>188</v>
      </c>
      <c r="L572" s="554" t="s">
        <v>498</v>
      </c>
      <c r="M572" s="554">
        <v>2.0</v>
      </c>
      <c r="N572" s="554">
        <v>2.0</v>
      </c>
      <c r="O572" s="555" t="s">
        <v>1267</v>
      </c>
      <c r="P572" s="14"/>
      <c r="Q572" s="452" t="str">
        <f>MATCH($D572,Reference!$J$5:$J$9,0)</f>
        <v>3</v>
      </c>
      <c r="R572" s="452" t="str">
        <f>MATCH($E572,Reference!$J$26:$J$32,0)</f>
        <v>2</v>
      </c>
      <c r="S572" s="452" t="str">
        <f>MATCH($F572,Reference!$J$45:$J$54,0)</f>
        <v>10</v>
      </c>
      <c r="T572" s="453" t="str">
        <f>MATCH($K572,Reference!$J$37:$J$39,0)</f>
        <v>3</v>
      </c>
      <c r="U572" s="454" t="str">
        <f t="shared" si="735"/>
        <v>2</v>
      </c>
      <c r="V572" s="454" t="str">
        <f t="shared" si="3"/>
        <v>1</v>
      </c>
      <c r="W572" s="454" t="str">
        <f t="shared" si="903"/>
        <v>0</v>
      </c>
      <c r="X572" s="454" t="str">
        <f t="shared" si="736"/>
        <v>2</v>
      </c>
      <c r="Y572" s="456" t="str">
        <f t="shared" si="5"/>
        <v>FALSE</v>
      </c>
      <c r="Z572" s="456" t="str">
        <f t="shared" si="6"/>
        <v>FALSE</v>
      </c>
      <c r="AA572" s="457" t="str">
        <f t="shared" ref="AA572:AB572" si="908">1-I572</f>
        <v>0%</v>
      </c>
      <c r="AB572" s="457" t="str">
        <f t="shared" si="908"/>
        <v>0%</v>
      </c>
      <c r="AC572" s="456" t="str">
        <f t="shared" si="8"/>
        <v>2</v>
      </c>
      <c r="AD572" s="458" t="str">
        <f t="shared" si="738"/>
        <v>0</v>
      </c>
      <c r="AE572" s="458" t="str">
        <f t="shared" si="10"/>
        <v>1</v>
      </c>
      <c r="AF572" s="459" t="str">
        <f t="shared" si="885"/>
        <v>0</v>
      </c>
      <c r="AG572" s="460"/>
      <c r="AH572" s="14"/>
      <c r="AI572" s="14"/>
      <c r="AJ572" s="14"/>
      <c r="AK572" s="14"/>
      <c r="AL572" s="14"/>
      <c r="AM572" s="14"/>
      <c r="AN572" s="14"/>
      <c r="AO572" s="14"/>
      <c r="AP572" s="14"/>
      <c r="AQ572" s="14"/>
      <c r="AR572" s="14"/>
      <c r="AS572" s="14"/>
      <c r="AT572" s="14"/>
    </row>
    <row r="573">
      <c r="A573" s="466"/>
      <c r="B573" s="547">
        <v>3.0</v>
      </c>
      <c r="C573" s="548" t="s">
        <v>1268</v>
      </c>
      <c r="D573" s="549" t="s">
        <v>21</v>
      </c>
      <c r="E573" s="549" t="s">
        <v>33</v>
      </c>
      <c r="F573" s="550" t="s">
        <v>77</v>
      </c>
      <c r="G573" s="552">
        <v>0.0</v>
      </c>
      <c r="H573" s="552">
        <v>0.0</v>
      </c>
      <c r="I573" s="553">
        <v>1.0</v>
      </c>
      <c r="J573" s="553">
        <v>1.0</v>
      </c>
      <c r="K573" s="554" t="s">
        <v>188</v>
      </c>
      <c r="L573" s="554" t="s">
        <v>498</v>
      </c>
      <c r="M573" s="554">
        <v>2.0</v>
      </c>
      <c r="N573" s="554">
        <v>3.0</v>
      </c>
      <c r="O573" s="555" t="s">
        <v>1269</v>
      </c>
      <c r="P573" s="14"/>
      <c r="Q573" s="452" t="str">
        <f>MATCH($D573,Reference!$J$5:$J$9,0)</f>
        <v>3</v>
      </c>
      <c r="R573" s="452" t="str">
        <f>MATCH($E573,Reference!$J$26:$J$32,0)</f>
        <v>2</v>
      </c>
      <c r="S573" s="452" t="str">
        <f>MATCH($F573,Reference!$J$45:$J$54,0)</f>
        <v>10</v>
      </c>
      <c r="T573" s="453" t="str">
        <f>MATCH($K573,Reference!$J$37:$J$39,0)</f>
        <v>3</v>
      </c>
      <c r="U573" s="454" t="str">
        <f t="shared" si="735"/>
        <v>0</v>
      </c>
      <c r="V573" s="454" t="str">
        <f t="shared" si="3"/>
        <v>0</v>
      </c>
      <c r="W573" s="454" t="str">
        <f t="shared" si="903"/>
        <v>0</v>
      </c>
      <c r="X573" s="454" t="str">
        <f t="shared" si="736"/>
        <v>0</v>
      </c>
      <c r="Y573" s="456" t="str">
        <f t="shared" si="5"/>
        <v>TRUE</v>
      </c>
      <c r="Z573" s="456" t="str">
        <f t="shared" si="6"/>
        <v>TRUE</v>
      </c>
      <c r="AA573" s="457" t="str">
        <f t="shared" ref="AA573:AB573" si="909">1-I573</f>
        <v>0%</v>
      </c>
      <c r="AB573" s="457" t="str">
        <f t="shared" si="909"/>
        <v>0%</v>
      </c>
      <c r="AC573" s="456" t="str">
        <f t="shared" si="8"/>
        <v>0</v>
      </c>
      <c r="AD573" s="458" t="str">
        <f t="shared" si="738"/>
        <v>0</v>
      </c>
      <c r="AE573" s="458" t="str">
        <f t="shared" si="10"/>
        <v>0</v>
      </c>
      <c r="AF573" s="459" t="str">
        <f t="shared" si="885"/>
        <v>0</v>
      </c>
      <c r="AG573" s="460"/>
      <c r="AH573" s="14"/>
      <c r="AI573" s="14"/>
      <c r="AJ573" s="14"/>
      <c r="AK573" s="14"/>
      <c r="AL573" s="14"/>
      <c r="AM573" s="14"/>
      <c r="AN573" s="14"/>
      <c r="AO573" s="14"/>
      <c r="AP573" s="14"/>
      <c r="AQ573" s="14"/>
      <c r="AR573" s="14"/>
      <c r="AS573" s="14"/>
      <c r="AT573" s="14"/>
    </row>
    <row r="574">
      <c r="A574" s="463"/>
      <c r="B574" s="560">
        <v>3.0</v>
      </c>
      <c r="C574" s="561" t="s">
        <v>1270</v>
      </c>
      <c r="D574" s="562" t="s">
        <v>21</v>
      </c>
      <c r="E574" s="563" t="s">
        <v>36</v>
      </c>
      <c r="F574" s="563" t="s">
        <v>77</v>
      </c>
      <c r="G574" s="564">
        <v>2.0</v>
      </c>
      <c r="H574" s="564">
        <v>0.0</v>
      </c>
      <c r="I574" s="565">
        <v>1.0</v>
      </c>
      <c r="J574" s="565">
        <v>1.0</v>
      </c>
      <c r="K574" s="563" t="s">
        <v>188</v>
      </c>
      <c r="L574" s="563"/>
      <c r="M574" s="563">
        <v>2.0</v>
      </c>
      <c r="N574" s="563">
        <v>5.0</v>
      </c>
      <c r="O574" s="566" t="s">
        <v>1271</v>
      </c>
      <c r="P574" s="14"/>
      <c r="Q574" s="452" t="str">
        <f>MATCH($D574,Reference!$J$5:$J$9,0)</f>
        <v>3</v>
      </c>
      <c r="R574" s="452" t="str">
        <f>MATCH($E574,Reference!$J$26:$J$32,0)</f>
        <v>7</v>
      </c>
      <c r="S574" s="452" t="str">
        <f>MATCH($F574,Reference!$J$45:$J$54,0)</f>
        <v>10</v>
      </c>
      <c r="T574" s="453" t="str">
        <f>MATCH($K574,Reference!$J$37:$J$39,0)</f>
        <v>3</v>
      </c>
      <c r="U574" s="454" t="str">
        <f t="shared" si="735"/>
        <v>2</v>
      </c>
      <c r="V574" s="454" t="str">
        <f t="shared" si="3"/>
        <v>1</v>
      </c>
      <c r="W574" s="454" t="str">
        <f t="shared" si="903"/>
        <v>0</v>
      </c>
      <c r="X574" s="454" t="str">
        <f t="shared" si="736"/>
        <v>2</v>
      </c>
      <c r="Y574" s="456" t="str">
        <f t="shared" si="5"/>
        <v>FALSE</v>
      </c>
      <c r="Z574" s="456" t="str">
        <f t="shared" si="6"/>
        <v>FALSE</v>
      </c>
      <c r="AA574" s="457" t="str">
        <f t="shared" ref="AA574:AB574" si="910">1-I574</f>
        <v>0%</v>
      </c>
      <c r="AB574" s="457" t="str">
        <f t="shared" si="910"/>
        <v>0%</v>
      </c>
      <c r="AC574" s="456" t="str">
        <f t="shared" si="8"/>
        <v>2</v>
      </c>
      <c r="AD574" s="458" t="str">
        <f t="shared" si="738"/>
        <v>0</v>
      </c>
      <c r="AE574" s="458" t="str">
        <f t="shared" si="10"/>
        <v>1</v>
      </c>
      <c r="AF574" s="459" t="str">
        <f t="shared" si="885"/>
        <v>0</v>
      </c>
      <c r="AG574" s="460"/>
      <c r="AH574" s="14"/>
      <c r="AI574" s="14"/>
      <c r="AJ574" s="14"/>
      <c r="AK574" s="14"/>
      <c r="AL574" s="14"/>
      <c r="AM574" s="14"/>
      <c r="AN574" s="14"/>
      <c r="AO574" s="14"/>
      <c r="AP574" s="14"/>
      <c r="AQ574" s="14"/>
      <c r="AR574" s="14"/>
      <c r="AS574" s="14"/>
      <c r="AT574" s="14"/>
    </row>
    <row r="575">
      <c r="A575" s="442"/>
      <c r="B575" s="752">
        <v>3.0</v>
      </c>
      <c r="C575" s="753" t="s">
        <v>1272</v>
      </c>
      <c r="D575" s="754" t="s">
        <v>21</v>
      </c>
      <c r="E575" s="754" t="s">
        <v>41</v>
      </c>
      <c r="F575" s="755" t="s">
        <v>77</v>
      </c>
      <c r="G575" s="756" t="str">
        <f>IF(Summary!$Y$25&gt;=VLOOKUP(C575,Reference!$N$41:$O$70,2,0),2,0)</f>
        <v>2</v>
      </c>
      <c r="H575" s="756">
        <v>0.0</v>
      </c>
      <c r="I575" s="757">
        <v>1.0</v>
      </c>
      <c r="J575" s="757"/>
      <c r="K575" s="759" t="s">
        <v>188</v>
      </c>
      <c r="L575" s="759"/>
      <c r="M575" s="759">
        <v>2.0</v>
      </c>
      <c r="N575" s="759">
        <v>8.0</v>
      </c>
      <c r="O575" s="758" t="s">
        <v>1273</v>
      </c>
      <c r="P575" s="14"/>
      <c r="Q575" s="452" t="str">
        <f>MATCH($D575,Reference!$J$5:$J$9,0)</f>
        <v>3</v>
      </c>
      <c r="R575" s="452" t="str">
        <f>MATCH($E575,Reference!$J$26:$J$32,0)</f>
        <v>4</v>
      </c>
      <c r="S575" s="452" t="str">
        <f>MATCH($F575,Reference!$J$45:$J$54,0)</f>
        <v>10</v>
      </c>
      <c r="T575" s="453" t="str">
        <f>MATCH($K575,Reference!$J$37:$J$39,0)</f>
        <v>3</v>
      </c>
      <c r="U575" s="454" t="str">
        <f t="shared" si="735"/>
        <v>2</v>
      </c>
      <c r="V575" s="454" t="str">
        <f t="shared" si="3"/>
        <v>1</v>
      </c>
      <c r="W575" s="455">
        <v>0.0</v>
      </c>
      <c r="X575" s="454" t="str">
        <f t="shared" si="736"/>
        <v>2</v>
      </c>
      <c r="Y575" s="456" t="str">
        <f t="shared" si="5"/>
        <v>FALSE</v>
      </c>
      <c r="Z575" s="456" t="str">
        <f t="shared" si="6"/>
        <v>FALSE</v>
      </c>
      <c r="AA575" s="457" t="str">
        <f t="shared" ref="AA575:AB575" si="911">1-I575</f>
        <v>0%</v>
      </c>
      <c r="AB575" s="457" t="str">
        <f t="shared" si="911"/>
        <v>100%</v>
      </c>
      <c r="AC575" s="456" t="str">
        <f t="shared" si="8"/>
        <v>2</v>
      </c>
      <c r="AD575" s="458" t="str">
        <f t="shared" si="738"/>
        <v>0</v>
      </c>
      <c r="AE575" s="458" t="str">
        <f t="shared" si="10"/>
        <v>1</v>
      </c>
      <c r="AF575" s="459" t="str">
        <f t="shared" si="885"/>
        <v>0</v>
      </c>
      <c r="AG575" s="460"/>
      <c r="AH575" s="14"/>
      <c r="AI575" s="14"/>
      <c r="AJ575" s="14"/>
      <c r="AK575" s="14"/>
      <c r="AL575" s="14"/>
      <c r="AM575" s="14"/>
      <c r="AN575" s="14"/>
      <c r="AO575" s="14"/>
      <c r="AP575" s="14"/>
      <c r="AQ575" s="14"/>
      <c r="AR575" s="14"/>
      <c r="AS575" s="14"/>
      <c r="AT575" s="14"/>
    </row>
    <row r="576">
      <c r="A576" s="442"/>
      <c r="B576" s="547">
        <v>3.0</v>
      </c>
      <c r="C576" s="548" t="s">
        <v>1274</v>
      </c>
      <c r="D576" s="549" t="s">
        <v>21</v>
      </c>
      <c r="E576" s="549" t="s">
        <v>33</v>
      </c>
      <c r="F576" s="550" t="s">
        <v>77</v>
      </c>
      <c r="G576" s="551">
        <v>2.0</v>
      </c>
      <c r="H576" s="551">
        <v>0.0</v>
      </c>
      <c r="I576" s="553">
        <v>1.0</v>
      </c>
      <c r="J576" s="553">
        <v>1.0</v>
      </c>
      <c r="K576" s="554" t="s">
        <v>188</v>
      </c>
      <c r="L576" s="554" t="s">
        <v>198</v>
      </c>
      <c r="M576" s="554">
        <v>1.0</v>
      </c>
      <c r="N576" s="554">
        <v>4.0</v>
      </c>
      <c r="O576" s="555" t="s">
        <v>1275</v>
      </c>
      <c r="P576" s="14"/>
      <c r="Q576" s="452" t="str">
        <f>MATCH($D576,Reference!$J$5:$J$9,0)</f>
        <v>3</v>
      </c>
      <c r="R576" s="452" t="str">
        <f>MATCH($E576,Reference!$J$26:$J$32,0)</f>
        <v>2</v>
      </c>
      <c r="S576" s="452" t="str">
        <f>MATCH($F576,Reference!$J$45:$J$54,0)</f>
        <v>10</v>
      </c>
      <c r="T576" s="453" t="str">
        <f>MATCH($K576,Reference!$J$37:$J$39,0)</f>
        <v>3</v>
      </c>
      <c r="U576" s="454" t="str">
        <f t="shared" si="735"/>
        <v>2</v>
      </c>
      <c r="V576" s="454" t="str">
        <f t="shared" si="3"/>
        <v>1</v>
      </c>
      <c r="W576" s="454" t="str">
        <f t="shared" ref="W576:W596" si="913">(MIN(G576,2)+H576-U576)*100</f>
        <v>0</v>
      </c>
      <c r="X576" s="454" t="str">
        <f t="shared" si="736"/>
        <v>2</v>
      </c>
      <c r="Y576" s="456" t="str">
        <f t="shared" si="5"/>
        <v>FALSE</v>
      </c>
      <c r="Z576" s="456" t="str">
        <f t="shared" si="6"/>
        <v>FALSE</v>
      </c>
      <c r="AA576" s="457" t="str">
        <f t="shared" ref="AA576:AB576" si="912">1-I576</f>
        <v>0%</v>
      </c>
      <c r="AB576" s="457" t="str">
        <f t="shared" si="912"/>
        <v>0%</v>
      </c>
      <c r="AC576" s="456" t="str">
        <f t="shared" si="8"/>
        <v>2</v>
      </c>
      <c r="AD576" s="458" t="str">
        <f t="shared" si="738"/>
        <v>0</v>
      </c>
      <c r="AE576" s="458" t="str">
        <f t="shared" si="10"/>
        <v>1</v>
      </c>
      <c r="AF576" s="459" t="str">
        <f t="shared" si="885"/>
        <v>0</v>
      </c>
      <c r="AG576" s="460"/>
      <c r="AH576" s="14"/>
      <c r="AI576" s="14"/>
      <c r="AJ576" s="14"/>
      <c r="AK576" s="14"/>
      <c r="AL576" s="14"/>
      <c r="AM576" s="14"/>
      <c r="AN576" s="14"/>
      <c r="AO576" s="14"/>
      <c r="AP576" s="14"/>
      <c r="AQ576" s="14"/>
      <c r="AR576" s="14"/>
      <c r="AS576" s="14"/>
      <c r="AT576" s="14"/>
    </row>
    <row r="577">
      <c r="A577" s="442"/>
      <c r="B577" s="547">
        <v>3.0</v>
      </c>
      <c r="C577" s="548" t="s">
        <v>1276</v>
      </c>
      <c r="D577" s="549" t="s">
        <v>21</v>
      </c>
      <c r="E577" s="549" t="s">
        <v>33</v>
      </c>
      <c r="F577" s="550" t="s">
        <v>77</v>
      </c>
      <c r="G577" s="551">
        <v>2.0</v>
      </c>
      <c r="H577" s="551">
        <v>0.0</v>
      </c>
      <c r="I577" s="553">
        <v>1.0</v>
      </c>
      <c r="J577" s="553">
        <v>1.0</v>
      </c>
      <c r="K577" s="554" t="s">
        <v>188</v>
      </c>
      <c r="L577" s="554" t="s">
        <v>238</v>
      </c>
      <c r="M577" s="554">
        <v>2.0</v>
      </c>
      <c r="N577" s="554">
        <v>3.0</v>
      </c>
      <c r="O577" s="555" t="s">
        <v>1277</v>
      </c>
      <c r="P577" s="14"/>
      <c r="Q577" s="452" t="str">
        <f>MATCH($D577,Reference!$J$5:$J$9,0)</f>
        <v>3</v>
      </c>
      <c r="R577" s="452" t="str">
        <f>MATCH($E577,Reference!$J$26:$J$32,0)</f>
        <v>2</v>
      </c>
      <c r="S577" s="452" t="str">
        <f>MATCH($F577,Reference!$J$45:$J$54,0)</f>
        <v>10</v>
      </c>
      <c r="T577" s="453" t="str">
        <f>MATCH($K577,Reference!$J$37:$J$39,0)</f>
        <v>3</v>
      </c>
      <c r="U577" s="454" t="str">
        <f t="shared" si="735"/>
        <v>2</v>
      </c>
      <c r="V577" s="454" t="str">
        <f t="shared" si="3"/>
        <v>1</v>
      </c>
      <c r="W577" s="454" t="str">
        <f t="shared" si="913"/>
        <v>0</v>
      </c>
      <c r="X577" s="454" t="str">
        <f t="shared" si="736"/>
        <v>2</v>
      </c>
      <c r="Y577" s="456" t="str">
        <f t="shared" si="5"/>
        <v>FALSE</v>
      </c>
      <c r="Z577" s="456" t="str">
        <f t="shared" si="6"/>
        <v>FALSE</v>
      </c>
      <c r="AA577" s="457" t="str">
        <f t="shared" ref="AA577:AB577" si="914">1-I577</f>
        <v>0%</v>
      </c>
      <c r="AB577" s="457" t="str">
        <f t="shared" si="914"/>
        <v>0%</v>
      </c>
      <c r="AC577" s="456" t="str">
        <f t="shared" si="8"/>
        <v>2</v>
      </c>
      <c r="AD577" s="458" t="str">
        <f t="shared" si="738"/>
        <v>0</v>
      </c>
      <c r="AE577" s="458" t="str">
        <f t="shared" si="10"/>
        <v>1</v>
      </c>
      <c r="AF577" s="459" t="str">
        <f t="shared" si="885"/>
        <v>0</v>
      </c>
      <c r="AG577" s="460"/>
      <c r="AH577" s="14"/>
      <c r="AI577" s="14"/>
      <c r="AJ577" s="14"/>
      <c r="AK577" s="14"/>
      <c r="AL577" s="14"/>
      <c r="AM577" s="14"/>
      <c r="AN577" s="14"/>
      <c r="AO577" s="14"/>
      <c r="AP577" s="14"/>
      <c r="AQ577" s="14"/>
      <c r="AR577" s="14"/>
      <c r="AS577" s="14"/>
      <c r="AT577" s="14"/>
    </row>
    <row r="578">
      <c r="A578" s="682"/>
      <c r="B578" s="560">
        <v>3.0</v>
      </c>
      <c r="C578" s="561" t="s">
        <v>1278</v>
      </c>
      <c r="D578" s="562" t="s">
        <v>21</v>
      </c>
      <c r="E578" s="563" t="s">
        <v>36</v>
      </c>
      <c r="F578" s="563" t="s">
        <v>77</v>
      </c>
      <c r="G578" s="564">
        <v>2.0</v>
      </c>
      <c r="H578" s="564">
        <v>0.0</v>
      </c>
      <c r="I578" s="565">
        <v>1.0</v>
      </c>
      <c r="J578" s="565">
        <v>1.0</v>
      </c>
      <c r="K578" s="563" t="s">
        <v>188</v>
      </c>
      <c r="L578" s="563"/>
      <c r="M578" s="563">
        <v>2.0</v>
      </c>
      <c r="N578" s="563">
        <v>2.0</v>
      </c>
      <c r="O578" s="566" t="s">
        <v>1279</v>
      </c>
      <c r="P578" s="14"/>
      <c r="Q578" s="452" t="str">
        <f>MATCH($D578,Reference!$J$5:$J$9,0)</f>
        <v>3</v>
      </c>
      <c r="R578" s="452" t="str">
        <f>MATCH($E578,Reference!$J$26:$J$32,0)</f>
        <v>7</v>
      </c>
      <c r="S578" s="452" t="str">
        <f>MATCH($F578,Reference!$J$45:$J$54,0)</f>
        <v>10</v>
      </c>
      <c r="T578" s="453" t="str">
        <f>MATCH($K578,Reference!$J$37:$J$39,0)</f>
        <v>3</v>
      </c>
      <c r="U578" s="454" t="str">
        <f t="shared" si="735"/>
        <v>2</v>
      </c>
      <c r="V578" s="454" t="str">
        <f t="shared" si="3"/>
        <v>1</v>
      </c>
      <c r="W578" s="454" t="str">
        <f t="shared" si="913"/>
        <v>0</v>
      </c>
      <c r="X578" s="454" t="str">
        <f t="shared" si="736"/>
        <v>2</v>
      </c>
      <c r="Y578" s="456" t="str">
        <f t="shared" si="5"/>
        <v>FALSE</v>
      </c>
      <c r="Z578" s="456" t="str">
        <f t="shared" si="6"/>
        <v>FALSE</v>
      </c>
      <c r="AA578" s="457" t="str">
        <f t="shared" ref="AA578:AB578" si="915">1-I578</f>
        <v>0%</v>
      </c>
      <c r="AB578" s="457" t="str">
        <f t="shared" si="915"/>
        <v>0%</v>
      </c>
      <c r="AC578" s="456" t="str">
        <f t="shared" si="8"/>
        <v>2</v>
      </c>
      <c r="AD578" s="458" t="str">
        <f t="shared" si="738"/>
        <v>0</v>
      </c>
      <c r="AE578" s="458" t="str">
        <f t="shared" si="10"/>
        <v>1</v>
      </c>
      <c r="AF578" s="459" t="str">
        <f t="shared" si="885"/>
        <v>0</v>
      </c>
      <c r="AG578" s="460"/>
      <c r="AH578" s="14"/>
      <c r="AI578" s="14"/>
      <c r="AJ578" s="14"/>
      <c r="AK578" s="14"/>
      <c r="AL578" s="14"/>
      <c r="AM578" s="14"/>
      <c r="AN578" s="14"/>
      <c r="AO578" s="14"/>
      <c r="AP578" s="14"/>
      <c r="AQ578" s="14"/>
      <c r="AR578" s="14"/>
      <c r="AS578" s="14"/>
      <c r="AT578" s="14"/>
    </row>
    <row r="579">
      <c r="A579" s="466"/>
      <c r="B579" s="594">
        <v>3.0</v>
      </c>
      <c r="C579" s="595" t="s">
        <v>1280</v>
      </c>
      <c r="D579" s="575" t="s">
        <v>21</v>
      </c>
      <c r="E579" s="575" t="s">
        <v>35</v>
      </c>
      <c r="F579" s="576" t="s">
        <v>77</v>
      </c>
      <c r="G579" s="596">
        <v>0.0</v>
      </c>
      <c r="H579" s="596">
        <v>0.0</v>
      </c>
      <c r="I579" s="598">
        <v>1.0</v>
      </c>
      <c r="J579" s="598">
        <v>1.0</v>
      </c>
      <c r="K579" s="600" t="s">
        <v>188</v>
      </c>
      <c r="L579" s="600"/>
      <c r="M579" s="600">
        <v>3.0</v>
      </c>
      <c r="N579" s="600">
        <v>2.0</v>
      </c>
      <c r="O579" s="599" t="s">
        <v>1281</v>
      </c>
      <c r="P579" s="14"/>
      <c r="Q579" s="452" t="str">
        <f>MATCH($D579,Reference!$J$5:$J$9,0)</f>
        <v>3</v>
      </c>
      <c r="R579" s="452" t="str">
        <f>MATCH($E579,Reference!$J$26:$J$32,0)</f>
        <v>5</v>
      </c>
      <c r="S579" s="452" t="str">
        <f>MATCH($F579,Reference!$J$45:$J$54,0)</f>
        <v>10</v>
      </c>
      <c r="T579" s="453" t="str">
        <f>MATCH($K579,Reference!$J$37:$J$39,0)</f>
        <v>3</v>
      </c>
      <c r="U579" s="454" t="str">
        <f t="shared" si="735"/>
        <v>0</v>
      </c>
      <c r="V579" s="454" t="str">
        <f t="shared" si="3"/>
        <v>0</v>
      </c>
      <c r="W579" s="454" t="str">
        <f t="shared" si="913"/>
        <v>0</v>
      </c>
      <c r="X579" s="454" t="str">
        <f t="shared" si="736"/>
        <v>0</v>
      </c>
      <c r="Y579" s="456" t="str">
        <f t="shared" si="5"/>
        <v>TRUE</v>
      </c>
      <c r="Z579" s="456" t="str">
        <f t="shared" si="6"/>
        <v>TRUE</v>
      </c>
      <c r="AA579" s="457" t="str">
        <f t="shared" ref="AA579:AB579" si="916">1-I579</f>
        <v>0%</v>
      </c>
      <c r="AB579" s="457" t="str">
        <f t="shared" si="916"/>
        <v>0%</v>
      </c>
      <c r="AC579" s="456" t="str">
        <f t="shared" si="8"/>
        <v>0</v>
      </c>
      <c r="AD579" s="458" t="str">
        <f t="shared" si="738"/>
        <v>0</v>
      </c>
      <c r="AE579" s="458" t="str">
        <f t="shared" si="10"/>
        <v>0</v>
      </c>
      <c r="AF579" s="459" t="str">
        <f t="shared" si="885"/>
        <v>0</v>
      </c>
      <c r="AG579" s="460"/>
      <c r="AH579" s="14"/>
      <c r="AI579" s="14"/>
      <c r="AJ579" s="14"/>
      <c r="AK579" s="14"/>
      <c r="AL579" s="14"/>
      <c r="AM579" s="14"/>
      <c r="AN579" s="14"/>
      <c r="AO579" s="14"/>
      <c r="AP579" s="14"/>
      <c r="AQ579" s="14"/>
      <c r="AR579" s="14"/>
      <c r="AS579" s="14"/>
      <c r="AT579" s="14"/>
    </row>
    <row r="580">
      <c r="A580" s="442"/>
      <c r="B580" s="594">
        <v>3.0</v>
      </c>
      <c r="C580" s="595" t="s">
        <v>1282</v>
      </c>
      <c r="D580" s="575" t="s">
        <v>21</v>
      </c>
      <c r="E580" s="575" t="s">
        <v>35</v>
      </c>
      <c r="F580" s="576" t="s">
        <v>77</v>
      </c>
      <c r="G580" s="596">
        <v>2.0</v>
      </c>
      <c r="H580" s="597">
        <v>0.0</v>
      </c>
      <c r="I580" s="598">
        <v>1.0</v>
      </c>
      <c r="J580" s="598">
        <v>1.0</v>
      </c>
      <c r="K580" s="600" t="s">
        <v>188</v>
      </c>
      <c r="L580" s="600"/>
      <c r="M580" s="600">
        <v>2.0</v>
      </c>
      <c r="N580" s="600">
        <v>4.0</v>
      </c>
      <c r="O580" s="599" t="s">
        <v>1283</v>
      </c>
      <c r="P580" s="14"/>
      <c r="Q580" s="452" t="str">
        <f>MATCH($D580,Reference!$J$5:$J$9,0)</f>
        <v>3</v>
      </c>
      <c r="R580" s="452" t="str">
        <f>MATCH($E580,Reference!$J$26:$J$32,0)</f>
        <v>5</v>
      </c>
      <c r="S580" s="452" t="str">
        <f>MATCH($F580,Reference!$J$45:$J$54,0)</f>
        <v>10</v>
      </c>
      <c r="T580" s="453" t="str">
        <f>MATCH($K580,Reference!$J$37:$J$39,0)</f>
        <v>3</v>
      </c>
      <c r="U580" s="454" t="str">
        <f t="shared" si="735"/>
        <v>2</v>
      </c>
      <c r="V580" s="454" t="str">
        <f t="shared" si="3"/>
        <v>1</v>
      </c>
      <c r="W580" s="454" t="str">
        <f t="shared" si="913"/>
        <v>0</v>
      </c>
      <c r="X580" s="454" t="str">
        <f t="shared" si="736"/>
        <v>2</v>
      </c>
      <c r="Y580" s="456" t="str">
        <f t="shared" si="5"/>
        <v>FALSE</v>
      </c>
      <c r="Z580" s="456" t="str">
        <f t="shared" si="6"/>
        <v>FALSE</v>
      </c>
      <c r="AA580" s="457" t="str">
        <f t="shared" ref="AA580:AB580" si="917">1-I580</f>
        <v>0%</v>
      </c>
      <c r="AB580" s="457" t="str">
        <f t="shared" si="917"/>
        <v>0%</v>
      </c>
      <c r="AC580" s="456" t="str">
        <f t="shared" si="8"/>
        <v>2</v>
      </c>
      <c r="AD580" s="458" t="str">
        <f t="shared" si="738"/>
        <v>0</v>
      </c>
      <c r="AE580" s="458" t="str">
        <f t="shared" si="10"/>
        <v>1</v>
      </c>
      <c r="AF580" s="459" t="str">
        <f t="shared" si="885"/>
        <v>0</v>
      </c>
      <c r="AG580" s="460"/>
      <c r="AH580" s="14"/>
      <c r="AI580" s="14"/>
      <c r="AJ580" s="14"/>
      <c r="AK580" s="14"/>
      <c r="AL580" s="14"/>
      <c r="AM580" s="14"/>
      <c r="AN580" s="14"/>
      <c r="AO580" s="14"/>
      <c r="AP580" s="14"/>
      <c r="AQ580" s="14"/>
      <c r="AR580" s="14"/>
      <c r="AS580" s="14"/>
      <c r="AT580" s="14"/>
    </row>
    <row r="581">
      <c r="A581" s="463"/>
      <c r="B581" s="594">
        <v>3.0</v>
      </c>
      <c r="C581" s="595" t="s">
        <v>1284</v>
      </c>
      <c r="D581" s="575" t="s">
        <v>21</v>
      </c>
      <c r="E581" s="575" t="s">
        <v>35</v>
      </c>
      <c r="F581" s="576" t="s">
        <v>77</v>
      </c>
      <c r="G581" s="596">
        <v>2.0</v>
      </c>
      <c r="H581" s="596">
        <v>0.0</v>
      </c>
      <c r="I581" s="598">
        <v>1.0</v>
      </c>
      <c r="J581" s="598">
        <v>1.0</v>
      </c>
      <c r="K581" s="600" t="s">
        <v>188</v>
      </c>
      <c r="L581" s="600"/>
      <c r="M581" s="600">
        <v>2.0</v>
      </c>
      <c r="N581" s="600">
        <v>4.0</v>
      </c>
      <c r="O581" s="599" t="s">
        <v>1285</v>
      </c>
      <c r="P581" s="14"/>
      <c r="Q581" s="452" t="str">
        <f>MATCH($D581,Reference!$J$5:$J$9,0)</f>
        <v>3</v>
      </c>
      <c r="R581" s="452" t="str">
        <f>MATCH($E581,Reference!$J$26:$J$32,0)</f>
        <v>5</v>
      </c>
      <c r="S581" s="452" t="str">
        <f>MATCH($F581,Reference!$J$45:$J$54,0)</f>
        <v>10</v>
      </c>
      <c r="T581" s="453" t="str">
        <f>MATCH($K581,Reference!$J$37:$J$39,0)</f>
        <v>3</v>
      </c>
      <c r="U581" s="454" t="str">
        <f t="shared" si="735"/>
        <v>2</v>
      </c>
      <c r="V581" s="454" t="str">
        <f t="shared" si="3"/>
        <v>1</v>
      </c>
      <c r="W581" s="454" t="str">
        <f t="shared" si="913"/>
        <v>0</v>
      </c>
      <c r="X581" s="454" t="str">
        <f t="shared" si="736"/>
        <v>2</v>
      </c>
      <c r="Y581" s="456" t="str">
        <f t="shared" si="5"/>
        <v>FALSE</v>
      </c>
      <c r="Z581" s="456" t="str">
        <f t="shared" si="6"/>
        <v>FALSE</v>
      </c>
      <c r="AA581" s="457" t="str">
        <f t="shared" ref="AA581:AB581" si="918">1-I581</f>
        <v>0%</v>
      </c>
      <c r="AB581" s="457" t="str">
        <f t="shared" si="918"/>
        <v>0%</v>
      </c>
      <c r="AC581" s="456" t="str">
        <f t="shared" si="8"/>
        <v>2</v>
      </c>
      <c r="AD581" s="458" t="str">
        <f t="shared" si="738"/>
        <v>0</v>
      </c>
      <c r="AE581" s="458" t="str">
        <f t="shared" si="10"/>
        <v>1</v>
      </c>
      <c r="AF581" s="459" t="str">
        <f t="shared" si="885"/>
        <v>0</v>
      </c>
      <c r="AG581" s="460"/>
      <c r="AH581" s="14"/>
      <c r="AI581" s="14"/>
      <c r="AJ581" s="14"/>
      <c r="AK581" s="14"/>
      <c r="AL581" s="14"/>
      <c r="AM581" s="14"/>
      <c r="AN581" s="14"/>
      <c r="AO581" s="14"/>
      <c r="AP581" s="14"/>
      <c r="AQ581" s="14"/>
      <c r="AR581" s="14"/>
      <c r="AS581" s="14"/>
      <c r="AT581" s="14"/>
    </row>
    <row r="582">
      <c r="A582" s="463"/>
      <c r="B582" s="547">
        <v>3.0</v>
      </c>
      <c r="C582" s="548" t="s">
        <v>1286</v>
      </c>
      <c r="D582" s="549" t="s">
        <v>21</v>
      </c>
      <c r="E582" s="549" t="s">
        <v>33</v>
      </c>
      <c r="F582" s="550" t="s">
        <v>77</v>
      </c>
      <c r="G582" s="551">
        <v>2.0</v>
      </c>
      <c r="H582" s="551">
        <v>0.0</v>
      </c>
      <c r="I582" s="553">
        <v>1.0</v>
      </c>
      <c r="J582" s="553">
        <v>1.0</v>
      </c>
      <c r="K582" s="554" t="s">
        <v>188</v>
      </c>
      <c r="L582" s="554"/>
      <c r="M582" s="554">
        <v>1.0</v>
      </c>
      <c r="N582" s="554">
        <v>5.0</v>
      </c>
      <c r="O582" s="555" t="s">
        <v>1287</v>
      </c>
      <c r="P582" s="14"/>
      <c r="Q582" s="452" t="str">
        <f>MATCH($D582,Reference!$J$5:$J$9,0)</f>
        <v>3</v>
      </c>
      <c r="R582" s="452" t="str">
        <f>MATCH($E582,Reference!$J$26:$J$32,0)</f>
        <v>2</v>
      </c>
      <c r="S582" s="452" t="str">
        <f>MATCH($F582,Reference!$J$45:$J$54,0)</f>
        <v>10</v>
      </c>
      <c r="T582" s="453" t="str">
        <f>MATCH($K582,Reference!$J$37:$J$39,0)</f>
        <v>3</v>
      </c>
      <c r="U582" s="454" t="str">
        <f t="shared" si="735"/>
        <v>2</v>
      </c>
      <c r="V582" s="454" t="str">
        <f t="shared" si="3"/>
        <v>1</v>
      </c>
      <c r="W582" s="454" t="str">
        <f t="shared" si="913"/>
        <v>0</v>
      </c>
      <c r="X582" s="454" t="str">
        <f t="shared" si="736"/>
        <v>2</v>
      </c>
      <c r="Y582" s="456" t="str">
        <f t="shared" si="5"/>
        <v>FALSE</v>
      </c>
      <c r="Z582" s="456" t="str">
        <f t="shared" si="6"/>
        <v>FALSE</v>
      </c>
      <c r="AA582" s="457" t="str">
        <f t="shared" ref="AA582:AB582" si="919">1-I582</f>
        <v>0%</v>
      </c>
      <c r="AB582" s="457" t="str">
        <f t="shared" si="919"/>
        <v>0%</v>
      </c>
      <c r="AC582" s="456" t="str">
        <f t="shared" si="8"/>
        <v>2</v>
      </c>
      <c r="AD582" s="458" t="str">
        <f t="shared" si="738"/>
        <v>0</v>
      </c>
      <c r="AE582" s="458" t="str">
        <f t="shared" si="10"/>
        <v>1</v>
      </c>
      <c r="AF582" s="459" t="str">
        <f t="shared" si="885"/>
        <v>0</v>
      </c>
      <c r="AG582" s="460"/>
      <c r="AH582" s="14"/>
      <c r="AI582" s="14"/>
      <c r="AJ582" s="14"/>
      <c r="AK582" s="14"/>
      <c r="AL582" s="14"/>
      <c r="AM582" s="14"/>
      <c r="AN582" s="14"/>
      <c r="AO582" s="14"/>
      <c r="AP582" s="14"/>
      <c r="AQ582" s="14"/>
      <c r="AR582" s="14"/>
      <c r="AS582" s="14"/>
      <c r="AT582" s="14"/>
    </row>
    <row r="583">
      <c r="A583" s="469"/>
      <c r="B583" s="547">
        <v>3.0</v>
      </c>
      <c r="C583" s="548" t="s">
        <v>1288</v>
      </c>
      <c r="D583" s="549" t="s">
        <v>21</v>
      </c>
      <c r="E583" s="549" t="s">
        <v>33</v>
      </c>
      <c r="F583" s="550" t="s">
        <v>77</v>
      </c>
      <c r="G583" s="552">
        <v>2.0</v>
      </c>
      <c r="H583" s="551">
        <v>0.0</v>
      </c>
      <c r="I583" s="553">
        <v>1.0</v>
      </c>
      <c r="J583" s="553">
        <v>1.0</v>
      </c>
      <c r="K583" s="554" t="s">
        <v>188</v>
      </c>
      <c r="L583" s="554"/>
      <c r="M583" s="554">
        <v>4.0</v>
      </c>
      <c r="N583" s="554">
        <v>7.0</v>
      </c>
      <c r="O583" s="555" t="s">
        <v>1289</v>
      </c>
      <c r="P583" s="14"/>
      <c r="Q583" s="452" t="str">
        <f>MATCH($D583,Reference!$J$5:$J$9,0)</f>
        <v>3</v>
      </c>
      <c r="R583" s="452" t="str">
        <f>MATCH($E583,Reference!$J$26:$J$32,0)</f>
        <v>2</v>
      </c>
      <c r="S583" s="452" t="str">
        <f>MATCH($F583,Reference!$J$45:$J$54,0)</f>
        <v>10</v>
      </c>
      <c r="T583" s="453" t="str">
        <f>MATCH($K583,Reference!$J$37:$J$39,0)</f>
        <v>3</v>
      </c>
      <c r="U583" s="454" t="str">
        <f t="shared" si="735"/>
        <v>2</v>
      </c>
      <c r="V583" s="454" t="str">
        <f t="shared" si="3"/>
        <v>1</v>
      </c>
      <c r="W583" s="454" t="str">
        <f t="shared" si="913"/>
        <v>0</v>
      </c>
      <c r="X583" s="454" t="str">
        <f t="shared" si="736"/>
        <v>2</v>
      </c>
      <c r="Y583" s="456" t="str">
        <f t="shared" si="5"/>
        <v>FALSE</v>
      </c>
      <c r="Z583" s="456" t="str">
        <f t="shared" si="6"/>
        <v>FALSE</v>
      </c>
      <c r="AA583" s="457" t="str">
        <f t="shared" ref="AA583:AB583" si="920">1-I583</f>
        <v>0%</v>
      </c>
      <c r="AB583" s="457" t="str">
        <f t="shared" si="920"/>
        <v>0%</v>
      </c>
      <c r="AC583" s="456" t="str">
        <f t="shared" si="8"/>
        <v>2</v>
      </c>
      <c r="AD583" s="458" t="str">
        <f t="shared" si="738"/>
        <v>0</v>
      </c>
      <c r="AE583" s="458" t="str">
        <f t="shared" si="10"/>
        <v>1</v>
      </c>
      <c r="AF583" s="459" t="str">
        <f t="shared" si="885"/>
        <v>0</v>
      </c>
      <c r="AG583" s="460"/>
      <c r="AH583" s="14"/>
      <c r="AI583" s="14"/>
      <c r="AJ583" s="14"/>
      <c r="AK583" s="14"/>
      <c r="AL583" s="14"/>
      <c r="AM583" s="14"/>
      <c r="AN583" s="14"/>
      <c r="AO583" s="14"/>
      <c r="AP583" s="14"/>
      <c r="AQ583" s="14"/>
      <c r="AR583" s="14"/>
      <c r="AS583" s="14"/>
      <c r="AT583" s="14"/>
    </row>
    <row r="584">
      <c r="A584" s="466"/>
      <c r="B584" s="560">
        <v>3.0</v>
      </c>
      <c r="C584" s="561" t="s">
        <v>1290</v>
      </c>
      <c r="D584" s="562" t="s">
        <v>21</v>
      </c>
      <c r="E584" s="563" t="s">
        <v>36</v>
      </c>
      <c r="F584" s="563" t="s">
        <v>77</v>
      </c>
      <c r="G584" s="564">
        <v>2.0</v>
      </c>
      <c r="H584" s="564">
        <v>0.0</v>
      </c>
      <c r="I584" s="565">
        <v>1.0</v>
      </c>
      <c r="J584" s="565">
        <v>1.0</v>
      </c>
      <c r="K584" s="563" t="s">
        <v>188</v>
      </c>
      <c r="L584" s="563"/>
      <c r="M584" s="563">
        <v>4.0</v>
      </c>
      <c r="N584" s="563">
        <v>3.0</v>
      </c>
      <c r="O584" s="566" t="s">
        <v>1291</v>
      </c>
      <c r="P584" s="14"/>
      <c r="Q584" s="452" t="str">
        <f>MATCH($D584,Reference!$J$5:$J$9,0)</f>
        <v>3</v>
      </c>
      <c r="R584" s="452" t="str">
        <f>MATCH($E584,Reference!$J$26:$J$32,0)</f>
        <v>7</v>
      </c>
      <c r="S584" s="452" t="str">
        <f>MATCH($F584,Reference!$J$45:$J$54,0)</f>
        <v>10</v>
      </c>
      <c r="T584" s="453" t="str">
        <f>MATCH($K584,Reference!$J$37:$J$39,0)</f>
        <v>3</v>
      </c>
      <c r="U584" s="454" t="str">
        <f t="shared" si="735"/>
        <v>2</v>
      </c>
      <c r="V584" s="454" t="str">
        <f t="shared" si="3"/>
        <v>1</v>
      </c>
      <c r="W584" s="454" t="str">
        <f t="shared" si="913"/>
        <v>0</v>
      </c>
      <c r="X584" s="454" t="str">
        <f t="shared" si="736"/>
        <v>2</v>
      </c>
      <c r="Y584" s="456" t="str">
        <f t="shared" si="5"/>
        <v>FALSE</v>
      </c>
      <c r="Z584" s="456" t="str">
        <f t="shared" si="6"/>
        <v>FALSE</v>
      </c>
      <c r="AA584" s="457" t="str">
        <f t="shared" ref="AA584:AB584" si="921">1-I584</f>
        <v>0%</v>
      </c>
      <c r="AB584" s="457" t="str">
        <f t="shared" si="921"/>
        <v>0%</v>
      </c>
      <c r="AC584" s="456" t="str">
        <f t="shared" si="8"/>
        <v>2</v>
      </c>
      <c r="AD584" s="458" t="str">
        <f t="shared" si="738"/>
        <v>0</v>
      </c>
      <c r="AE584" s="458" t="str">
        <f t="shared" si="10"/>
        <v>1</v>
      </c>
      <c r="AF584" s="459" t="str">
        <f t="shared" si="885"/>
        <v>0</v>
      </c>
      <c r="AG584" s="460"/>
      <c r="AH584" s="14"/>
      <c r="AI584" s="14"/>
      <c r="AJ584" s="14"/>
      <c r="AK584" s="14"/>
      <c r="AL584" s="14"/>
      <c r="AM584" s="14"/>
      <c r="AN584" s="14"/>
      <c r="AO584" s="14"/>
      <c r="AP584" s="14"/>
      <c r="AQ584" s="14"/>
      <c r="AR584" s="14"/>
      <c r="AS584" s="14"/>
      <c r="AT584" s="14"/>
    </row>
    <row r="585">
      <c r="A585" s="463"/>
      <c r="B585" s="594">
        <v>3.0</v>
      </c>
      <c r="C585" s="595" t="s">
        <v>1292</v>
      </c>
      <c r="D585" s="575" t="s">
        <v>21</v>
      </c>
      <c r="E585" s="575" t="s">
        <v>35</v>
      </c>
      <c r="F585" s="576" t="s">
        <v>77</v>
      </c>
      <c r="G585" s="596">
        <v>0.0</v>
      </c>
      <c r="H585" s="597">
        <v>0.0</v>
      </c>
      <c r="I585" s="598">
        <v>1.0</v>
      </c>
      <c r="J585" s="598">
        <v>1.0</v>
      </c>
      <c r="K585" s="600" t="s">
        <v>188</v>
      </c>
      <c r="L585" s="600"/>
      <c r="M585" s="600">
        <v>2.0</v>
      </c>
      <c r="N585" s="600">
        <v>3.0</v>
      </c>
      <c r="O585" s="599" t="s">
        <v>1293</v>
      </c>
      <c r="P585" s="14"/>
      <c r="Q585" s="452" t="str">
        <f>MATCH($D585,Reference!$J$5:$J$9,0)</f>
        <v>3</v>
      </c>
      <c r="R585" s="452" t="str">
        <f>MATCH($E585,Reference!$J$26:$J$32,0)</f>
        <v>5</v>
      </c>
      <c r="S585" s="452" t="str">
        <f>MATCH($F585,Reference!$J$45:$J$54,0)</f>
        <v>10</v>
      </c>
      <c r="T585" s="453" t="str">
        <f>MATCH($K585,Reference!$J$37:$J$39,0)</f>
        <v>3</v>
      </c>
      <c r="U585" s="454" t="str">
        <f t="shared" si="735"/>
        <v>0</v>
      </c>
      <c r="V585" s="454" t="str">
        <f t="shared" si="3"/>
        <v>0</v>
      </c>
      <c r="W585" s="454" t="str">
        <f t="shared" si="913"/>
        <v>0</v>
      </c>
      <c r="X585" s="454" t="str">
        <f t="shared" si="736"/>
        <v>0</v>
      </c>
      <c r="Y585" s="456" t="str">
        <f t="shared" si="5"/>
        <v>TRUE</v>
      </c>
      <c r="Z585" s="456" t="str">
        <f t="shared" si="6"/>
        <v>TRUE</v>
      </c>
      <c r="AA585" s="457" t="str">
        <f t="shared" ref="AA585:AB585" si="922">1-I585</f>
        <v>0%</v>
      </c>
      <c r="AB585" s="457" t="str">
        <f t="shared" si="922"/>
        <v>0%</v>
      </c>
      <c r="AC585" s="456" t="str">
        <f t="shared" si="8"/>
        <v>0</v>
      </c>
      <c r="AD585" s="458" t="str">
        <f t="shared" si="738"/>
        <v>0</v>
      </c>
      <c r="AE585" s="458" t="str">
        <f t="shared" si="10"/>
        <v>0</v>
      </c>
      <c r="AF585" s="459" t="str">
        <f t="shared" si="885"/>
        <v>0</v>
      </c>
      <c r="AG585" s="460"/>
      <c r="AH585" s="14"/>
      <c r="AI585" s="14"/>
      <c r="AJ585" s="14"/>
      <c r="AK585" s="14"/>
      <c r="AL585" s="14"/>
      <c r="AM585" s="14"/>
      <c r="AN585" s="14"/>
      <c r="AO585" s="14"/>
      <c r="AP585" s="14"/>
      <c r="AQ585" s="14"/>
      <c r="AR585" s="14"/>
      <c r="AS585" s="14"/>
      <c r="AT585" s="14"/>
    </row>
    <row r="586">
      <c r="A586" s="463"/>
      <c r="B586" s="547">
        <v>3.0</v>
      </c>
      <c r="C586" s="548" t="s">
        <v>1294</v>
      </c>
      <c r="D586" s="549" t="s">
        <v>21</v>
      </c>
      <c r="E586" s="549" t="s">
        <v>33</v>
      </c>
      <c r="F586" s="550" t="s">
        <v>77</v>
      </c>
      <c r="G586" s="551">
        <v>2.0</v>
      </c>
      <c r="H586" s="551">
        <v>0.0</v>
      </c>
      <c r="I586" s="553">
        <v>1.0</v>
      </c>
      <c r="J586" s="553">
        <v>1.0</v>
      </c>
      <c r="K586" s="549" t="s">
        <v>188</v>
      </c>
      <c r="L586" s="549"/>
      <c r="M586" s="550">
        <v>3.0</v>
      </c>
      <c r="N586" s="551">
        <v>3.0</v>
      </c>
      <c r="O586" s="555" t="s">
        <v>1295</v>
      </c>
      <c r="P586" s="14"/>
      <c r="Q586" s="452" t="str">
        <f>MATCH($D586,Reference!$J$5:$J$9,0)</f>
        <v>3</v>
      </c>
      <c r="R586" s="452" t="str">
        <f>MATCH($E586,Reference!$J$26:$J$32,0)</f>
        <v>2</v>
      </c>
      <c r="S586" s="452" t="str">
        <f>MATCH($F586,Reference!$J$45:$J$54,0)</f>
        <v>10</v>
      </c>
      <c r="T586" s="453" t="str">
        <f>MATCH($K586,Reference!$J$37:$J$39,0)</f>
        <v>3</v>
      </c>
      <c r="U586" s="454" t="str">
        <f t="shared" si="735"/>
        <v>2</v>
      </c>
      <c r="V586" s="454" t="str">
        <f t="shared" si="3"/>
        <v>1</v>
      </c>
      <c r="W586" s="454" t="str">
        <f t="shared" si="913"/>
        <v>0</v>
      </c>
      <c r="X586" s="454" t="str">
        <f t="shared" si="736"/>
        <v>2</v>
      </c>
      <c r="Y586" s="456" t="str">
        <f t="shared" si="5"/>
        <v>FALSE</v>
      </c>
      <c r="Z586" s="456" t="str">
        <f t="shared" si="6"/>
        <v>FALSE</v>
      </c>
      <c r="AA586" s="457" t="str">
        <f t="shared" ref="AA586:AB586" si="923">1-I586</f>
        <v>0%</v>
      </c>
      <c r="AB586" s="457" t="str">
        <f t="shared" si="923"/>
        <v>0%</v>
      </c>
      <c r="AC586" s="456" t="str">
        <f t="shared" si="8"/>
        <v>2</v>
      </c>
      <c r="AD586" s="458" t="str">
        <f t="shared" si="738"/>
        <v>0</v>
      </c>
      <c r="AE586" s="458" t="str">
        <f t="shared" si="10"/>
        <v>1</v>
      </c>
      <c r="AF586" s="459" t="str">
        <f t="shared" si="885"/>
        <v>0</v>
      </c>
      <c r="AG586" s="460"/>
      <c r="AH586" s="14"/>
      <c r="AI586" s="14"/>
      <c r="AJ586" s="14"/>
      <c r="AK586" s="14"/>
      <c r="AL586" s="14"/>
      <c r="AM586" s="14"/>
      <c r="AN586" s="14"/>
      <c r="AO586" s="14"/>
      <c r="AP586" s="14"/>
      <c r="AQ586" s="14"/>
      <c r="AR586" s="14"/>
      <c r="AS586" s="14"/>
      <c r="AT586" s="14"/>
    </row>
    <row r="587">
      <c r="A587" s="466"/>
      <c r="B587" s="547">
        <v>3.0</v>
      </c>
      <c r="C587" s="548" t="s">
        <v>1296</v>
      </c>
      <c r="D587" s="549" t="s">
        <v>21</v>
      </c>
      <c r="E587" s="549" t="s">
        <v>33</v>
      </c>
      <c r="F587" s="550" t="s">
        <v>77</v>
      </c>
      <c r="G587" s="551">
        <v>2.0</v>
      </c>
      <c r="H587" s="551">
        <v>0.0</v>
      </c>
      <c r="I587" s="553">
        <v>1.0</v>
      </c>
      <c r="J587" s="553">
        <v>1.0</v>
      </c>
      <c r="K587" s="554" t="s">
        <v>188</v>
      </c>
      <c r="L587" s="554"/>
      <c r="M587" s="554">
        <v>2.0</v>
      </c>
      <c r="N587" s="554">
        <v>2.0</v>
      </c>
      <c r="O587" s="555" t="s">
        <v>1297</v>
      </c>
      <c r="P587" s="14"/>
      <c r="Q587" s="452" t="str">
        <f>MATCH($D587,Reference!$J$5:$J$9,0)</f>
        <v>3</v>
      </c>
      <c r="R587" s="452" t="str">
        <f>MATCH($E587,Reference!$J$26:$J$32,0)</f>
        <v>2</v>
      </c>
      <c r="S587" s="452" t="str">
        <f>MATCH($F587,Reference!$J$45:$J$54,0)</f>
        <v>10</v>
      </c>
      <c r="T587" s="453" t="str">
        <f>MATCH($K587,Reference!$J$37:$J$39,0)</f>
        <v>3</v>
      </c>
      <c r="U587" s="454" t="str">
        <f t="shared" si="735"/>
        <v>2</v>
      </c>
      <c r="V587" s="454" t="str">
        <f t="shared" si="3"/>
        <v>1</v>
      </c>
      <c r="W587" s="454" t="str">
        <f t="shared" si="913"/>
        <v>0</v>
      </c>
      <c r="X587" s="454" t="str">
        <f t="shared" si="736"/>
        <v>2</v>
      </c>
      <c r="Y587" s="456" t="str">
        <f t="shared" si="5"/>
        <v>FALSE</v>
      </c>
      <c r="Z587" s="456" t="str">
        <f t="shared" si="6"/>
        <v>FALSE</v>
      </c>
      <c r="AA587" s="457" t="str">
        <f t="shared" ref="AA587:AB587" si="924">1-I587</f>
        <v>0%</v>
      </c>
      <c r="AB587" s="457" t="str">
        <f t="shared" si="924"/>
        <v>0%</v>
      </c>
      <c r="AC587" s="456" t="str">
        <f t="shared" si="8"/>
        <v>2</v>
      </c>
      <c r="AD587" s="458" t="str">
        <f t="shared" si="738"/>
        <v>0</v>
      </c>
      <c r="AE587" s="458" t="str">
        <f t="shared" si="10"/>
        <v>1</v>
      </c>
      <c r="AF587" s="459" t="str">
        <f t="shared" si="885"/>
        <v>0</v>
      </c>
      <c r="AG587" s="460"/>
      <c r="AH587" s="14"/>
      <c r="AI587" s="14"/>
      <c r="AJ587" s="14"/>
      <c r="AK587" s="14"/>
      <c r="AL587" s="14"/>
      <c r="AM587" s="14"/>
      <c r="AN587" s="14"/>
      <c r="AO587" s="14"/>
      <c r="AP587" s="14"/>
      <c r="AQ587" s="14"/>
      <c r="AR587" s="14"/>
      <c r="AS587" s="14"/>
      <c r="AT587" s="14"/>
    </row>
    <row r="588">
      <c r="A588" s="682"/>
      <c r="B588" s="560">
        <v>3.0</v>
      </c>
      <c r="C588" s="561" t="s">
        <v>1298</v>
      </c>
      <c r="D588" s="562" t="s">
        <v>21</v>
      </c>
      <c r="E588" s="563" t="s">
        <v>36</v>
      </c>
      <c r="F588" s="563" t="s">
        <v>77</v>
      </c>
      <c r="G588" s="564">
        <v>2.0</v>
      </c>
      <c r="H588" s="564">
        <v>0.0</v>
      </c>
      <c r="I588" s="565">
        <v>1.0</v>
      </c>
      <c r="J588" s="565">
        <v>1.0</v>
      </c>
      <c r="K588" s="563" t="s">
        <v>188</v>
      </c>
      <c r="L588" s="563"/>
      <c r="M588" s="563">
        <v>4.0</v>
      </c>
      <c r="N588" s="563">
        <v>3.0</v>
      </c>
      <c r="O588" s="566" t="s">
        <v>1299</v>
      </c>
      <c r="P588" s="14"/>
      <c r="Q588" s="452" t="str">
        <f>MATCH($D588,Reference!$J$5:$J$9,0)</f>
        <v>3</v>
      </c>
      <c r="R588" s="452" t="str">
        <f>MATCH($E588,Reference!$J$26:$J$32,0)</f>
        <v>7</v>
      </c>
      <c r="S588" s="452" t="str">
        <f>MATCH($F588,Reference!$J$45:$J$54,0)</f>
        <v>10</v>
      </c>
      <c r="T588" s="453" t="str">
        <f>MATCH($K588,Reference!$J$37:$J$39,0)</f>
        <v>3</v>
      </c>
      <c r="U588" s="454" t="str">
        <f t="shared" si="735"/>
        <v>2</v>
      </c>
      <c r="V588" s="454" t="str">
        <f t="shared" si="3"/>
        <v>1</v>
      </c>
      <c r="W588" s="454" t="str">
        <f t="shared" si="913"/>
        <v>0</v>
      </c>
      <c r="X588" s="454" t="str">
        <f t="shared" si="736"/>
        <v>2</v>
      </c>
      <c r="Y588" s="456" t="str">
        <f t="shared" si="5"/>
        <v>FALSE</v>
      </c>
      <c r="Z588" s="456" t="str">
        <f t="shared" si="6"/>
        <v>FALSE</v>
      </c>
      <c r="AA588" s="457" t="str">
        <f t="shared" ref="AA588:AB588" si="925">1-I588</f>
        <v>0%</v>
      </c>
      <c r="AB588" s="457" t="str">
        <f t="shared" si="925"/>
        <v>0%</v>
      </c>
      <c r="AC588" s="456" t="str">
        <f t="shared" si="8"/>
        <v>2</v>
      </c>
      <c r="AD588" s="458" t="str">
        <f t="shared" si="738"/>
        <v>0</v>
      </c>
      <c r="AE588" s="458" t="str">
        <f t="shared" si="10"/>
        <v>1</v>
      </c>
      <c r="AF588" s="459" t="str">
        <f t="shared" si="885"/>
        <v>0</v>
      </c>
      <c r="AG588" s="460"/>
      <c r="AH588" s="14"/>
      <c r="AI588" s="14"/>
      <c r="AJ588" s="14"/>
      <c r="AK588" s="14"/>
      <c r="AL588" s="14"/>
      <c r="AM588" s="14"/>
      <c r="AN588" s="14"/>
      <c r="AO588" s="14"/>
      <c r="AP588" s="14"/>
      <c r="AQ588" s="14"/>
      <c r="AR588" s="14"/>
      <c r="AS588" s="14"/>
      <c r="AT588" s="14"/>
    </row>
    <row r="589">
      <c r="A589" s="469"/>
      <c r="B589" s="547">
        <v>4.0</v>
      </c>
      <c r="C589" s="548" t="s">
        <v>1300</v>
      </c>
      <c r="D589" s="549" t="s">
        <v>21</v>
      </c>
      <c r="E589" s="549" t="s">
        <v>33</v>
      </c>
      <c r="F589" s="550" t="s">
        <v>77</v>
      </c>
      <c r="G589" s="551">
        <v>2.0</v>
      </c>
      <c r="H589" s="551">
        <v>0.0</v>
      </c>
      <c r="I589" s="553">
        <v>1.0</v>
      </c>
      <c r="J589" s="553">
        <v>1.0</v>
      </c>
      <c r="K589" s="554" t="s">
        <v>188</v>
      </c>
      <c r="L589" s="554"/>
      <c r="M589" s="554">
        <v>2.0</v>
      </c>
      <c r="N589" s="554">
        <v>5.0</v>
      </c>
      <c r="O589" s="555" t="s">
        <v>1301</v>
      </c>
      <c r="P589" s="14"/>
      <c r="Q589" s="452" t="str">
        <f>MATCH($D589,Reference!$J$5:$J$9,0)</f>
        <v>3</v>
      </c>
      <c r="R589" s="452" t="str">
        <f>MATCH($E589,Reference!$J$26:$J$32,0)</f>
        <v>2</v>
      </c>
      <c r="S589" s="452" t="str">
        <f>MATCH($F589,Reference!$J$45:$J$54,0)</f>
        <v>10</v>
      </c>
      <c r="T589" s="453" t="str">
        <f>MATCH($K589,Reference!$J$37:$J$39,0)</f>
        <v>3</v>
      </c>
      <c r="U589" s="454" t="str">
        <f t="shared" si="735"/>
        <v>2</v>
      </c>
      <c r="V589" s="454" t="str">
        <f t="shared" si="3"/>
        <v>1</v>
      </c>
      <c r="W589" s="454" t="str">
        <f t="shared" si="913"/>
        <v>0</v>
      </c>
      <c r="X589" s="454" t="str">
        <f t="shared" si="736"/>
        <v>2</v>
      </c>
      <c r="Y589" s="456" t="str">
        <f t="shared" si="5"/>
        <v>FALSE</v>
      </c>
      <c r="Z589" s="456" t="str">
        <f t="shared" si="6"/>
        <v>FALSE</v>
      </c>
      <c r="AA589" s="457" t="str">
        <f t="shared" ref="AA589:AB589" si="926">1-I589</f>
        <v>0%</v>
      </c>
      <c r="AB589" s="457" t="str">
        <f t="shared" si="926"/>
        <v>0%</v>
      </c>
      <c r="AC589" s="456" t="str">
        <f t="shared" si="8"/>
        <v>2</v>
      </c>
      <c r="AD589" s="458" t="str">
        <f t="shared" si="738"/>
        <v>0</v>
      </c>
      <c r="AE589" s="458" t="str">
        <f t="shared" si="10"/>
        <v>1</v>
      </c>
      <c r="AF589" s="459" t="str">
        <f t="shared" si="885"/>
        <v>0</v>
      </c>
      <c r="AG589" s="460"/>
      <c r="AH589" s="14"/>
      <c r="AI589" s="14"/>
      <c r="AJ589" s="14"/>
      <c r="AK589" s="14"/>
      <c r="AL589" s="14"/>
      <c r="AM589" s="14"/>
      <c r="AN589" s="14"/>
      <c r="AO589" s="14"/>
      <c r="AP589" s="14"/>
      <c r="AQ589" s="14"/>
      <c r="AR589" s="14"/>
      <c r="AS589" s="14"/>
      <c r="AT589" s="14"/>
    </row>
    <row r="590">
      <c r="A590" s="442"/>
      <c r="B590" s="594">
        <v>4.0</v>
      </c>
      <c r="C590" s="595" t="s">
        <v>1302</v>
      </c>
      <c r="D590" s="575" t="s">
        <v>21</v>
      </c>
      <c r="E590" s="575" t="s">
        <v>35</v>
      </c>
      <c r="F590" s="576" t="s">
        <v>77</v>
      </c>
      <c r="G590" s="596">
        <v>1.0</v>
      </c>
      <c r="H590" s="597">
        <v>0.0</v>
      </c>
      <c r="I590" s="598">
        <v>1.0</v>
      </c>
      <c r="J590" s="598">
        <v>1.0</v>
      </c>
      <c r="K590" s="600" t="s">
        <v>188</v>
      </c>
      <c r="L590" s="600" t="s">
        <v>198</v>
      </c>
      <c r="M590" s="600">
        <v>2.0</v>
      </c>
      <c r="N590" s="600">
        <v>5.0</v>
      </c>
      <c r="O590" s="599" t="s">
        <v>1303</v>
      </c>
      <c r="P590" s="681"/>
      <c r="Q590" s="452" t="str">
        <f>MATCH($D590,Reference!$J$5:$J$9,0)</f>
        <v>3</v>
      </c>
      <c r="R590" s="452" t="str">
        <f>MATCH($E590,Reference!$J$26:$J$32,0)</f>
        <v>5</v>
      </c>
      <c r="S590" s="452" t="str">
        <f>MATCH($F590,Reference!$J$45:$J$54,0)</f>
        <v>10</v>
      </c>
      <c r="T590" s="453" t="str">
        <f>MATCH($K590,Reference!$J$37:$J$39,0)</f>
        <v>3</v>
      </c>
      <c r="U590" s="454" t="str">
        <f t="shared" si="735"/>
        <v>1</v>
      </c>
      <c r="V590" s="454" t="str">
        <f t="shared" si="3"/>
        <v>1</v>
      </c>
      <c r="W590" s="454" t="str">
        <f t="shared" si="913"/>
        <v>0</v>
      </c>
      <c r="X590" s="454" t="str">
        <f t="shared" si="736"/>
        <v>1</v>
      </c>
      <c r="Y590" s="456" t="str">
        <f t="shared" si="5"/>
        <v>FALSE</v>
      </c>
      <c r="Z590" s="456" t="str">
        <f t="shared" si="6"/>
        <v>TRUE</v>
      </c>
      <c r="AA590" s="457" t="str">
        <f t="shared" ref="AA590:AB590" si="927">1-I590</f>
        <v>0%</v>
      </c>
      <c r="AB590" s="457" t="str">
        <f t="shared" si="927"/>
        <v>0%</v>
      </c>
      <c r="AC590" s="456" t="str">
        <f t="shared" si="8"/>
        <v>1</v>
      </c>
      <c r="AD590" s="458" t="str">
        <f t="shared" si="738"/>
        <v>0</v>
      </c>
      <c r="AE590" s="458" t="str">
        <f t="shared" si="10"/>
        <v>1</v>
      </c>
      <c r="AF590" s="459" t="str">
        <f t="shared" si="885"/>
        <v>0</v>
      </c>
      <c r="AG590" s="460"/>
      <c r="AH590" s="14"/>
      <c r="AI590" s="14"/>
      <c r="AJ590" s="14"/>
      <c r="AK590" s="14"/>
      <c r="AL590" s="14"/>
      <c r="AM590" s="14"/>
      <c r="AN590" s="14"/>
      <c r="AO590" s="14"/>
      <c r="AP590" s="14"/>
      <c r="AQ590" s="14"/>
      <c r="AR590" s="14"/>
      <c r="AS590" s="14"/>
      <c r="AT590" s="14"/>
    </row>
    <row r="591">
      <c r="A591" s="442"/>
      <c r="B591" s="560">
        <v>4.0</v>
      </c>
      <c r="C591" s="561" t="s">
        <v>1304</v>
      </c>
      <c r="D591" s="562" t="s">
        <v>21</v>
      </c>
      <c r="E591" s="563" t="s">
        <v>36</v>
      </c>
      <c r="F591" s="563" t="s">
        <v>77</v>
      </c>
      <c r="G591" s="564">
        <v>2.0</v>
      </c>
      <c r="H591" s="564">
        <v>0.0</v>
      </c>
      <c r="I591" s="565">
        <v>1.0</v>
      </c>
      <c r="J591" s="565">
        <v>1.0</v>
      </c>
      <c r="K591" s="563" t="s">
        <v>188</v>
      </c>
      <c r="L591" s="563" t="s">
        <v>238</v>
      </c>
      <c r="M591" s="563">
        <v>5.0</v>
      </c>
      <c r="N591" s="563">
        <v>3.0</v>
      </c>
      <c r="O591" s="566" t="s">
        <v>1305</v>
      </c>
      <c r="P591" s="14"/>
      <c r="Q591" s="452" t="str">
        <f>MATCH($D591,Reference!$J$5:$J$9,0)</f>
        <v>3</v>
      </c>
      <c r="R591" s="452" t="str">
        <f>MATCH($E591,Reference!$J$26:$J$32,0)</f>
        <v>7</v>
      </c>
      <c r="S591" s="452" t="str">
        <f>MATCH($F591,Reference!$J$45:$J$54,0)</f>
        <v>10</v>
      </c>
      <c r="T591" s="453" t="str">
        <f>MATCH($K591,Reference!$J$37:$J$39,0)</f>
        <v>3</v>
      </c>
      <c r="U591" s="454" t="str">
        <f t="shared" si="735"/>
        <v>2</v>
      </c>
      <c r="V591" s="454" t="str">
        <f t="shared" si="3"/>
        <v>1</v>
      </c>
      <c r="W591" s="454" t="str">
        <f t="shared" si="913"/>
        <v>0</v>
      </c>
      <c r="X591" s="454" t="str">
        <f t="shared" si="736"/>
        <v>2</v>
      </c>
      <c r="Y591" s="456" t="str">
        <f t="shared" si="5"/>
        <v>FALSE</v>
      </c>
      <c r="Z591" s="456" t="str">
        <f t="shared" si="6"/>
        <v>FALSE</v>
      </c>
      <c r="AA591" s="457" t="str">
        <f t="shared" ref="AA591:AB591" si="928">1-I591</f>
        <v>0%</v>
      </c>
      <c r="AB591" s="457" t="str">
        <f t="shared" si="928"/>
        <v>0%</v>
      </c>
      <c r="AC591" s="456" t="str">
        <f t="shared" si="8"/>
        <v>2</v>
      </c>
      <c r="AD591" s="458" t="str">
        <f t="shared" si="738"/>
        <v>0</v>
      </c>
      <c r="AE591" s="458" t="str">
        <f t="shared" si="10"/>
        <v>1</v>
      </c>
      <c r="AF591" s="459" t="str">
        <f t="shared" si="885"/>
        <v>0</v>
      </c>
      <c r="AG591" s="460"/>
      <c r="AH591" s="14"/>
      <c r="AI591" s="14"/>
      <c r="AJ591" s="14"/>
      <c r="AK591" s="14"/>
      <c r="AL591" s="14"/>
      <c r="AM591" s="14"/>
      <c r="AN591" s="14"/>
      <c r="AO591" s="14"/>
      <c r="AP591" s="14"/>
      <c r="AQ591" s="14"/>
      <c r="AR591" s="14"/>
      <c r="AS591" s="14"/>
      <c r="AT591" s="14"/>
    </row>
    <row r="592">
      <c r="A592" s="463"/>
      <c r="B592" s="547">
        <v>4.0</v>
      </c>
      <c r="C592" s="548" t="s">
        <v>1306</v>
      </c>
      <c r="D592" s="549" t="s">
        <v>21</v>
      </c>
      <c r="E592" s="549" t="s">
        <v>33</v>
      </c>
      <c r="F592" s="550" t="s">
        <v>77</v>
      </c>
      <c r="G592" s="551">
        <v>2.0</v>
      </c>
      <c r="H592" s="551">
        <v>0.0</v>
      </c>
      <c r="I592" s="553">
        <v>1.0</v>
      </c>
      <c r="J592" s="553">
        <v>1.0</v>
      </c>
      <c r="K592" s="554" t="s">
        <v>188</v>
      </c>
      <c r="L592" s="554"/>
      <c r="M592" s="554">
        <v>2.0</v>
      </c>
      <c r="N592" s="554">
        <v>3.0</v>
      </c>
      <c r="O592" s="555" t="s">
        <v>1307</v>
      </c>
      <c r="P592" s="14"/>
      <c r="Q592" s="452" t="str">
        <f>MATCH($D592,Reference!$J$5:$J$9,0)</f>
        <v>3</v>
      </c>
      <c r="R592" s="452" t="str">
        <f>MATCH($E592,Reference!$J$26:$J$32,0)</f>
        <v>2</v>
      </c>
      <c r="S592" s="452" t="str">
        <f>MATCH($F592,Reference!$J$45:$J$54,0)</f>
        <v>10</v>
      </c>
      <c r="T592" s="453" t="str">
        <f>MATCH($K592,Reference!$J$37:$J$39,0)</f>
        <v>3</v>
      </c>
      <c r="U592" s="454" t="str">
        <f t="shared" si="735"/>
        <v>2</v>
      </c>
      <c r="V592" s="454" t="str">
        <f t="shared" si="3"/>
        <v>1</v>
      </c>
      <c r="W592" s="454" t="str">
        <f t="shared" si="913"/>
        <v>0</v>
      </c>
      <c r="X592" s="454" t="str">
        <f t="shared" si="736"/>
        <v>2</v>
      </c>
      <c r="Y592" s="456" t="str">
        <f t="shared" si="5"/>
        <v>FALSE</v>
      </c>
      <c r="Z592" s="456" t="str">
        <f t="shared" si="6"/>
        <v>FALSE</v>
      </c>
      <c r="AA592" s="457" t="str">
        <f t="shared" ref="AA592:AB592" si="929">1-I592</f>
        <v>0%</v>
      </c>
      <c r="AB592" s="457" t="str">
        <f t="shared" si="929"/>
        <v>0%</v>
      </c>
      <c r="AC592" s="456" t="str">
        <f t="shared" si="8"/>
        <v>2</v>
      </c>
      <c r="AD592" s="458" t="str">
        <f t="shared" si="738"/>
        <v>0</v>
      </c>
      <c r="AE592" s="458" t="str">
        <f t="shared" si="10"/>
        <v>1</v>
      </c>
      <c r="AF592" s="459" t="str">
        <f t="shared" si="885"/>
        <v>0</v>
      </c>
      <c r="AG592" s="460"/>
      <c r="AH592" s="14"/>
      <c r="AI592" s="14"/>
      <c r="AJ592" s="14"/>
      <c r="AK592" s="14"/>
      <c r="AL592" s="14"/>
      <c r="AM592" s="14"/>
      <c r="AN592" s="14"/>
      <c r="AO592" s="14"/>
      <c r="AP592" s="14"/>
      <c r="AQ592" s="14"/>
      <c r="AR592" s="14"/>
      <c r="AS592" s="14"/>
      <c r="AT592" s="14"/>
    </row>
    <row r="593">
      <c r="A593" s="463"/>
      <c r="B593" s="594">
        <v>4.0</v>
      </c>
      <c r="C593" s="595" t="s">
        <v>1308</v>
      </c>
      <c r="D593" s="575" t="s">
        <v>21</v>
      </c>
      <c r="E593" s="575" t="s">
        <v>35</v>
      </c>
      <c r="F593" s="576" t="s">
        <v>77</v>
      </c>
      <c r="G593" s="597">
        <v>2.0</v>
      </c>
      <c r="H593" s="597">
        <v>0.0</v>
      </c>
      <c r="I593" s="598">
        <v>1.0</v>
      </c>
      <c r="J593" s="598">
        <v>1.0</v>
      </c>
      <c r="K593" s="600" t="s">
        <v>188</v>
      </c>
      <c r="L593" s="600" t="s">
        <v>198</v>
      </c>
      <c r="M593" s="600">
        <v>1.0</v>
      </c>
      <c r="N593" s="600">
        <v>4.0</v>
      </c>
      <c r="O593" s="599" t="s">
        <v>1309</v>
      </c>
      <c r="P593" s="14"/>
      <c r="Q593" s="452" t="str">
        <f>MATCH($D593,Reference!$J$5:$J$9,0)</f>
        <v>3</v>
      </c>
      <c r="R593" s="452" t="str">
        <f>MATCH($E593,Reference!$J$26:$J$32,0)</f>
        <v>5</v>
      </c>
      <c r="S593" s="452" t="str">
        <f>MATCH($F593,Reference!$J$45:$J$54,0)</f>
        <v>10</v>
      </c>
      <c r="T593" s="453" t="str">
        <f>MATCH($K593,Reference!$J$37:$J$39,0)</f>
        <v>3</v>
      </c>
      <c r="U593" s="454" t="str">
        <f t="shared" si="735"/>
        <v>2</v>
      </c>
      <c r="V593" s="454" t="str">
        <f t="shared" si="3"/>
        <v>1</v>
      </c>
      <c r="W593" s="454" t="str">
        <f t="shared" si="913"/>
        <v>0</v>
      </c>
      <c r="X593" s="454" t="str">
        <f t="shared" si="736"/>
        <v>2</v>
      </c>
      <c r="Y593" s="456" t="str">
        <f t="shared" si="5"/>
        <v>FALSE</v>
      </c>
      <c r="Z593" s="456" t="str">
        <f t="shared" si="6"/>
        <v>FALSE</v>
      </c>
      <c r="AA593" s="457" t="str">
        <f t="shared" ref="AA593:AB593" si="930">1-I593</f>
        <v>0%</v>
      </c>
      <c r="AB593" s="457" t="str">
        <f t="shared" si="930"/>
        <v>0%</v>
      </c>
      <c r="AC593" s="456" t="str">
        <f t="shared" si="8"/>
        <v>2</v>
      </c>
      <c r="AD593" s="458" t="str">
        <f t="shared" si="738"/>
        <v>0</v>
      </c>
      <c r="AE593" s="458" t="str">
        <f t="shared" si="10"/>
        <v>1</v>
      </c>
      <c r="AF593" s="459" t="str">
        <f t="shared" si="885"/>
        <v>0</v>
      </c>
      <c r="AG593" s="460"/>
      <c r="AH593" s="14"/>
      <c r="AI593" s="14"/>
      <c r="AJ593" s="14"/>
      <c r="AK593" s="14"/>
      <c r="AL593" s="14"/>
      <c r="AM593" s="14"/>
      <c r="AN593" s="14"/>
      <c r="AO593" s="14"/>
      <c r="AP593" s="14"/>
      <c r="AQ593" s="14"/>
      <c r="AR593" s="14"/>
      <c r="AS593" s="14"/>
      <c r="AT593" s="14"/>
    </row>
    <row r="594">
      <c r="A594" s="442"/>
      <c r="B594" s="594">
        <v>4.0</v>
      </c>
      <c r="C594" s="595" t="s">
        <v>1310</v>
      </c>
      <c r="D594" s="575" t="s">
        <v>21</v>
      </c>
      <c r="E594" s="575" t="s">
        <v>35</v>
      </c>
      <c r="F594" s="576" t="s">
        <v>77</v>
      </c>
      <c r="G594" s="597">
        <v>2.0</v>
      </c>
      <c r="H594" s="597">
        <v>0.0</v>
      </c>
      <c r="I594" s="598">
        <v>1.0</v>
      </c>
      <c r="J594" s="598">
        <v>1.0</v>
      </c>
      <c r="K594" s="600" t="s">
        <v>188</v>
      </c>
      <c r="L594" s="600"/>
      <c r="M594" s="600">
        <v>4.0</v>
      </c>
      <c r="N594" s="600">
        <v>3.0</v>
      </c>
      <c r="O594" s="599" t="s">
        <v>1311</v>
      </c>
      <c r="P594" s="14"/>
      <c r="Q594" s="452" t="str">
        <f>MATCH($D594,Reference!$J$5:$J$9,0)</f>
        <v>3</v>
      </c>
      <c r="R594" s="452" t="str">
        <f>MATCH($E594,Reference!$J$26:$J$32,0)</f>
        <v>5</v>
      </c>
      <c r="S594" s="452" t="str">
        <f>MATCH($F594,Reference!$J$45:$J$54,0)</f>
        <v>10</v>
      </c>
      <c r="T594" s="453" t="str">
        <f>MATCH($K594,Reference!$J$37:$J$39,0)</f>
        <v>3</v>
      </c>
      <c r="U594" s="454" t="str">
        <f t="shared" si="735"/>
        <v>2</v>
      </c>
      <c r="V594" s="454" t="str">
        <f t="shared" si="3"/>
        <v>1</v>
      </c>
      <c r="W594" s="454" t="str">
        <f t="shared" si="913"/>
        <v>0</v>
      </c>
      <c r="X594" s="454" t="str">
        <f t="shared" si="736"/>
        <v>2</v>
      </c>
      <c r="Y594" s="456" t="str">
        <f t="shared" si="5"/>
        <v>FALSE</v>
      </c>
      <c r="Z594" s="456" t="str">
        <f t="shared" si="6"/>
        <v>FALSE</v>
      </c>
      <c r="AA594" s="457" t="str">
        <f t="shared" ref="AA594:AB594" si="931">1-I594</f>
        <v>0%</v>
      </c>
      <c r="AB594" s="457" t="str">
        <f t="shared" si="931"/>
        <v>0%</v>
      </c>
      <c r="AC594" s="456" t="str">
        <f t="shared" si="8"/>
        <v>2</v>
      </c>
      <c r="AD594" s="458" t="str">
        <f t="shared" si="738"/>
        <v>0</v>
      </c>
      <c r="AE594" s="458" t="str">
        <f t="shared" si="10"/>
        <v>1</v>
      </c>
      <c r="AF594" s="459" t="str">
        <f t="shared" si="885"/>
        <v>0</v>
      </c>
      <c r="AG594" s="460"/>
      <c r="AH594" s="14"/>
      <c r="AI594" s="14"/>
      <c r="AJ594" s="14"/>
      <c r="AK594" s="14"/>
      <c r="AL594" s="14"/>
      <c r="AM594" s="14"/>
      <c r="AN594" s="14"/>
      <c r="AO594" s="14"/>
      <c r="AP594" s="14"/>
      <c r="AQ594" s="14"/>
      <c r="AR594" s="14"/>
      <c r="AS594" s="14"/>
      <c r="AT594" s="14"/>
    </row>
    <row r="595">
      <c r="A595" s="463"/>
      <c r="B595" s="547">
        <v>4.0</v>
      </c>
      <c r="C595" s="548" t="s">
        <v>1312</v>
      </c>
      <c r="D595" s="549" t="s">
        <v>21</v>
      </c>
      <c r="E595" s="549" t="s">
        <v>33</v>
      </c>
      <c r="F595" s="550" t="s">
        <v>77</v>
      </c>
      <c r="G595" s="551">
        <v>2.0</v>
      </c>
      <c r="H595" s="551">
        <v>0.0</v>
      </c>
      <c r="I595" s="553">
        <v>1.0</v>
      </c>
      <c r="J595" s="553">
        <v>1.0</v>
      </c>
      <c r="K595" s="554" t="s">
        <v>188</v>
      </c>
      <c r="L595" s="554" t="s">
        <v>446</v>
      </c>
      <c r="M595" s="554">
        <v>4.0</v>
      </c>
      <c r="N595" s="554" t="s">
        <v>1313</v>
      </c>
      <c r="O595" s="555" t="s">
        <v>1314</v>
      </c>
      <c r="P595" s="14"/>
      <c r="Q595" s="452" t="str">
        <f>MATCH($D595,Reference!$J$5:$J$9,0)</f>
        <v>3</v>
      </c>
      <c r="R595" s="452" t="str">
        <f>MATCH($E595,Reference!$J$26:$J$32,0)</f>
        <v>2</v>
      </c>
      <c r="S595" s="452" t="str">
        <f>MATCH($F595,Reference!$J$45:$J$54,0)</f>
        <v>10</v>
      </c>
      <c r="T595" s="453" t="str">
        <f>MATCH($K595,Reference!$J$37:$J$39,0)</f>
        <v>3</v>
      </c>
      <c r="U595" s="454" t="str">
        <f t="shared" si="735"/>
        <v>2</v>
      </c>
      <c r="V595" s="454" t="str">
        <f t="shared" si="3"/>
        <v>1</v>
      </c>
      <c r="W595" s="454" t="str">
        <f t="shared" si="913"/>
        <v>0</v>
      </c>
      <c r="X595" s="454" t="str">
        <f t="shared" si="736"/>
        <v>2</v>
      </c>
      <c r="Y595" s="456" t="str">
        <f t="shared" si="5"/>
        <v>FALSE</v>
      </c>
      <c r="Z595" s="456" t="str">
        <f t="shared" si="6"/>
        <v>FALSE</v>
      </c>
      <c r="AA595" s="457" t="str">
        <f t="shared" ref="AA595:AB595" si="932">1-I595</f>
        <v>0%</v>
      </c>
      <c r="AB595" s="457" t="str">
        <f t="shared" si="932"/>
        <v>0%</v>
      </c>
      <c r="AC595" s="456" t="str">
        <f t="shared" si="8"/>
        <v>2</v>
      </c>
      <c r="AD595" s="458" t="str">
        <f t="shared" si="738"/>
        <v>0</v>
      </c>
      <c r="AE595" s="458" t="str">
        <f t="shared" si="10"/>
        <v>1</v>
      </c>
      <c r="AF595" s="459" t="str">
        <f t="shared" si="885"/>
        <v>0</v>
      </c>
      <c r="AG595" s="460"/>
      <c r="AH595" s="14"/>
      <c r="AI595" s="14"/>
      <c r="AJ595" s="14"/>
      <c r="AK595" s="14"/>
      <c r="AL595" s="14"/>
      <c r="AM595" s="14"/>
      <c r="AN595" s="14"/>
      <c r="AO595" s="14"/>
      <c r="AP595" s="14"/>
      <c r="AQ595" s="14"/>
      <c r="AR595" s="14"/>
      <c r="AS595" s="14"/>
      <c r="AT595" s="14"/>
    </row>
    <row r="596">
      <c r="A596" s="509"/>
      <c r="B596" s="547">
        <v>4.0</v>
      </c>
      <c r="C596" s="548" t="s">
        <v>1315</v>
      </c>
      <c r="D596" s="549" t="s">
        <v>21</v>
      </c>
      <c r="E596" s="549" t="s">
        <v>33</v>
      </c>
      <c r="F596" s="550" t="s">
        <v>77</v>
      </c>
      <c r="G596" s="551">
        <v>2.0</v>
      </c>
      <c r="H596" s="552">
        <v>0.0</v>
      </c>
      <c r="I596" s="553">
        <v>1.0</v>
      </c>
      <c r="J596" s="553">
        <v>1.0</v>
      </c>
      <c r="K596" s="554" t="s">
        <v>188</v>
      </c>
      <c r="L596" s="554"/>
      <c r="M596" s="554">
        <v>3.0</v>
      </c>
      <c r="N596" s="554">
        <v>5.0</v>
      </c>
      <c r="O596" s="555" t="s">
        <v>1316</v>
      </c>
      <c r="P596" s="14"/>
      <c r="Q596" s="452" t="str">
        <f>MATCH($D596,Reference!$J$5:$J$9,0)</f>
        <v>3</v>
      </c>
      <c r="R596" s="452" t="str">
        <f>MATCH($E596,Reference!$J$26:$J$32,0)</f>
        <v>2</v>
      </c>
      <c r="S596" s="452" t="str">
        <f>MATCH($F596,Reference!$J$45:$J$54,0)</f>
        <v>10</v>
      </c>
      <c r="T596" s="453" t="str">
        <f>MATCH($K596,Reference!$J$37:$J$39,0)</f>
        <v>3</v>
      </c>
      <c r="U596" s="454" t="str">
        <f t="shared" si="735"/>
        <v>2</v>
      </c>
      <c r="V596" s="454" t="str">
        <f t="shared" si="3"/>
        <v>1</v>
      </c>
      <c r="W596" s="454" t="str">
        <f t="shared" si="913"/>
        <v>0</v>
      </c>
      <c r="X596" s="454" t="str">
        <f t="shared" si="736"/>
        <v>2</v>
      </c>
      <c r="Y596" s="456" t="str">
        <f t="shared" si="5"/>
        <v>FALSE</v>
      </c>
      <c r="Z596" s="456" t="str">
        <f t="shared" si="6"/>
        <v>FALSE</v>
      </c>
      <c r="AA596" s="457" t="str">
        <f t="shared" ref="AA596:AB596" si="933">1-I596</f>
        <v>0%</v>
      </c>
      <c r="AB596" s="457" t="str">
        <f t="shared" si="933"/>
        <v>0%</v>
      </c>
      <c r="AC596" s="456" t="str">
        <f t="shared" si="8"/>
        <v>2</v>
      </c>
      <c r="AD596" s="458" t="str">
        <f t="shared" si="738"/>
        <v>0</v>
      </c>
      <c r="AE596" s="458" t="str">
        <f t="shared" si="10"/>
        <v>1</v>
      </c>
      <c r="AF596" s="459" t="str">
        <f t="shared" si="885"/>
        <v>0</v>
      </c>
      <c r="AG596" s="460"/>
      <c r="AH596" s="14"/>
      <c r="AI596" s="14"/>
      <c r="AJ596" s="14"/>
      <c r="AK596" s="14"/>
      <c r="AL596" s="14"/>
      <c r="AM596" s="14"/>
      <c r="AN596" s="14"/>
      <c r="AO596" s="14"/>
      <c r="AP596" s="14"/>
      <c r="AQ596" s="14"/>
      <c r="AR596" s="14"/>
      <c r="AS596" s="14"/>
      <c r="AT596" s="14"/>
    </row>
    <row r="597">
      <c r="A597" s="442"/>
      <c r="B597" s="752">
        <v>4.0</v>
      </c>
      <c r="C597" s="753" t="s">
        <v>1317</v>
      </c>
      <c r="D597" s="754" t="s">
        <v>21</v>
      </c>
      <c r="E597" s="754" t="s">
        <v>41</v>
      </c>
      <c r="F597" s="755" t="s">
        <v>77</v>
      </c>
      <c r="G597" s="756" t="str">
        <f>IF(Summary!$Y$25&gt;=VLOOKUP(C597,Reference!$N$41:$O$70,2,0),2,0)</f>
        <v>2</v>
      </c>
      <c r="H597" s="756">
        <v>0.0</v>
      </c>
      <c r="I597" s="757">
        <v>1.0</v>
      </c>
      <c r="J597" s="757"/>
      <c r="K597" s="759" t="s">
        <v>188</v>
      </c>
      <c r="L597" s="759"/>
      <c r="M597" s="759">
        <v>3.0</v>
      </c>
      <c r="N597" s="759">
        <v>5.0</v>
      </c>
      <c r="O597" s="758" t="s">
        <v>1318</v>
      </c>
      <c r="P597" s="14"/>
      <c r="Q597" s="452" t="str">
        <f>MATCH($D597,Reference!$J$5:$J$9,0)</f>
        <v>3</v>
      </c>
      <c r="R597" s="452" t="str">
        <f>MATCH($E597,Reference!$J$26:$J$32,0)</f>
        <v>4</v>
      </c>
      <c r="S597" s="452" t="str">
        <f>MATCH($F597,Reference!$J$45:$J$54,0)</f>
        <v>10</v>
      </c>
      <c r="T597" s="453" t="str">
        <f>MATCH($K597,Reference!$J$37:$J$39,0)</f>
        <v>3</v>
      </c>
      <c r="U597" s="454" t="str">
        <f t="shared" si="735"/>
        <v>2</v>
      </c>
      <c r="V597" s="454" t="str">
        <f t="shared" si="3"/>
        <v>1</v>
      </c>
      <c r="W597" s="455">
        <v>0.0</v>
      </c>
      <c r="X597" s="454" t="str">
        <f t="shared" si="736"/>
        <v>2</v>
      </c>
      <c r="Y597" s="456" t="str">
        <f t="shared" si="5"/>
        <v>FALSE</v>
      </c>
      <c r="Z597" s="456" t="str">
        <f t="shared" si="6"/>
        <v>FALSE</v>
      </c>
      <c r="AA597" s="457" t="str">
        <f t="shared" ref="AA597:AB597" si="934">1-I597</f>
        <v>0%</v>
      </c>
      <c r="AB597" s="457" t="str">
        <f t="shared" si="934"/>
        <v>100%</v>
      </c>
      <c r="AC597" s="456" t="str">
        <f t="shared" si="8"/>
        <v>2</v>
      </c>
      <c r="AD597" s="458" t="str">
        <f t="shared" si="738"/>
        <v>0</v>
      </c>
      <c r="AE597" s="458" t="str">
        <f t="shared" si="10"/>
        <v>1</v>
      </c>
      <c r="AF597" s="459" t="str">
        <f t="shared" si="885"/>
        <v>0</v>
      </c>
      <c r="AG597" s="460"/>
      <c r="AH597" s="14"/>
      <c r="AI597" s="14"/>
      <c r="AJ597" s="14"/>
      <c r="AK597" s="14"/>
      <c r="AL597" s="14"/>
      <c r="AM597" s="14"/>
      <c r="AN597" s="14"/>
      <c r="AO597" s="14"/>
      <c r="AP597" s="14"/>
      <c r="AQ597" s="14"/>
      <c r="AR597" s="14"/>
      <c r="AS597" s="14"/>
      <c r="AT597" s="14"/>
    </row>
    <row r="598">
      <c r="A598" s="442"/>
      <c r="B598" s="547">
        <v>5.0</v>
      </c>
      <c r="C598" s="548" t="s">
        <v>1319</v>
      </c>
      <c r="D598" s="549" t="s">
        <v>21</v>
      </c>
      <c r="E598" s="549" t="s">
        <v>33</v>
      </c>
      <c r="F598" s="550" t="s">
        <v>77</v>
      </c>
      <c r="G598" s="552">
        <v>0.0</v>
      </c>
      <c r="H598" s="551">
        <v>0.0</v>
      </c>
      <c r="I598" s="553">
        <v>1.0</v>
      </c>
      <c r="J598" s="553">
        <v>1.0</v>
      </c>
      <c r="K598" s="554" t="s">
        <v>188</v>
      </c>
      <c r="L598" s="554"/>
      <c r="M598" s="554">
        <v>4.0</v>
      </c>
      <c r="N598" s="554">
        <v>4.0</v>
      </c>
      <c r="O598" s="555" t="s">
        <v>1320</v>
      </c>
      <c r="P598" s="14"/>
      <c r="Q598" s="452" t="str">
        <f>MATCH($D598,Reference!$J$5:$J$9,0)</f>
        <v>3</v>
      </c>
      <c r="R598" s="452" t="str">
        <f>MATCH($E598,Reference!$J$26:$J$32,0)</f>
        <v>2</v>
      </c>
      <c r="S598" s="452" t="str">
        <f>MATCH($F598,Reference!$J$45:$J$54,0)</f>
        <v>10</v>
      </c>
      <c r="T598" s="453" t="str">
        <f>MATCH($K598,Reference!$J$37:$J$39,0)</f>
        <v>3</v>
      </c>
      <c r="U598" s="454" t="str">
        <f t="shared" si="735"/>
        <v>0</v>
      </c>
      <c r="V598" s="454" t="str">
        <f t="shared" si="3"/>
        <v>0</v>
      </c>
      <c r="W598" s="454" t="str">
        <f t="shared" ref="W598:W600" si="936">(MIN(G598,2)+H598-U598)*100</f>
        <v>0</v>
      </c>
      <c r="X598" s="454" t="str">
        <f t="shared" si="736"/>
        <v>0</v>
      </c>
      <c r="Y598" s="456" t="str">
        <f t="shared" si="5"/>
        <v>TRUE</v>
      </c>
      <c r="Z598" s="456" t="str">
        <f t="shared" si="6"/>
        <v>TRUE</v>
      </c>
      <c r="AA598" s="457" t="str">
        <f t="shared" ref="AA598:AB598" si="935">1-I598</f>
        <v>0%</v>
      </c>
      <c r="AB598" s="457" t="str">
        <f t="shared" si="935"/>
        <v>0%</v>
      </c>
      <c r="AC598" s="456" t="str">
        <f t="shared" si="8"/>
        <v>0</v>
      </c>
      <c r="AD598" s="458" t="str">
        <f t="shared" si="738"/>
        <v>0</v>
      </c>
      <c r="AE598" s="458" t="str">
        <f t="shared" si="10"/>
        <v>0</v>
      </c>
      <c r="AF598" s="459" t="str">
        <f t="shared" si="885"/>
        <v>0</v>
      </c>
      <c r="AG598" s="460"/>
      <c r="AH598" s="14"/>
      <c r="AI598" s="14"/>
      <c r="AJ598" s="14"/>
      <c r="AK598" s="14"/>
      <c r="AL598" s="14"/>
      <c r="AM598" s="14"/>
      <c r="AN598" s="14"/>
      <c r="AO598" s="14"/>
      <c r="AP598" s="14"/>
      <c r="AQ598" s="14"/>
      <c r="AR598" s="14"/>
      <c r="AS598" s="14"/>
      <c r="AT598" s="14"/>
    </row>
    <row r="599">
      <c r="A599" s="442"/>
      <c r="B599" s="547">
        <v>5.0</v>
      </c>
      <c r="C599" s="548" t="s">
        <v>1321</v>
      </c>
      <c r="D599" s="549" t="s">
        <v>21</v>
      </c>
      <c r="E599" s="549" t="s">
        <v>33</v>
      </c>
      <c r="F599" s="550" t="s">
        <v>77</v>
      </c>
      <c r="G599" s="551">
        <v>2.0</v>
      </c>
      <c r="H599" s="551">
        <v>0.0</v>
      </c>
      <c r="I599" s="553">
        <v>1.0</v>
      </c>
      <c r="J599" s="553">
        <v>1.0</v>
      </c>
      <c r="K599" s="554" t="s">
        <v>188</v>
      </c>
      <c r="L599" s="554" t="s">
        <v>446</v>
      </c>
      <c r="M599" s="554">
        <v>4.0</v>
      </c>
      <c r="N599" s="554">
        <v>4.0</v>
      </c>
      <c r="O599" s="555" t="s">
        <v>1322</v>
      </c>
      <c r="P599" s="14"/>
      <c r="Q599" s="452" t="str">
        <f>MATCH($D599,Reference!$J$5:$J$9,0)</f>
        <v>3</v>
      </c>
      <c r="R599" s="452" t="str">
        <f>MATCH($E599,Reference!$J$26:$J$32,0)</f>
        <v>2</v>
      </c>
      <c r="S599" s="452" t="str">
        <f>MATCH($F599,Reference!$J$45:$J$54,0)</f>
        <v>10</v>
      </c>
      <c r="T599" s="453" t="str">
        <f>MATCH($K599,Reference!$J$37:$J$39,0)</f>
        <v>3</v>
      </c>
      <c r="U599" s="454" t="str">
        <f t="shared" si="735"/>
        <v>2</v>
      </c>
      <c r="V599" s="454" t="str">
        <f t="shared" si="3"/>
        <v>1</v>
      </c>
      <c r="W599" s="454" t="str">
        <f t="shared" si="936"/>
        <v>0</v>
      </c>
      <c r="X599" s="454" t="str">
        <f t="shared" si="736"/>
        <v>2</v>
      </c>
      <c r="Y599" s="456" t="str">
        <f t="shared" si="5"/>
        <v>FALSE</v>
      </c>
      <c r="Z599" s="456" t="str">
        <f t="shared" si="6"/>
        <v>FALSE</v>
      </c>
      <c r="AA599" s="457" t="str">
        <f t="shared" ref="AA599:AB599" si="937">1-I599</f>
        <v>0%</v>
      </c>
      <c r="AB599" s="457" t="str">
        <f t="shared" si="937"/>
        <v>0%</v>
      </c>
      <c r="AC599" s="456" t="str">
        <f t="shared" si="8"/>
        <v>2</v>
      </c>
      <c r="AD599" s="458" t="str">
        <f t="shared" si="738"/>
        <v>0</v>
      </c>
      <c r="AE599" s="458" t="str">
        <f t="shared" si="10"/>
        <v>1</v>
      </c>
      <c r="AF599" s="459" t="str">
        <f t="shared" si="885"/>
        <v>0</v>
      </c>
      <c r="AG599" s="460"/>
      <c r="AH599" s="14"/>
      <c r="AI599" s="14"/>
      <c r="AJ599" s="14"/>
      <c r="AK599" s="14"/>
      <c r="AL599" s="14"/>
      <c r="AM599" s="14"/>
      <c r="AN599" s="14"/>
      <c r="AO599" s="14"/>
      <c r="AP599" s="14"/>
      <c r="AQ599" s="14"/>
      <c r="AR599" s="14"/>
      <c r="AS599" s="14"/>
      <c r="AT599" s="14"/>
    </row>
    <row r="600">
      <c r="A600" s="466"/>
      <c r="B600" s="594">
        <v>5.0</v>
      </c>
      <c r="C600" s="595" t="s">
        <v>1323</v>
      </c>
      <c r="D600" s="575" t="s">
        <v>21</v>
      </c>
      <c r="E600" s="575" t="s">
        <v>35</v>
      </c>
      <c r="F600" s="576" t="s">
        <v>77</v>
      </c>
      <c r="G600" s="596">
        <v>1.0</v>
      </c>
      <c r="H600" s="596">
        <v>0.0</v>
      </c>
      <c r="I600" s="598">
        <v>1.0</v>
      </c>
      <c r="J600" s="598">
        <v>1.0</v>
      </c>
      <c r="K600" s="600" t="s">
        <v>188</v>
      </c>
      <c r="L600" s="600"/>
      <c r="M600" s="600">
        <v>3.0</v>
      </c>
      <c r="N600" s="600">
        <v>3.0</v>
      </c>
      <c r="O600" s="599" t="s">
        <v>1324</v>
      </c>
      <c r="P600" s="14"/>
      <c r="Q600" s="452" t="str">
        <f>MATCH($D600,Reference!$J$5:$J$9,0)</f>
        <v>3</v>
      </c>
      <c r="R600" s="452" t="str">
        <f>MATCH($E600,Reference!$J$26:$J$32,0)</f>
        <v>5</v>
      </c>
      <c r="S600" s="452" t="str">
        <f>MATCH($F600,Reference!$J$45:$J$54,0)</f>
        <v>10</v>
      </c>
      <c r="T600" s="453" t="str">
        <f>MATCH($K600,Reference!$J$37:$J$39,0)</f>
        <v>3</v>
      </c>
      <c r="U600" s="454" t="str">
        <f t="shared" si="735"/>
        <v>1</v>
      </c>
      <c r="V600" s="454" t="str">
        <f t="shared" si="3"/>
        <v>1</v>
      </c>
      <c r="W600" s="454" t="str">
        <f t="shared" si="936"/>
        <v>0</v>
      </c>
      <c r="X600" s="454" t="str">
        <f t="shared" si="736"/>
        <v>1</v>
      </c>
      <c r="Y600" s="456" t="str">
        <f t="shared" si="5"/>
        <v>FALSE</v>
      </c>
      <c r="Z600" s="456" t="str">
        <f t="shared" si="6"/>
        <v>TRUE</v>
      </c>
      <c r="AA600" s="457" t="str">
        <f t="shared" ref="AA600:AB600" si="938">1-I600</f>
        <v>0%</v>
      </c>
      <c r="AB600" s="457" t="str">
        <f t="shared" si="938"/>
        <v>0%</v>
      </c>
      <c r="AC600" s="456" t="str">
        <f t="shared" si="8"/>
        <v>1</v>
      </c>
      <c r="AD600" s="458" t="str">
        <f t="shared" si="738"/>
        <v>0</v>
      </c>
      <c r="AE600" s="458" t="str">
        <f t="shared" si="10"/>
        <v>1</v>
      </c>
      <c r="AF600" s="459" t="str">
        <f t="shared" si="885"/>
        <v>0</v>
      </c>
      <c r="AG600" s="460"/>
      <c r="AH600" s="14"/>
      <c r="AI600" s="14"/>
      <c r="AJ600" s="14"/>
      <c r="AK600" s="14"/>
      <c r="AL600" s="14"/>
      <c r="AM600" s="14"/>
      <c r="AN600" s="14"/>
      <c r="AO600" s="14"/>
      <c r="AP600" s="14"/>
      <c r="AQ600" s="14"/>
      <c r="AR600" s="14"/>
      <c r="AS600" s="14"/>
      <c r="AT600" s="14"/>
    </row>
    <row r="601">
      <c r="A601" s="466"/>
      <c r="B601" s="607">
        <v>5.0</v>
      </c>
      <c r="C601" s="608" t="s">
        <v>1325</v>
      </c>
      <c r="D601" s="609" t="s">
        <v>21</v>
      </c>
      <c r="E601" s="609" t="s">
        <v>47</v>
      </c>
      <c r="F601" s="610" t="s">
        <v>77</v>
      </c>
      <c r="G601" s="611" t="str">
        <f>IF(Summary!$Y$27&gt;=VLOOKUP(C601,Reference!$N$6:$O$36,2,0),2,0)</f>
        <v>2</v>
      </c>
      <c r="H601" s="611">
        <v>0.0</v>
      </c>
      <c r="I601" s="612">
        <v>1.0</v>
      </c>
      <c r="J601" s="612"/>
      <c r="K601" s="613" t="s">
        <v>188</v>
      </c>
      <c r="L601" s="613"/>
      <c r="M601" s="613">
        <v>3.0</v>
      </c>
      <c r="N601" s="613">
        <v>3.0</v>
      </c>
      <c r="O601" s="614" t="s">
        <v>1326</v>
      </c>
      <c r="P601" s="14"/>
      <c r="Q601" s="452" t="str">
        <f>MATCH($D601,Reference!$J$5:$J$9,0)</f>
        <v>3</v>
      </c>
      <c r="R601" s="452" t="str">
        <f>MATCH($E601,Reference!$J$26:$J$32,0)</f>
        <v>6</v>
      </c>
      <c r="S601" s="452" t="str">
        <f>MATCH($F601,Reference!$J$45:$J$54,0)</f>
        <v>10</v>
      </c>
      <c r="T601" s="453" t="str">
        <f>MATCH($K601,Reference!$J$37:$J$39,0)</f>
        <v>3</v>
      </c>
      <c r="U601" s="454" t="str">
        <f t="shared" si="735"/>
        <v>2</v>
      </c>
      <c r="V601" s="454" t="str">
        <f t="shared" si="3"/>
        <v>1</v>
      </c>
      <c r="W601" s="455">
        <v>0.0</v>
      </c>
      <c r="X601" s="454" t="str">
        <f t="shared" si="736"/>
        <v>2</v>
      </c>
      <c r="Y601" s="456" t="str">
        <f t="shared" si="5"/>
        <v>FALSE</v>
      </c>
      <c r="Z601" s="456" t="str">
        <f t="shared" si="6"/>
        <v>FALSE</v>
      </c>
      <c r="AA601" s="457" t="str">
        <f t="shared" ref="AA601:AB601" si="939">1-I601</f>
        <v>0%</v>
      </c>
      <c r="AB601" s="457" t="str">
        <f t="shared" si="939"/>
        <v>100%</v>
      </c>
      <c r="AC601" s="456" t="str">
        <f t="shared" si="8"/>
        <v>2</v>
      </c>
      <c r="AD601" s="458" t="str">
        <f t="shared" si="738"/>
        <v>0</v>
      </c>
      <c r="AE601" s="458" t="str">
        <f t="shared" si="10"/>
        <v>1</v>
      </c>
      <c r="AF601" s="459" t="str">
        <f t="shared" si="885"/>
        <v>0</v>
      </c>
      <c r="AG601" s="460"/>
      <c r="AH601" s="14"/>
      <c r="AI601" s="14"/>
      <c r="AJ601" s="14"/>
      <c r="AK601" s="14"/>
      <c r="AL601" s="14"/>
      <c r="AM601" s="14"/>
      <c r="AN601" s="14"/>
      <c r="AO601" s="14"/>
      <c r="AP601" s="14"/>
      <c r="AQ601" s="14"/>
      <c r="AR601" s="14"/>
      <c r="AS601" s="14"/>
      <c r="AT601" s="14"/>
    </row>
    <row r="602">
      <c r="A602" s="509"/>
      <c r="B602" s="594">
        <v>5.0</v>
      </c>
      <c r="C602" s="595" t="s">
        <v>1327</v>
      </c>
      <c r="D602" s="575" t="s">
        <v>21</v>
      </c>
      <c r="E602" s="575" t="s">
        <v>35</v>
      </c>
      <c r="F602" s="576" t="s">
        <v>77</v>
      </c>
      <c r="G602" s="596">
        <v>1.0</v>
      </c>
      <c r="H602" s="597">
        <v>0.0</v>
      </c>
      <c r="I602" s="598">
        <v>1.0</v>
      </c>
      <c r="J602" s="598">
        <v>1.0</v>
      </c>
      <c r="K602" s="575" t="s">
        <v>188</v>
      </c>
      <c r="L602" s="575"/>
      <c r="M602" s="576">
        <v>5.0</v>
      </c>
      <c r="N602" s="597">
        <v>4.0</v>
      </c>
      <c r="O602" s="599" t="s">
        <v>1328</v>
      </c>
      <c r="P602" s="681"/>
      <c r="Q602" s="452" t="str">
        <f>MATCH($D602,Reference!$J$5:$J$9,0)</f>
        <v>3</v>
      </c>
      <c r="R602" s="452" t="str">
        <f>MATCH($E602,Reference!$J$26:$J$32,0)</f>
        <v>5</v>
      </c>
      <c r="S602" s="452" t="str">
        <f>MATCH($F602,Reference!$J$45:$J$54,0)</f>
        <v>10</v>
      </c>
      <c r="T602" s="453" t="str">
        <f>MATCH($K602,Reference!$J$37:$J$39,0)</f>
        <v>3</v>
      </c>
      <c r="U602" s="454" t="str">
        <f t="shared" si="735"/>
        <v>1</v>
      </c>
      <c r="V602" s="454" t="str">
        <f t="shared" si="3"/>
        <v>1</v>
      </c>
      <c r="W602" s="454" t="str">
        <f>(MIN(G602,2)+H602-U602)*100</f>
        <v>0</v>
      </c>
      <c r="X602" s="454" t="str">
        <f t="shared" si="736"/>
        <v>1</v>
      </c>
      <c r="Y602" s="456" t="str">
        <f t="shared" si="5"/>
        <v>FALSE</v>
      </c>
      <c r="Z602" s="456" t="str">
        <f t="shared" si="6"/>
        <v>TRUE</v>
      </c>
      <c r="AA602" s="457" t="str">
        <f t="shared" ref="AA602:AB602" si="940">1-I602</f>
        <v>0%</v>
      </c>
      <c r="AB602" s="457" t="str">
        <f t="shared" si="940"/>
        <v>0%</v>
      </c>
      <c r="AC602" s="456" t="str">
        <f t="shared" si="8"/>
        <v>1</v>
      </c>
      <c r="AD602" s="458" t="str">
        <f t="shared" si="738"/>
        <v>0</v>
      </c>
      <c r="AE602" s="458" t="str">
        <f t="shared" si="10"/>
        <v>1</v>
      </c>
      <c r="AF602" s="459" t="str">
        <f t="shared" si="885"/>
        <v>0</v>
      </c>
      <c r="AG602" s="460"/>
      <c r="AH602" s="14"/>
      <c r="AI602" s="14"/>
      <c r="AJ602" s="14"/>
      <c r="AK602" s="14"/>
      <c r="AL602" s="14"/>
      <c r="AM602" s="14"/>
      <c r="AN602" s="14"/>
      <c r="AO602" s="14"/>
      <c r="AP602" s="14"/>
      <c r="AQ602" s="14"/>
      <c r="AR602" s="14"/>
      <c r="AS602" s="14"/>
      <c r="AT602" s="14"/>
    </row>
    <row r="603">
      <c r="A603" s="466"/>
      <c r="B603" s="752">
        <v>5.0</v>
      </c>
      <c r="C603" s="753" t="s">
        <v>1329</v>
      </c>
      <c r="D603" s="754" t="s">
        <v>21</v>
      </c>
      <c r="E603" s="754" t="s">
        <v>41</v>
      </c>
      <c r="F603" s="755" t="s">
        <v>77</v>
      </c>
      <c r="G603" s="756" t="str">
        <f>IF(Summary!$Y$25&gt;=VLOOKUP(C603,Reference!$N$41:$O$70,2,0),2,0)</f>
        <v>2</v>
      </c>
      <c r="H603" s="756">
        <v>0.0</v>
      </c>
      <c r="I603" s="757">
        <v>1.0</v>
      </c>
      <c r="J603" s="757"/>
      <c r="K603" s="759" t="s">
        <v>188</v>
      </c>
      <c r="L603" s="759"/>
      <c r="M603" s="759">
        <v>3.0</v>
      </c>
      <c r="N603" s="759">
        <v>5.0</v>
      </c>
      <c r="O603" s="758" t="s">
        <v>1330</v>
      </c>
      <c r="P603" s="14"/>
      <c r="Q603" s="452" t="str">
        <f>MATCH($D603,Reference!$J$5:$J$9,0)</f>
        <v>3</v>
      </c>
      <c r="R603" s="452" t="str">
        <f>MATCH($E603,Reference!$J$26:$J$32,0)</f>
        <v>4</v>
      </c>
      <c r="S603" s="452" t="str">
        <f>MATCH($F603,Reference!$J$45:$J$54,0)</f>
        <v>10</v>
      </c>
      <c r="T603" s="453" t="str">
        <f>MATCH($K603,Reference!$J$37:$J$39,0)</f>
        <v>3</v>
      </c>
      <c r="U603" s="454" t="str">
        <f t="shared" si="735"/>
        <v>2</v>
      </c>
      <c r="V603" s="454" t="str">
        <f t="shared" si="3"/>
        <v>1</v>
      </c>
      <c r="W603" s="455">
        <v>0.0</v>
      </c>
      <c r="X603" s="454" t="str">
        <f t="shared" si="736"/>
        <v>2</v>
      </c>
      <c r="Y603" s="456" t="str">
        <f t="shared" si="5"/>
        <v>FALSE</v>
      </c>
      <c r="Z603" s="456" t="str">
        <f t="shared" si="6"/>
        <v>FALSE</v>
      </c>
      <c r="AA603" s="457" t="str">
        <f t="shared" ref="AA603:AB603" si="941">1-I603</f>
        <v>0%</v>
      </c>
      <c r="AB603" s="457" t="str">
        <f t="shared" si="941"/>
        <v>100%</v>
      </c>
      <c r="AC603" s="456" t="str">
        <f t="shared" si="8"/>
        <v>2</v>
      </c>
      <c r="AD603" s="458" t="str">
        <f t="shared" si="738"/>
        <v>0</v>
      </c>
      <c r="AE603" s="458" t="str">
        <f t="shared" si="10"/>
        <v>1</v>
      </c>
      <c r="AF603" s="459" t="str">
        <f t="shared" si="885"/>
        <v>0</v>
      </c>
      <c r="AG603" s="460"/>
      <c r="AH603" s="14"/>
      <c r="AI603" s="14"/>
      <c r="AJ603" s="14"/>
      <c r="AK603" s="14"/>
      <c r="AL603" s="14"/>
      <c r="AM603" s="14"/>
      <c r="AN603" s="14"/>
      <c r="AO603" s="14"/>
      <c r="AP603" s="14"/>
      <c r="AQ603" s="14"/>
      <c r="AR603" s="14"/>
      <c r="AS603" s="14"/>
      <c r="AT603" s="14"/>
    </row>
    <row r="604">
      <c r="A604" s="682"/>
      <c r="B604" s="547">
        <v>5.0</v>
      </c>
      <c r="C604" s="548" t="s">
        <v>1331</v>
      </c>
      <c r="D604" s="549" t="s">
        <v>21</v>
      </c>
      <c r="E604" s="549" t="s">
        <v>33</v>
      </c>
      <c r="F604" s="550" t="s">
        <v>77</v>
      </c>
      <c r="G604" s="551">
        <v>2.0</v>
      </c>
      <c r="H604" s="551">
        <v>0.0</v>
      </c>
      <c r="I604" s="553">
        <v>1.0</v>
      </c>
      <c r="J604" s="553">
        <v>1.0</v>
      </c>
      <c r="K604" s="554" t="s">
        <v>188</v>
      </c>
      <c r="L604" s="554" t="s">
        <v>238</v>
      </c>
      <c r="M604" s="554">
        <v>3.0</v>
      </c>
      <c r="N604" s="554">
        <v>5.0</v>
      </c>
      <c r="O604" s="555" t="s">
        <v>1332</v>
      </c>
      <c r="P604" s="14"/>
      <c r="Q604" s="452" t="str">
        <f>MATCH($D604,Reference!$J$5:$J$9,0)</f>
        <v>3</v>
      </c>
      <c r="R604" s="452" t="str">
        <f>MATCH($E604,Reference!$J$26:$J$32,0)</f>
        <v>2</v>
      </c>
      <c r="S604" s="452" t="str">
        <f>MATCH($F604,Reference!$J$45:$J$54,0)</f>
        <v>10</v>
      </c>
      <c r="T604" s="453" t="str">
        <f>MATCH($K604,Reference!$J$37:$J$39,0)</f>
        <v>3</v>
      </c>
      <c r="U604" s="454" t="str">
        <f t="shared" si="735"/>
        <v>2</v>
      </c>
      <c r="V604" s="454" t="str">
        <f t="shared" si="3"/>
        <v>1</v>
      </c>
      <c r="W604" s="454" t="str">
        <f t="shared" ref="W604:W610" si="943">(MIN(G604,2)+H604-U604)*100</f>
        <v>0</v>
      </c>
      <c r="X604" s="454" t="str">
        <f t="shared" si="736"/>
        <v>2</v>
      </c>
      <c r="Y604" s="456" t="str">
        <f t="shared" si="5"/>
        <v>FALSE</v>
      </c>
      <c r="Z604" s="456" t="str">
        <f t="shared" si="6"/>
        <v>FALSE</v>
      </c>
      <c r="AA604" s="457" t="str">
        <f t="shared" ref="AA604:AB604" si="942">1-I604</f>
        <v>0%</v>
      </c>
      <c r="AB604" s="457" t="str">
        <f t="shared" si="942"/>
        <v>0%</v>
      </c>
      <c r="AC604" s="456" t="str">
        <f t="shared" si="8"/>
        <v>2</v>
      </c>
      <c r="AD604" s="458" t="str">
        <f t="shared" si="738"/>
        <v>0</v>
      </c>
      <c r="AE604" s="458" t="str">
        <f t="shared" si="10"/>
        <v>1</v>
      </c>
      <c r="AF604" s="459" t="str">
        <f t="shared" si="885"/>
        <v>0</v>
      </c>
      <c r="AG604" s="460"/>
      <c r="AH604" s="14"/>
      <c r="AI604" s="14"/>
      <c r="AJ604" s="14"/>
      <c r="AK604" s="14"/>
      <c r="AL604" s="14"/>
      <c r="AM604" s="14"/>
      <c r="AN604" s="14"/>
      <c r="AO604" s="14"/>
      <c r="AP604" s="14"/>
      <c r="AQ604" s="14"/>
      <c r="AR604" s="14"/>
      <c r="AS604" s="14"/>
      <c r="AT604" s="14"/>
    </row>
    <row r="605">
      <c r="A605" s="442"/>
      <c r="B605" s="547">
        <v>6.0</v>
      </c>
      <c r="C605" s="548" t="s">
        <v>1333</v>
      </c>
      <c r="D605" s="549" t="s">
        <v>21</v>
      </c>
      <c r="E605" s="549" t="s">
        <v>33</v>
      </c>
      <c r="F605" s="550" t="s">
        <v>77</v>
      </c>
      <c r="G605" s="551">
        <v>2.0</v>
      </c>
      <c r="H605" s="551">
        <v>0.0</v>
      </c>
      <c r="I605" s="553">
        <v>1.0</v>
      </c>
      <c r="J605" s="553">
        <v>1.0</v>
      </c>
      <c r="K605" s="554" t="s">
        <v>188</v>
      </c>
      <c r="L605" s="554"/>
      <c r="M605" s="554">
        <v>4.0</v>
      </c>
      <c r="N605" s="554">
        <v>2.0</v>
      </c>
      <c r="O605" s="555" t="s">
        <v>1334</v>
      </c>
      <c r="P605" s="14"/>
      <c r="Q605" s="452" t="str">
        <f>MATCH($D605,Reference!$J$5:$J$9,0)</f>
        <v>3</v>
      </c>
      <c r="R605" s="452" t="str">
        <f>MATCH($E605,Reference!$J$26:$J$32,0)</f>
        <v>2</v>
      </c>
      <c r="S605" s="452" t="str">
        <f>MATCH($F605,Reference!$J$45:$J$54,0)</f>
        <v>10</v>
      </c>
      <c r="T605" s="453" t="str">
        <f>MATCH($K605,Reference!$J$37:$J$39,0)</f>
        <v>3</v>
      </c>
      <c r="U605" s="454" t="str">
        <f t="shared" si="735"/>
        <v>2</v>
      </c>
      <c r="V605" s="454" t="str">
        <f t="shared" si="3"/>
        <v>1</v>
      </c>
      <c r="W605" s="454" t="str">
        <f t="shared" si="943"/>
        <v>0</v>
      </c>
      <c r="X605" s="454" t="str">
        <f t="shared" si="736"/>
        <v>2</v>
      </c>
      <c r="Y605" s="456" t="str">
        <f t="shared" si="5"/>
        <v>FALSE</v>
      </c>
      <c r="Z605" s="456" t="str">
        <f t="shared" si="6"/>
        <v>FALSE</v>
      </c>
      <c r="AA605" s="457" t="str">
        <f t="shared" ref="AA605:AB605" si="944">1-I605</f>
        <v>0%</v>
      </c>
      <c r="AB605" s="457" t="str">
        <f t="shared" si="944"/>
        <v>0%</v>
      </c>
      <c r="AC605" s="456" t="str">
        <f t="shared" si="8"/>
        <v>2</v>
      </c>
      <c r="AD605" s="458" t="str">
        <f t="shared" si="738"/>
        <v>0</v>
      </c>
      <c r="AE605" s="458" t="str">
        <f t="shared" si="10"/>
        <v>1</v>
      </c>
      <c r="AF605" s="459" t="str">
        <f t="shared" si="885"/>
        <v>0</v>
      </c>
      <c r="AG605" s="460"/>
      <c r="AH605" s="14"/>
      <c r="AI605" s="14"/>
      <c r="AJ605" s="14"/>
      <c r="AK605" s="14"/>
      <c r="AL605" s="14"/>
      <c r="AM605" s="14"/>
      <c r="AN605" s="14"/>
      <c r="AO605" s="14"/>
      <c r="AP605" s="14"/>
      <c r="AQ605" s="14"/>
      <c r="AR605" s="14"/>
      <c r="AS605" s="14"/>
      <c r="AT605" s="14"/>
    </row>
    <row r="606">
      <c r="A606" s="509"/>
      <c r="B606" s="547">
        <v>6.0</v>
      </c>
      <c r="C606" s="548" t="s">
        <v>1335</v>
      </c>
      <c r="D606" s="549" t="s">
        <v>21</v>
      </c>
      <c r="E606" s="549" t="s">
        <v>33</v>
      </c>
      <c r="F606" s="550" t="s">
        <v>77</v>
      </c>
      <c r="G606" s="751">
        <v>2.0</v>
      </c>
      <c r="H606" s="551">
        <v>0.0</v>
      </c>
      <c r="I606" s="553">
        <v>1.0</v>
      </c>
      <c r="J606" s="553">
        <v>1.0</v>
      </c>
      <c r="K606" s="557" t="s">
        <v>188</v>
      </c>
      <c r="L606" s="554"/>
      <c r="M606" s="557">
        <v>4.0</v>
      </c>
      <c r="N606" s="557">
        <v>4.0</v>
      </c>
      <c r="O606" s="555" t="s">
        <v>1336</v>
      </c>
      <c r="P606" s="14"/>
      <c r="Q606" s="452" t="str">
        <f>MATCH($D606,Reference!$J$5:$J$9,0)</f>
        <v>3</v>
      </c>
      <c r="R606" s="452" t="str">
        <f>MATCH($E606,Reference!$J$26:$J$32,0)</f>
        <v>2</v>
      </c>
      <c r="S606" s="452" t="str">
        <f>MATCH($F606,Reference!$J$45:$J$54,0)</f>
        <v>10</v>
      </c>
      <c r="T606" s="453" t="str">
        <f>MATCH($K606,Reference!$J$37:$J$39,0)</f>
        <v>3</v>
      </c>
      <c r="U606" s="454" t="str">
        <f t="shared" si="735"/>
        <v>2</v>
      </c>
      <c r="V606" s="454" t="str">
        <f t="shared" si="3"/>
        <v>1</v>
      </c>
      <c r="W606" s="454" t="str">
        <f t="shared" si="943"/>
        <v>0</v>
      </c>
      <c r="X606" s="454" t="str">
        <f t="shared" si="736"/>
        <v>2</v>
      </c>
      <c r="Y606" s="456" t="str">
        <f t="shared" si="5"/>
        <v>FALSE</v>
      </c>
      <c r="Z606" s="456" t="str">
        <f t="shared" si="6"/>
        <v>FALSE</v>
      </c>
      <c r="AA606" s="457" t="str">
        <f t="shared" ref="AA606:AB606" si="945">1-I606</f>
        <v>0%</v>
      </c>
      <c r="AB606" s="457" t="str">
        <f t="shared" si="945"/>
        <v>0%</v>
      </c>
      <c r="AC606" s="456" t="str">
        <f t="shared" si="8"/>
        <v>2</v>
      </c>
      <c r="AD606" s="458" t="str">
        <f t="shared" si="738"/>
        <v>0</v>
      </c>
      <c r="AE606" s="458" t="str">
        <f t="shared" si="10"/>
        <v>1</v>
      </c>
      <c r="AF606" s="459" t="str">
        <f t="shared" si="885"/>
        <v>0</v>
      </c>
      <c r="AG606" s="460"/>
      <c r="AH606" s="14"/>
      <c r="AI606" s="14"/>
      <c r="AJ606" s="14"/>
      <c r="AK606" s="14"/>
      <c r="AL606" s="14"/>
      <c r="AM606" s="14"/>
      <c r="AN606" s="14"/>
      <c r="AO606" s="14"/>
      <c r="AP606" s="14"/>
      <c r="AQ606" s="14"/>
      <c r="AR606" s="14"/>
      <c r="AS606" s="14"/>
      <c r="AT606" s="14"/>
    </row>
    <row r="607">
      <c r="A607" s="463"/>
      <c r="B607" s="560">
        <v>6.0</v>
      </c>
      <c r="C607" s="561" t="s">
        <v>1337</v>
      </c>
      <c r="D607" s="562" t="s">
        <v>21</v>
      </c>
      <c r="E607" s="563" t="s">
        <v>36</v>
      </c>
      <c r="F607" s="563" t="s">
        <v>77</v>
      </c>
      <c r="G607" s="564">
        <v>2.0</v>
      </c>
      <c r="H607" s="564">
        <v>0.0</v>
      </c>
      <c r="I607" s="565">
        <v>1.0</v>
      </c>
      <c r="J607" s="565">
        <v>1.0</v>
      </c>
      <c r="K607" s="562" t="s">
        <v>188</v>
      </c>
      <c r="L607" s="563"/>
      <c r="M607" s="563">
        <v>5.0</v>
      </c>
      <c r="N607" s="564">
        <v>6.0</v>
      </c>
      <c r="O607" s="566" t="s">
        <v>1338</v>
      </c>
      <c r="P607" s="14"/>
      <c r="Q607" s="452" t="str">
        <f>MATCH($D607,Reference!$J$5:$J$9,0)</f>
        <v>3</v>
      </c>
      <c r="R607" s="452" t="str">
        <f>MATCH($E607,Reference!$J$26:$J$32,0)</f>
        <v>7</v>
      </c>
      <c r="S607" s="452" t="str">
        <f>MATCH($F607,Reference!$J$45:$J$54,0)</f>
        <v>10</v>
      </c>
      <c r="T607" s="453" t="str">
        <f>MATCH($K607,Reference!$J$37:$J$39,0)</f>
        <v>3</v>
      </c>
      <c r="U607" s="454" t="str">
        <f t="shared" si="735"/>
        <v>2</v>
      </c>
      <c r="V607" s="454" t="str">
        <f t="shared" si="3"/>
        <v>1</v>
      </c>
      <c r="W607" s="454" t="str">
        <f t="shared" si="943"/>
        <v>0</v>
      </c>
      <c r="X607" s="454" t="str">
        <f t="shared" si="736"/>
        <v>2</v>
      </c>
      <c r="Y607" s="456" t="str">
        <f t="shared" si="5"/>
        <v>FALSE</v>
      </c>
      <c r="Z607" s="456" t="str">
        <f t="shared" si="6"/>
        <v>FALSE</v>
      </c>
      <c r="AA607" s="457" t="str">
        <f t="shared" ref="AA607:AB607" si="946">1-I607</f>
        <v>0%</v>
      </c>
      <c r="AB607" s="457" t="str">
        <f t="shared" si="946"/>
        <v>0%</v>
      </c>
      <c r="AC607" s="456" t="str">
        <f t="shared" si="8"/>
        <v>2</v>
      </c>
      <c r="AD607" s="458" t="str">
        <f t="shared" si="738"/>
        <v>0</v>
      </c>
      <c r="AE607" s="458" t="str">
        <f t="shared" si="10"/>
        <v>1</v>
      </c>
      <c r="AF607" s="459" t="str">
        <f t="shared" si="885"/>
        <v>0</v>
      </c>
      <c r="AG607" s="460"/>
      <c r="AH607" s="14"/>
      <c r="AI607" s="14"/>
      <c r="AJ607" s="14"/>
      <c r="AK607" s="14"/>
      <c r="AL607" s="14"/>
      <c r="AM607" s="14"/>
      <c r="AN607" s="14"/>
      <c r="AO607" s="14"/>
      <c r="AP607" s="14"/>
      <c r="AQ607" s="14"/>
      <c r="AR607" s="14"/>
      <c r="AS607" s="14"/>
      <c r="AT607" s="14"/>
    </row>
    <row r="608">
      <c r="A608" s="469"/>
      <c r="B608" s="560">
        <v>6.0</v>
      </c>
      <c r="C608" s="561" t="s">
        <v>1339</v>
      </c>
      <c r="D608" s="562" t="s">
        <v>21</v>
      </c>
      <c r="E608" s="563" t="s">
        <v>36</v>
      </c>
      <c r="F608" s="563" t="s">
        <v>77</v>
      </c>
      <c r="G608" s="564">
        <v>2.0</v>
      </c>
      <c r="H608" s="564">
        <v>0.0</v>
      </c>
      <c r="I608" s="565">
        <v>1.0</v>
      </c>
      <c r="J608" s="565">
        <v>1.0</v>
      </c>
      <c r="K608" s="562" t="s">
        <v>188</v>
      </c>
      <c r="L608" s="563"/>
      <c r="M608" s="563">
        <v>8.0</v>
      </c>
      <c r="N608" s="564">
        <v>5.0</v>
      </c>
      <c r="O608" s="566" t="s">
        <v>942</v>
      </c>
      <c r="P608" s="14"/>
      <c r="Q608" s="452" t="str">
        <f>MATCH($D608,Reference!$J$5:$J$9,0)</f>
        <v>3</v>
      </c>
      <c r="R608" s="452" t="str">
        <f>MATCH($E608,Reference!$J$26:$J$32,0)</f>
        <v>7</v>
      </c>
      <c r="S608" s="452" t="str">
        <f>MATCH($F608,Reference!$J$45:$J$54,0)</f>
        <v>10</v>
      </c>
      <c r="T608" s="453" t="str">
        <f>MATCH($K608,Reference!$J$37:$J$39,0)</f>
        <v>3</v>
      </c>
      <c r="U608" s="454" t="str">
        <f t="shared" si="735"/>
        <v>2</v>
      </c>
      <c r="V608" s="454" t="str">
        <f t="shared" si="3"/>
        <v>1</v>
      </c>
      <c r="W608" s="454" t="str">
        <f t="shared" si="943"/>
        <v>0</v>
      </c>
      <c r="X608" s="454" t="str">
        <f t="shared" si="736"/>
        <v>2</v>
      </c>
      <c r="Y608" s="456" t="str">
        <f t="shared" si="5"/>
        <v>FALSE</v>
      </c>
      <c r="Z608" s="456" t="str">
        <f t="shared" si="6"/>
        <v>FALSE</v>
      </c>
      <c r="AA608" s="457" t="str">
        <f t="shared" ref="AA608:AB608" si="947">1-I608</f>
        <v>0%</v>
      </c>
      <c r="AB608" s="457" t="str">
        <f t="shared" si="947"/>
        <v>0%</v>
      </c>
      <c r="AC608" s="456" t="str">
        <f t="shared" si="8"/>
        <v>2</v>
      </c>
      <c r="AD608" s="458" t="str">
        <f t="shared" si="738"/>
        <v>0</v>
      </c>
      <c r="AE608" s="458" t="str">
        <f t="shared" si="10"/>
        <v>1</v>
      </c>
      <c r="AF608" s="459" t="str">
        <f t="shared" si="885"/>
        <v>0</v>
      </c>
      <c r="AG608" s="460"/>
      <c r="AH608" s="14"/>
      <c r="AI608" s="14"/>
      <c r="AJ608" s="14"/>
      <c r="AK608" s="14"/>
      <c r="AL608" s="14"/>
      <c r="AM608" s="14"/>
      <c r="AN608" s="14"/>
      <c r="AO608" s="14"/>
      <c r="AP608" s="14"/>
      <c r="AQ608" s="14"/>
      <c r="AR608" s="14"/>
      <c r="AS608" s="14"/>
      <c r="AT608" s="14"/>
    </row>
    <row r="609">
      <c r="A609" s="442"/>
      <c r="B609" s="547">
        <v>6.0</v>
      </c>
      <c r="C609" s="548" t="s">
        <v>1340</v>
      </c>
      <c r="D609" s="549" t="s">
        <v>21</v>
      </c>
      <c r="E609" s="549" t="s">
        <v>33</v>
      </c>
      <c r="F609" s="550" t="s">
        <v>77</v>
      </c>
      <c r="G609" s="751">
        <v>2.0</v>
      </c>
      <c r="H609" s="551">
        <v>0.0</v>
      </c>
      <c r="I609" s="553">
        <v>1.0</v>
      </c>
      <c r="J609" s="553">
        <v>1.0</v>
      </c>
      <c r="K609" s="557" t="s">
        <v>188</v>
      </c>
      <c r="L609" s="554"/>
      <c r="M609" s="557">
        <v>4.0</v>
      </c>
      <c r="N609" s="557">
        <v>5.0</v>
      </c>
      <c r="O609" s="555" t="s">
        <v>1083</v>
      </c>
      <c r="P609" s="14"/>
      <c r="Q609" s="452" t="str">
        <f>MATCH($D609,Reference!$J$5:$J$9,0)</f>
        <v>3</v>
      </c>
      <c r="R609" s="452" t="str">
        <f>MATCH($E609,Reference!$J$26:$J$32,0)</f>
        <v>2</v>
      </c>
      <c r="S609" s="452" t="str">
        <f>MATCH($F609,Reference!$J$45:$J$54,0)</f>
        <v>10</v>
      </c>
      <c r="T609" s="453" t="str">
        <f>MATCH($K609,Reference!$J$37:$J$39,0)</f>
        <v>3</v>
      </c>
      <c r="U609" s="454" t="str">
        <f t="shared" si="735"/>
        <v>2</v>
      </c>
      <c r="V609" s="454" t="str">
        <f t="shared" si="3"/>
        <v>1</v>
      </c>
      <c r="W609" s="454" t="str">
        <f t="shared" si="943"/>
        <v>0</v>
      </c>
      <c r="X609" s="454" t="str">
        <f t="shared" si="736"/>
        <v>2</v>
      </c>
      <c r="Y609" s="456" t="str">
        <f t="shared" si="5"/>
        <v>FALSE</v>
      </c>
      <c r="Z609" s="456" t="str">
        <f t="shared" si="6"/>
        <v>FALSE</v>
      </c>
      <c r="AA609" s="457" t="str">
        <f t="shared" ref="AA609:AB609" si="948">1-I609</f>
        <v>0%</v>
      </c>
      <c r="AB609" s="457" t="str">
        <f t="shared" si="948"/>
        <v>0%</v>
      </c>
      <c r="AC609" s="456" t="str">
        <f t="shared" si="8"/>
        <v>2</v>
      </c>
      <c r="AD609" s="458" t="str">
        <f t="shared" si="738"/>
        <v>0</v>
      </c>
      <c r="AE609" s="458" t="str">
        <f t="shared" si="10"/>
        <v>1</v>
      </c>
      <c r="AF609" s="459" t="str">
        <f t="shared" si="885"/>
        <v>0</v>
      </c>
      <c r="AG609" s="460"/>
      <c r="AH609" s="14"/>
      <c r="AI609" s="14"/>
      <c r="AJ609" s="14"/>
      <c r="AK609" s="14"/>
      <c r="AL609" s="14"/>
      <c r="AM609" s="14"/>
      <c r="AN609" s="14"/>
      <c r="AO609" s="14"/>
      <c r="AP609" s="14"/>
      <c r="AQ609" s="14"/>
      <c r="AR609" s="14"/>
      <c r="AS609" s="14"/>
      <c r="AT609" s="14"/>
    </row>
    <row r="610">
      <c r="A610" s="509"/>
      <c r="B610" s="547">
        <v>7.0</v>
      </c>
      <c r="C610" s="548" t="s">
        <v>1341</v>
      </c>
      <c r="D610" s="549" t="s">
        <v>21</v>
      </c>
      <c r="E610" s="549" t="s">
        <v>33</v>
      </c>
      <c r="F610" s="550" t="s">
        <v>77</v>
      </c>
      <c r="G610" s="551">
        <v>2.0</v>
      </c>
      <c r="H610" s="551">
        <v>0.0</v>
      </c>
      <c r="I610" s="553">
        <v>1.0</v>
      </c>
      <c r="J610" s="553">
        <v>1.0</v>
      </c>
      <c r="K610" s="554" t="s">
        <v>188</v>
      </c>
      <c r="L610" s="554"/>
      <c r="M610" s="554">
        <v>7.0</v>
      </c>
      <c r="N610" s="554">
        <v>5.0</v>
      </c>
      <c r="O610" s="555" t="s">
        <v>1076</v>
      </c>
      <c r="P610" s="14"/>
      <c r="Q610" s="452" t="str">
        <f>MATCH($D610,Reference!$J$5:$J$9,0)</f>
        <v>3</v>
      </c>
      <c r="R610" s="452" t="str">
        <f>MATCH($E610,Reference!$J$26:$J$32,0)</f>
        <v>2</v>
      </c>
      <c r="S610" s="452" t="str">
        <f>MATCH($F610,Reference!$J$45:$J$54,0)</f>
        <v>10</v>
      </c>
      <c r="T610" s="453" t="str">
        <f>MATCH($K610,Reference!$J$37:$J$39,0)</f>
        <v>3</v>
      </c>
      <c r="U610" s="454" t="str">
        <f t="shared" si="735"/>
        <v>2</v>
      </c>
      <c r="V610" s="454" t="str">
        <f t="shared" si="3"/>
        <v>1</v>
      </c>
      <c r="W610" s="454" t="str">
        <f t="shared" si="943"/>
        <v>0</v>
      </c>
      <c r="X610" s="454" t="str">
        <f t="shared" si="736"/>
        <v>2</v>
      </c>
      <c r="Y610" s="456" t="str">
        <f t="shared" si="5"/>
        <v>FALSE</v>
      </c>
      <c r="Z610" s="456" t="str">
        <f t="shared" si="6"/>
        <v>FALSE</v>
      </c>
      <c r="AA610" s="457" t="str">
        <f t="shared" ref="AA610:AB610" si="949">1-I610</f>
        <v>0%</v>
      </c>
      <c r="AB610" s="457" t="str">
        <f t="shared" si="949"/>
        <v>0%</v>
      </c>
      <c r="AC610" s="456" t="str">
        <f t="shared" si="8"/>
        <v>2</v>
      </c>
      <c r="AD610" s="458" t="str">
        <f t="shared" si="738"/>
        <v>0</v>
      </c>
      <c r="AE610" s="458" t="str">
        <f t="shared" si="10"/>
        <v>1</v>
      </c>
      <c r="AF610" s="459" t="str">
        <f t="shared" si="885"/>
        <v>0</v>
      </c>
      <c r="AG610" s="460"/>
      <c r="AH610" s="14"/>
      <c r="AI610" s="14"/>
      <c r="AJ610" s="14"/>
      <c r="AK610" s="14"/>
      <c r="AL610" s="14"/>
      <c r="AM610" s="14"/>
      <c r="AN610" s="14"/>
      <c r="AO610" s="14"/>
      <c r="AP610" s="14"/>
      <c r="AQ610" s="14"/>
      <c r="AR610" s="14"/>
      <c r="AS610" s="14"/>
      <c r="AT610" s="14"/>
    </row>
    <row r="611">
      <c r="A611" s="442"/>
      <c r="B611" s="634">
        <v>1.0</v>
      </c>
      <c r="C611" s="635" t="s">
        <v>1342</v>
      </c>
      <c r="D611" s="636" t="s">
        <v>22</v>
      </c>
      <c r="E611" s="636" t="s">
        <v>33</v>
      </c>
      <c r="F611" s="637" t="s">
        <v>77</v>
      </c>
      <c r="G611" s="639">
        <v>0.0</v>
      </c>
      <c r="H611" s="638">
        <v>0.0</v>
      </c>
      <c r="I611" s="640">
        <v>1.0</v>
      </c>
      <c r="J611" s="640">
        <v>1.0</v>
      </c>
      <c r="K611" s="641" t="s">
        <v>188</v>
      </c>
      <c r="L611" s="641" t="s">
        <v>238</v>
      </c>
      <c r="M611" s="641">
        <v>1.0</v>
      </c>
      <c r="N611" s="641">
        <v>2.0</v>
      </c>
      <c r="O611" s="642" t="s">
        <v>1343</v>
      </c>
      <c r="P611" s="14"/>
      <c r="Q611" s="452" t="str">
        <f>MATCH($D611,Reference!$J$5:$J$9,0)</f>
        <v>4</v>
      </c>
      <c r="R611" s="452" t="str">
        <f>MATCH($E611,Reference!$J$26:$J$32,0)</f>
        <v>2</v>
      </c>
      <c r="S611" s="452" t="str">
        <f>MATCH($F611,Reference!$J$45:$J$54,0)</f>
        <v>10</v>
      </c>
      <c r="T611" s="453" t="str">
        <f>MATCH($K611,Reference!$J$37:$J$39,0)</f>
        <v>3</v>
      </c>
      <c r="U611" s="454" t="str">
        <f t="shared" si="735"/>
        <v>0</v>
      </c>
      <c r="V611" s="454" t="str">
        <f t="shared" si="3"/>
        <v>0</v>
      </c>
      <c r="W611" s="454" t="str">
        <f t="shared" ref="W611:W613" si="951">(MIN(G611,2)+H611-U611)*400</f>
        <v>0</v>
      </c>
      <c r="X611" s="454" t="str">
        <f t="shared" si="736"/>
        <v>0</v>
      </c>
      <c r="Y611" s="456" t="str">
        <f t="shared" si="5"/>
        <v>TRUE</v>
      </c>
      <c r="Z611" s="456" t="str">
        <f t="shared" si="6"/>
        <v>FALSE</v>
      </c>
      <c r="AA611" s="457" t="str">
        <f t="shared" ref="AA611:AB611" si="950">1-I611</f>
        <v>0%</v>
      </c>
      <c r="AB611" s="457" t="str">
        <f t="shared" si="950"/>
        <v>0%</v>
      </c>
      <c r="AC611" s="456" t="str">
        <f t="shared" si="8"/>
        <v>0</v>
      </c>
      <c r="AD611" s="458" t="str">
        <f t="shared" si="738"/>
        <v>0</v>
      </c>
      <c r="AE611" s="458" t="str">
        <f t="shared" si="10"/>
        <v>0</v>
      </c>
      <c r="AF611" s="459" t="str">
        <f t="shared" ref="AF611:AF640" si="953">(MIN(H611,2)+G611-U611)*100</f>
        <v>0</v>
      </c>
      <c r="AG611" s="460"/>
      <c r="AH611" s="14"/>
      <c r="AI611" s="14"/>
      <c r="AJ611" s="14"/>
      <c r="AK611" s="14"/>
      <c r="AL611" s="14"/>
      <c r="AM611" s="14"/>
      <c r="AN611" s="14"/>
      <c r="AO611" s="14"/>
      <c r="AP611" s="14"/>
      <c r="AQ611" s="14"/>
      <c r="AR611" s="14"/>
      <c r="AS611" s="14"/>
      <c r="AT611" s="14"/>
    </row>
    <row r="612">
      <c r="A612" s="466"/>
      <c r="B612" s="760">
        <v>2.0</v>
      </c>
      <c r="C612" s="761" t="s">
        <v>1344</v>
      </c>
      <c r="D612" s="762" t="s">
        <v>22</v>
      </c>
      <c r="E612" s="762" t="s">
        <v>37</v>
      </c>
      <c r="F612" s="763" t="s">
        <v>77</v>
      </c>
      <c r="G612" s="764">
        <v>0.0</v>
      </c>
      <c r="H612" s="765">
        <v>0.0</v>
      </c>
      <c r="I612" s="766">
        <v>1.0</v>
      </c>
      <c r="J612" s="766"/>
      <c r="K612" s="767" t="s">
        <v>188</v>
      </c>
      <c r="L612" s="767" t="s">
        <v>238</v>
      </c>
      <c r="M612" s="767">
        <v>1.0</v>
      </c>
      <c r="N612" s="767">
        <v>1.0</v>
      </c>
      <c r="O612" s="768" t="s">
        <v>1345</v>
      </c>
      <c r="P612" s="14"/>
      <c r="Q612" s="452" t="str">
        <f>MATCH($D612,Reference!$J$5:$J$9,0)</f>
        <v>4</v>
      </c>
      <c r="R612" s="452" t="str">
        <f>MATCH($E612,Reference!$J$26:$J$32,0)</f>
        <v>3</v>
      </c>
      <c r="S612" s="452" t="str">
        <f>MATCH($F612,Reference!$J$45:$J$54,0)</f>
        <v>10</v>
      </c>
      <c r="T612" s="453" t="str">
        <f>MATCH($K612,Reference!$J$37:$J$39,0)</f>
        <v>3</v>
      </c>
      <c r="U612" s="454" t="str">
        <f t="shared" si="735"/>
        <v>0</v>
      </c>
      <c r="V612" s="454" t="str">
        <f t="shared" si="3"/>
        <v>0</v>
      </c>
      <c r="W612" s="454" t="str">
        <f t="shared" si="951"/>
        <v>0</v>
      </c>
      <c r="X612" s="454" t="str">
        <f t="shared" si="736"/>
        <v>0</v>
      </c>
      <c r="Y612" s="456" t="str">
        <f t="shared" si="5"/>
        <v>TRUE</v>
      </c>
      <c r="Z612" s="456" t="str">
        <f t="shared" si="6"/>
        <v>FALSE</v>
      </c>
      <c r="AA612" s="457" t="str">
        <f t="shared" ref="AA612:AB612" si="952">1-I612</f>
        <v>0%</v>
      </c>
      <c r="AB612" s="457" t="str">
        <f t="shared" si="952"/>
        <v>100%</v>
      </c>
      <c r="AC612" s="456" t="str">
        <f t="shared" si="8"/>
        <v>0</v>
      </c>
      <c r="AD612" s="458" t="str">
        <f t="shared" si="738"/>
        <v>0</v>
      </c>
      <c r="AE612" s="458" t="str">
        <f t="shared" si="10"/>
        <v>0</v>
      </c>
      <c r="AF612" s="459" t="str">
        <f t="shared" si="953"/>
        <v>0</v>
      </c>
      <c r="AG612" s="460"/>
      <c r="AH612" s="14"/>
      <c r="AI612" s="14"/>
      <c r="AJ612" s="14"/>
      <c r="AK612" s="14"/>
      <c r="AL612" s="14"/>
      <c r="AM612" s="14"/>
      <c r="AN612" s="14"/>
      <c r="AO612" s="14"/>
      <c r="AP612" s="14"/>
      <c r="AQ612" s="14"/>
      <c r="AR612" s="14"/>
      <c r="AS612" s="14"/>
      <c r="AT612" s="14"/>
    </row>
    <row r="613">
      <c r="A613" s="442"/>
      <c r="B613" s="634">
        <v>2.0</v>
      </c>
      <c r="C613" s="635" t="s">
        <v>1346</v>
      </c>
      <c r="D613" s="636" t="s">
        <v>22</v>
      </c>
      <c r="E613" s="636" t="s">
        <v>33</v>
      </c>
      <c r="F613" s="637" t="s">
        <v>77</v>
      </c>
      <c r="G613" s="638">
        <v>2.0</v>
      </c>
      <c r="H613" s="638">
        <v>0.0</v>
      </c>
      <c r="I613" s="640">
        <v>1.0</v>
      </c>
      <c r="J613" s="640">
        <v>1.0</v>
      </c>
      <c r="K613" s="641" t="s">
        <v>188</v>
      </c>
      <c r="L613" s="641"/>
      <c r="M613" s="641">
        <v>0.0</v>
      </c>
      <c r="N613" s="641">
        <v>7.0</v>
      </c>
      <c r="O613" s="642" t="s">
        <v>1347</v>
      </c>
      <c r="P613" s="14"/>
      <c r="Q613" s="452" t="str">
        <f>MATCH($D613,Reference!$J$5:$J$9,0)</f>
        <v>4</v>
      </c>
      <c r="R613" s="452" t="str">
        <f>MATCH($E613,Reference!$J$26:$J$32,0)</f>
        <v>2</v>
      </c>
      <c r="S613" s="452" t="str">
        <f>MATCH($F613,Reference!$J$45:$J$54,0)</f>
        <v>10</v>
      </c>
      <c r="T613" s="453" t="str">
        <f>MATCH($K613,Reference!$J$37:$J$39,0)</f>
        <v>3</v>
      </c>
      <c r="U613" s="454" t="str">
        <f t="shared" si="735"/>
        <v>2</v>
      </c>
      <c r="V613" s="454" t="str">
        <f t="shared" si="3"/>
        <v>1</v>
      </c>
      <c r="W613" s="454" t="str">
        <f t="shared" si="951"/>
        <v>0</v>
      </c>
      <c r="X613" s="454" t="str">
        <f t="shared" si="736"/>
        <v>2</v>
      </c>
      <c r="Y613" s="456" t="str">
        <f t="shared" si="5"/>
        <v>FALSE</v>
      </c>
      <c r="Z613" s="456" t="str">
        <f t="shared" si="6"/>
        <v>FALSE</v>
      </c>
      <c r="AA613" s="457" t="str">
        <f t="shared" ref="AA613:AB613" si="954">1-I613</f>
        <v>0%</v>
      </c>
      <c r="AB613" s="457" t="str">
        <f t="shared" si="954"/>
        <v>0%</v>
      </c>
      <c r="AC613" s="456" t="str">
        <f t="shared" si="8"/>
        <v>2</v>
      </c>
      <c r="AD613" s="458" t="str">
        <f t="shared" si="738"/>
        <v>0</v>
      </c>
      <c r="AE613" s="458" t="str">
        <f t="shared" si="10"/>
        <v>1</v>
      </c>
      <c r="AF613" s="459" t="str">
        <f t="shared" si="953"/>
        <v>0</v>
      </c>
      <c r="AG613" s="460"/>
      <c r="AH613" s="14"/>
      <c r="AI613" s="14"/>
      <c r="AJ613" s="14"/>
      <c r="AK613" s="14"/>
      <c r="AL613" s="14"/>
      <c r="AM613" s="14"/>
      <c r="AN613" s="14"/>
      <c r="AO613" s="14"/>
      <c r="AP613" s="14"/>
      <c r="AQ613" s="14"/>
      <c r="AR613" s="14"/>
      <c r="AS613" s="14"/>
      <c r="AT613" s="14"/>
    </row>
    <row r="614">
      <c r="A614" s="442"/>
      <c r="B614" s="769">
        <v>2.0</v>
      </c>
      <c r="C614" s="770" t="s">
        <v>1348</v>
      </c>
      <c r="D614" s="771" t="s">
        <v>22</v>
      </c>
      <c r="E614" s="771" t="s">
        <v>41</v>
      </c>
      <c r="F614" s="772" t="s">
        <v>77</v>
      </c>
      <c r="G614" s="773" t="str">
        <f>IF(Summary!$Y$25&gt;=VLOOKUP(C614,Reference!$N$41:$O$70,2,0),2,0)</f>
        <v>2</v>
      </c>
      <c r="H614" s="773">
        <v>0.0</v>
      </c>
      <c r="I614" s="774">
        <v>1.0</v>
      </c>
      <c r="J614" s="774"/>
      <c r="K614" s="775" t="s">
        <v>188</v>
      </c>
      <c r="L614" s="775"/>
      <c r="M614" s="775">
        <v>1.0</v>
      </c>
      <c r="N614" s="775">
        <v>2.0</v>
      </c>
      <c r="O614" s="776" t="s">
        <v>1349</v>
      </c>
      <c r="P614" s="14"/>
      <c r="Q614" s="452" t="str">
        <f>MATCH($D614,Reference!$J$5:$J$9,0)</f>
        <v>4</v>
      </c>
      <c r="R614" s="452" t="str">
        <f>MATCH($E614,Reference!$J$26:$J$32,0)</f>
        <v>4</v>
      </c>
      <c r="S614" s="452" t="str">
        <f>MATCH($F614,Reference!$J$45:$J$54,0)</f>
        <v>10</v>
      </c>
      <c r="T614" s="453" t="str">
        <f>MATCH($K614,Reference!$J$37:$J$39,0)</f>
        <v>3</v>
      </c>
      <c r="U614" s="454" t="str">
        <f t="shared" si="735"/>
        <v>2</v>
      </c>
      <c r="V614" s="454" t="str">
        <f t="shared" si="3"/>
        <v>1</v>
      </c>
      <c r="W614" s="455">
        <v>0.0</v>
      </c>
      <c r="X614" s="454" t="str">
        <f t="shared" si="736"/>
        <v>2</v>
      </c>
      <c r="Y614" s="456" t="str">
        <f t="shared" si="5"/>
        <v>FALSE</v>
      </c>
      <c r="Z614" s="456" t="str">
        <f t="shared" si="6"/>
        <v>FALSE</v>
      </c>
      <c r="AA614" s="457" t="str">
        <f t="shared" ref="AA614:AB614" si="955">1-I614</f>
        <v>0%</v>
      </c>
      <c r="AB614" s="457" t="str">
        <f t="shared" si="955"/>
        <v>100%</v>
      </c>
      <c r="AC614" s="456" t="str">
        <f t="shared" si="8"/>
        <v>2</v>
      </c>
      <c r="AD614" s="458" t="str">
        <f t="shared" si="738"/>
        <v>0</v>
      </c>
      <c r="AE614" s="458" t="str">
        <f t="shared" si="10"/>
        <v>1</v>
      </c>
      <c r="AF614" s="459" t="str">
        <f t="shared" si="953"/>
        <v>0</v>
      </c>
      <c r="AG614" s="460"/>
      <c r="AH614" s="14"/>
      <c r="AI614" s="14"/>
      <c r="AJ614" s="14"/>
      <c r="AK614" s="14"/>
      <c r="AL614" s="14"/>
      <c r="AM614" s="14"/>
      <c r="AN614" s="14"/>
      <c r="AO614" s="14"/>
      <c r="AP614" s="14"/>
      <c r="AQ614" s="14"/>
      <c r="AR614" s="14"/>
      <c r="AS614" s="14"/>
      <c r="AT614" s="14"/>
    </row>
    <row r="615">
      <c r="A615" s="442"/>
      <c r="B615" s="618">
        <v>2.0</v>
      </c>
      <c r="C615" s="619" t="s">
        <v>1350</v>
      </c>
      <c r="D615" s="620" t="s">
        <v>22</v>
      </c>
      <c r="E615" s="621" t="s">
        <v>36</v>
      </c>
      <c r="F615" s="621" t="s">
        <v>77</v>
      </c>
      <c r="G615" s="622">
        <v>0.0</v>
      </c>
      <c r="H615" s="622">
        <v>1.0</v>
      </c>
      <c r="I615" s="623">
        <v>1.0</v>
      </c>
      <c r="J615" s="623">
        <v>1.0</v>
      </c>
      <c r="K615" s="621" t="s">
        <v>188</v>
      </c>
      <c r="L615" s="621"/>
      <c r="M615" s="621">
        <v>2.0</v>
      </c>
      <c r="N615" s="621">
        <v>3.0</v>
      </c>
      <c r="O615" s="624" t="s">
        <v>1351</v>
      </c>
      <c r="P615" s="14"/>
      <c r="Q615" s="452" t="str">
        <f>MATCH($D615,Reference!$J$5:$J$9,0)</f>
        <v>4</v>
      </c>
      <c r="R615" s="452" t="str">
        <f>MATCH($E615,Reference!$J$26:$J$32,0)</f>
        <v>7</v>
      </c>
      <c r="S615" s="452" t="str">
        <f>MATCH($F615,Reference!$J$45:$J$54,0)</f>
        <v>10</v>
      </c>
      <c r="T615" s="453" t="str">
        <f>MATCH($K615,Reference!$J$37:$J$39,0)</f>
        <v>3</v>
      </c>
      <c r="U615" s="454" t="str">
        <f t="shared" si="735"/>
        <v>1</v>
      </c>
      <c r="V615" s="454" t="str">
        <f t="shared" si="3"/>
        <v>1</v>
      </c>
      <c r="W615" s="454" t="str">
        <f t="shared" ref="W615:W621" si="957">(MIN(G615,2)+H615-U615)*400</f>
        <v>0</v>
      </c>
      <c r="X615" s="454" t="str">
        <f t="shared" si="736"/>
        <v>1</v>
      </c>
      <c r="Y615" s="456" t="str">
        <f t="shared" si="5"/>
        <v>FALSE</v>
      </c>
      <c r="Z615" s="456" t="str">
        <f t="shared" si="6"/>
        <v>FALSE</v>
      </c>
      <c r="AA615" s="457" t="str">
        <f t="shared" ref="AA615:AB615" si="956">1-I615</f>
        <v>0%</v>
      </c>
      <c r="AB615" s="457" t="str">
        <f t="shared" si="956"/>
        <v>0%</v>
      </c>
      <c r="AC615" s="456" t="str">
        <f t="shared" si="8"/>
        <v>1</v>
      </c>
      <c r="AD615" s="458" t="str">
        <f t="shared" si="738"/>
        <v>1</v>
      </c>
      <c r="AE615" s="458" t="str">
        <f t="shared" si="10"/>
        <v>1</v>
      </c>
      <c r="AF615" s="459" t="str">
        <f t="shared" si="953"/>
        <v>0</v>
      </c>
      <c r="AG615" s="460"/>
      <c r="AH615" s="14"/>
      <c r="AI615" s="14"/>
      <c r="AJ615" s="14"/>
      <c r="AK615" s="14"/>
      <c r="AL615" s="14"/>
      <c r="AM615" s="14"/>
      <c r="AN615" s="14"/>
      <c r="AO615" s="14"/>
      <c r="AP615" s="14"/>
      <c r="AQ615" s="14"/>
      <c r="AR615" s="14"/>
      <c r="AS615" s="14"/>
      <c r="AT615" s="14"/>
    </row>
    <row r="616">
      <c r="A616" s="463"/>
      <c r="B616" s="625">
        <v>2.0</v>
      </c>
      <c r="C616" s="646" t="s">
        <v>1352</v>
      </c>
      <c r="D616" s="627" t="s">
        <v>22</v>
      </c>
      <c r="E616" s="627" t="s">
        <v>35</v>
      </c>
      <c r="F616" s="628" t="s">
        <v>77</v>
      </c>
      <c r="G616" s="629">
        <v>0.0</v>
      </c>
      <c r="H616" s="630">
        <v>0.0</v>
      </c>
      <c r="I616" s="631">
        <v>1.0</v>
      </c>
      <c r="J616" s="631">
        <v>1.0</v>
      </c>
      <c r="K616" s="632" t="s">
        <v>188</v>
      </c>
      <c r="L616" s="632"/>
      <c r="M616" s="632">
        <v>3.0</v>
      </c>
      <c r="N616" s="632">
        <v>2.0</v>
      </c>
      <c r="O616" s="633" t="s">
        <v>1353</v>
      </c>
      <c r="P616" s="5"/>
      <c r="Q616" s="452" t="str">
        <f>MATCH($D616,Reference!$J$5:$J$9,0)</f>
        <v>4</v>
      </c>
      <c r="R616" s="452" t="str">
        <f>MATCH($E616,Reference!$J$26:$J$32,0)</f>
        <v>5</v>
      </c>
      <c r="S616" s="452" t="str">
        <f>MATCH($F616,Reference!$J$45:$J$54,0)</f>
        <v>10</v>
      </c>
      <c r="T616" s="453" t="str">
        <f>MATCH($K616,Reference!$J$37:$J$39,0)</f>
        <v>3</v>
      </c>
      <c r="U616" s="454" t="str">
        <f t="shared" si="735"/>
        <v>0</v>
      </c>
      <c r="V616" s="454" t="str">
        <f t="shared" si="3"/>
        <v>0</v>
      </c>
      <c r="W616" s="454" t="str">
        <f t="shared" si="957"/>
        <v>0</v>
      </c>
      <c r="X616" s="454" t="str">
        <f t="shared" si="736"/>
        <v>0</v>
      </c>
      <c r="Y616" s="456" t="str">
        <f t="shared" si="5"/>
        <v>TRUE</v>
      </c>
      <c r="Z616" s="456" t="str">
        <f t="shared" si="6"/>
        <v>FALSE</v>
      </c>
      <c r="AA616" s="457" t="str">
        <f t="shared" ref="AA616:AB616" si="958">1-I616</f>
        <v>0%</v>
      </c>
      <c r="AB616" s="457" t="str">
        <f t="shared" si="958"/>
        <v>0%</v>
      </c>
      <c r="AC616" s="456" t="str">
        <f t="shared" si="8"/>
        <v>0</v>
      </c>
      <c r="AD616" s="458" t="str">
        <f t="shared" si="738"/>
        <v>0</v>
      </c>
      <c r="AE616" s="458" t="str">
        <f t="shared" si="10"/>
        <v>0</v>
      </c>
      <c r="AF616" s="459" t="str">
        <f t="shared" si="953"/>
        <v>0</v>
      </c>
      <c r="AG616" s="460"/>
      <c r="AH616" s="14"/>
      <c r="AI616" s="14"/>
      <c r="AJ616" s="14"/>
      <c r="AK616" s="14"/>
      <c r="AL616" s="14"/>
      <c r="AM616" s="14"/>
      <c r="AN616" s="14"/>
      <c r="AO616" s="14"/>
      <c r="AP616" s="14"/>
      <c r="AQ616" s="14"/>
      <c r="AR616" s="14"/>
      <c r="AS616" s="14"/>
      <c r="AT616" s="14"/>
    </row>
    <row r="617">
      <c r="A617" s="509"/>
      <c r="B617" s="634">
        <v>3.0</v>
      </c>
      <c r="C617" s="635" t="s">
        <v>1354</v>
      </c>
      <c r="D617" s="636" t="s">
        <v>22</v>
      </c>
      <c r="E617" s="636" t="s">
        <v>33</v>
      </c>
      <c r="F617" s="637" t="s">
        <v>77</v>
      </c>
      <c r="G617" s="639">
        <v>1.0</v>
      </c>
      <c r="H617" s="638">
        <v>0.0</v>
      </c>
      <c r="I617" s="640">
        <v>1.0</v>
      </c>
      <c r="J617" s="640">
        <v>1.0</v>
      </c>
      <c r="K617" s="641" t="s">
        <v>188</v>
      </c>
      <c r="L617" s="641"/>
      <c r="M617" s="641">
        <v>4.0</v>
      </c>
      <c r="N617" s="641">
        <v>2.0</v>
      </c>
      <c r="O617" s="642" t="s">
        <v>1355</v>
      </c>
      <c r="P617" s="14"/>
      <c r="Q617" s="452" t="str">
        <f>MATCH($D617,Reference!$J$5:$J$9,0)</f>
        <v>4</v>
      </c>
      <c r="R617" s="452" t="str">
        <f>MATCH($E617,Reference!$J$26:$J$32,0)</f>
        <v>2</v>
      </c>
      <c r="S617" s="452" t="str">
        <f>MATCH($F617,Reference!$J$45:$J$54,0)</f>
        <v>10</v>
      </c>
      <c r="T617" s="453" t="str">
        <f>MATCH($K617,Reference!$J$37:$J$39,0)</f>
        <v>3</v>
      </c>
      <c r="U617" s="454" t="str">
        <f t="shared" si="735"/>
        <v>1</v>
      </c>
      <c r="V617" s="454" t="str">
        <f t="shared" si="3"/>
        <v>1</v>
      </c>
      <c r="W617" s="454" t="str">
        <f t="shared" si="957"/>
        <v>0</v>
      </c>
      <c r="X617" s="454" t="str">
        <f t="shared" si="736"/>
        <v>1</v>
      </c>
      <c r="Y617" s="456" t="str">
        <f t="shared" si="5"/>
        <v>FALSE</v>
      </c>
      <c r="Z617" s="456" t="str">
        <f t="shared" si="6"/>
        <v>FALSE</v>
      </c>
      <c r="AA617" s="457" t="str">
        <f t="shared" ref="AA617:AB617" si="959">1-I617</f>
        <v>0%</v>
      </c>
      <c r="AB617" s="457" t="str">
        <f t="shared" si="959"/>
        <v>0%</v>
      </c>
      <c r="AC617" s="456" t="str">
        <f t="shared" si="8"/>
        <v>1</v>
      </c>
      <c r="AD617" s="458" t="str">
        <f t="shared" si="738"/>
        <v>0</v>
      </c>
      <c r="AE617" s="458" t="str">
        <f t="shared" si="10"/>
        <v>1</v>
      </c>
      <c r="AF617" s="459" t="str">
        <f t="shared" si="953"/>
        <v>0</v>
      </c>
      <c r="AG617" s="460"/>
      <c r="AH617" s="14"/>
      <c r="AI617" s="14"/>
      <c r="AJ617" s="14"/>
      <c r="AK617" s="14"/>
      <c r="AL617" s="14"/>
      <c r="AM617" s="14"/>
      <c r="AN617" s="14"/>
      <c r="AO617" s="14"/>
      <c r="AP617" s="14"/>
      <c r="AQ617" s="14"/>
      <c r="AR617" s="14"/>
      <c r="AS617" s="14"/>
      <c r="AT617" s="14"/>
    </row>
    <row r="618">
      <c r="A618" s="463"/>
      <c r="B618" s="634">
        <v>3.0</v>
      </c>
      <c r="C618" s="635" t="s">
        <v>1356</v>
      </c>
      <c r="D618" s="636" t="s">
        <v>22</v>
      </c>
      <c r="E618" s="636" t="s">
        <v>33</v>
      </c>
      <c r="F618" s="637" t="s">
        <v>77</v>
      </c>
      <c r="G618" s="639">
        <v>0.0</v>
      </c>
      <c r="H618" s="638">
        <v>0.0</v>
      </c>
      <c r="I618" s="640">
        <v>1.0</v>
      </c>
      <c r="J618" s="640">
        <v>1.0</v>
      </c>
      <c r="K618" s="641" t="s">
        <v>188</v>
      </c>
      <c r="L618" s="641"/>
      <c r="M618" s="641">
        <v>3.0</v>
      </c>
      <c r="N618" s="641">
        <v>3.0</v>
      </c>
      <c r="O618" s="642" t="s">
        <v>1357</v>
      </c>
      <c r="P618" s="14"/>
      <c r="Q618" s="452" t="str">
        <f>MATCH($D618,Reference!$J$5:$J$9,0)</f>
        <v>4</v>
      </c>
      <c r="R618" s="452" t="str">
        <f>MATCH($E618,Reference!$J$26:$J$32,0)</f>
        <v>2</v>
      </c>
      <c r="S618" s="452" t="str">
        <f>MATCH($F618,Reference!$J$45:$J$54,0)</f>
        <v>10</v>
      </c>
      <c r="T618" s="453" t="str">
        <f>MATCH($K618,Reference!$J$37:$J$39,0)</f>
        <v>3</v>
      </c>
      <c r="U618" s="454" t="str">
        <f t="shared" si="735"/>
        <v>0</v>
      </c>
      <c r="V618" s="454" t="str">
        <f t="shared" si="3"/>
        <v>0</v>
      </c>
      <c r="W618" s="454" t="str">
        <f t="shared" si="957"/>
        <v>0</v>
      </c>
      <c r="X618" s="454" t="str">
        <f t="shared" si="736"/>
        <v>0</v>
      </c>
      <c r="Y618" s="456" t="str">
        <f t="shared" si="5"/>
        <v>TRUE</v>
      </c>
      <c r="Z618" s="456" t="str">
        <f t="shared" si="6"/>
        <v>FALSE</v>
      </c>
      <c r="AA618" s="457" t="str">
        <f t="shared" ref="AA618:AB618" si="960">1-I618</f>
        <v>0%</v>
      </c>
      <c r="AB618" s="457" t="str">
        <f t="shared" si="960"/>
        <v>0%</v>
      </c>
      <c r="AC618" s="456" t="str">
        <f t="shared" si="8"/>
        <v>0</v>
      </c>
      <c r="AD618" s="458" t="str">
        <f t="shared" si="738"/>
        <v>0</v>
      </c>
      <c r="AE618" s="458" t="str">
        <f t="shared" si="10"/>
        <v>0</v>
      </c>
      <c r="AF618" s="459" t="str">
        <f t="shared" si="953"/>
        <v>0</v>
      </c>
      <c r="AG618" s="460"/>
      <c r="AH618" s="14"/>
      <c r="AI618" s="14"/>
      <c r="AJ618" s="14"/>
      <c r="AK618" s="14"/>
      <c r="AL618" s="14"/>
      <c r="AM618" s="14"/>
      <c r="AN618" s="14"/>
      <c r="AO618" s="14"/>
      <c r="AP618" s="14"/>
      <c r="AQ618" s="14"/>
      <c r="AR618" s="14"/>
      <c r="AS618" s="14"/>
      <c r="AT618" s="14"/>
    </row>
    <row r="619">
      <c r="A619" s="442"/>
      <c r="B619" s="625">
        <v>3.0</v>
      </c>
      <c r="C619" s="646" t="s">
        <v>1358</v>
      </c>
      <c r="D619" s="627" t="s">
        <v>22</v>
      </c>
      <c r="E619" s="627" t="s">
        <v>35</v>
      </c>
      <c r="F619" s="628" t="s">
        <v>77</v>
      </c>
      <c r="G619" s="629">
        <v>0.0</v>
      </c>
      <c r="H619" s="630">
        <v>0.0</v>
      </c>
      <c r="I619" s="631">
        <v>1.0</v>
      </c>
      <c r="J619" s="631">
        <v>1.0</v>
      </c>
      <c r="K619" s="701" t="s">
        <v>188</v>
      </c>
      <c r="L619" s="632"/>
      <c r="M619" s="701">
        <v>2.0</v>
      </c>
      <c r="N619" s="701">
        <v>3.0</v>
      </c>
      <c r="O619" s="633" t="s">
        <v>1359</v>
      </c>
      <c r="P619" s="14"/>
      <c r="Q619" s="452" t="str">
        <f>MATCH($D619,Reference!$J$5:$J$9,0)</f>
        <v>4</v>
      </c>
      <c r="R619" s="452" t="str">
        <f>MATCH($E619,Reference!$J$26:$J$32,0)</f>
        <v>5</v>
      </c>
      <c r="S619" s="452" t="str">
        <f>MATCH($F619,Reference!$J$45:$J$54,0)</f>
        <v>10</v>
      </c>
      <c r="T619" s="453" t="str">
        <f>MATCH($K619,Reference!$J$37:$J$39,0)</f>
        <v>3</v>
      </c>
      <c r="U619" s="454" t="str">
        <f t="shared" si="735"/>
        <v>0</v>
      </c>
      <c r="V619" s="454" t="str">
        <f t="shared" si="3"/>
        <v>0</v>
      </c>
      <c r="W619" s="454" t="str">
        <f t="shared" si="957"/>
        <v>0</v>
      </c>
      <c r="X619" s="454" t="str">
        <f t="shared" si="736"/>
        <v>0</v>
      </c>
      <c r="Y619" s="456" t="str">
        <f t="shared" si="5"/>
        <v>TRUE</v>
      </c>
      <c r="Z619" s="456" t="str">
        <f t="shared" si="6"/>
        <v>FALSE</v>
      </c>
      <c r="AA619" s="457" t="str">
        <f t="shared" ref="AA619:AB619" si="961">1-I619</f>
        <v>0%</v>
      </c>
      <c r="AB619" s="457" t="str">
        <f t="shared" si="961"/>
        <v>0%</v>
      </c>
      <c r="AC619" s="456" t="str">
        <f t="shared" si="8"/>
        <v>0</v>
      </c>
      <c r="AD619" s="458" t="str">
        <f t="shared" si="738"/>
        <v>0</v>
      </c>
      <c r="AE619" s="458" t="str">
        <f t="shared" si="10"/>
        <v>0</v>
      </c>
      <c r="AF619" s="459" t="str">
        <f t="shared" si="953"/>
        <v>0</v>
      </c>
      <c r="AG619" s="460"/>
      <c r="AH619" s="14"/>
      <c r="AI619" s="14"/>
      <c r="AJ619" s="14"/>
      <c r="AK619" s="14"/>
      <c r="AL619" s="14"/>
      <c r="AM619" s="14"/>
      <c r="AN619" s="14"/>
      <c r="AO619" s="14"/>
      <c r="AP619" s="14"/>
      <c r="AQ619" s="14"/>
      <c r="AR619" s="14"/>
      <c r="AS619" s="14"/>
      <c r="AT619" s="14"/>
    </row>
    <row r="620">
      <c r="A620" s="463"/>
      <c r="B620" s="618">
        <v>3.0</v>
      </c>
      <c r="C620" s="619" t="s">
        <v>1360</v>
      </c>
      <c r="D620" s="620" t="s">
        <v>22</v>
      </c>
      <c r="E620" s="621" t="s">
        <v>36</v>
      </c>
      <c r="F620" s="621" t="s">
        <v>77</v>
      </c>
      <c r="G620" s="622">
        <v>0.0</v>
      </c>
      <c r="H620" s="622">
        <v>0.0</v>
      </c>
      <c r="I620" s="623">
        <v>1.0</v>
      </c>
      <c r="J620" s="623">
        <v>1.0</v>
      </c>
      <c r="K620" s="620" t="s">
        <v>188</v>
      </c>
      <c r="L620" s="621"/>
      <c r="M620" s="621">
        <v>4.0</v>
      </c>
      <c r="N620" s="622">
        <v>2.0</v>
      </c>
      <c r="O620" s="624" t="s">
        <v>1361</v>
      </c>
      <c r="P620" s="14"/>
      <c r="Q620" s="452" t="str">
        <f>MATCH($D620,Reference!$J$5:$J$9,0)</f>
        <v>4</v>
      </c>
      <c r="R620" s="452" t="str">
        <f>MATCH($E620,Reference!$J$26:$J$32,0)</f>
        <v>7</v>
      </c>
      <c r="S620" s="452" t="str">
        <f>MATCH($F620,Reference!$J$45:$J$54,0)</f>
        <v>10</v>
      </c>
      <c r="T620" s="453" t="str">
        <f>MATCH($K620,Reference!$J$37:$J$39,0)</f>
        <v>3</v>
      </c>
      <c r="U620" s="454" t="str">
        <f t="shared" si="735"/>
        <v>0</v>
      </c>
      <c r="V620" s="454" t="str">
        <f t="shared" si="3"/>
        <v>0</v>
      </c>
      <c r="W620" s="454" t="str">
        <f t="shared" si="957"/>
        <v>0</v>
      </c>
      <c r="X620" s="454" t="str">
        <f t="shared" si="736"/>
        <v>0</v>
      </c>
      <c r="Y620" s="456" t="str">
        <f t="shared" si="5"/>
        <v>TRUE</v>
      </c>
      <c r="Z620" s="456" t="str">
        <f t="shared" si="6"/>
        <v>FALSE</v>
      </c>
      <c r="AA620" s="457" t="str">
        <f t="shared" ref="AA620:AB620" si="962">1-I620</f>
        <v>0%</v>
      </c>
      <c r="AB620" s="457" t="str">
        <f t="shared" si="962"/>
        <v>0%</v>
      </c>
      <c r="AC620" s="456" t="str">
        <f t="shared" si="8"/>
        <v>0</v>
      </c>
      <c r="AD620" s="458" t="str">
        <f t="shared" si="738"/>
        <v>0</v>
      </c>
      <c r="AE620" s="458" t="str">
        <f t="shared" si="10"/>
        <v>0</v>
      </c>
      <c r="AF620" s="459" t="str">
        <f t="shared" si="953"/>
        <v>0</v>
      </c>
      <c r="AG620" s="460"/>
      <c r="AH620" s="14"/>
      <c r="AI620" s="14"/>
      <c r="AJ620" s="14"/>
      <c r="AK620" s="14"/>
      <c r="AL620" s="14"/>
      <c r="AM620" s="14"/>
      <c r="AN620" s="14"/>
      <c r="AO620" s="14"/>
      <c r="AP620" s="14"/>
      <c r="AQ620" s="14"/>
      <c r="AR620" s="14"/>
      <c r="AS620" s="14"/>
      <c r="AT620" s="14"/>
    </row>
    <row r="621">
      <c r="A621" s="466"/>
      <c r="B621" s="634">
        <v>3.0</v>
      </c>
      <c r="C621" s="635" t="s">
        <v>1362</v>
      </c>
      <c r="D621" s="636" t="s">
        <v>22</v>
      </c>
      <c r="E621" s="636" t="s">
        <v>33</v>
      </c>
      <c r="F621" s="637" t="s">
        <v>77</v>
      </c>
      <c r="G621" s="639">
        <v>0.0</v>
      </c>
      <c r="H621" s="638">
        <v>0.0</v>
      </c>
      <c r="I621" s="640">
        <v>1.0</v>
      </c>
      <c r="J621" s="640">
        <v>1.0</v>
      </c>
      <c r="K621" s="636" t="s">
        <v>188</v>
      </c>
      <c r="L621" s="636" t="s">
        <v>498</v>
      </c>
      <c r="M621" s="637">
        <v>3.0</v>
      </c>
      <c r="N621" s="638">
        <v>3.0</v>
      </c>
      <c r="O621" s="642" t="s">
        <v>1363</v>
      </c>
      <c r="P621" s="14"/>
      <c r="Q621" s="452" t="str">
        <f>MATCH($D621,Reference!$J$5:$J$9,0)</f>
        <v>4</v>
      </c>
      <c r="R621" s="452" t="str">
        <f>MATCH($E621,Reference!$J$26:$J$32,0)</f>
        <v>2</v>
      </c>
      <c r="S621" s="452" t="str">
        <f>MATCH($F621,Reference!$J$45:$J$54,0)</f>
        <v>10</v>
      </c>
      <c r="T621" s="453" t="str">
        <f>MATCH($K621,Reference!$J$37:$J$39,0)</f>
        <v>3</v>
      </c>
      <c r="U621" s="454" t="str">
        <f t="shared" si="735"/>
        <v>0</v>
      </c>
      <c r="V621" s="454" t="str">
        <f t="shared" si="3"/>
        <v>0</v>
      </c>
      <c r="W621" s="454" t="str">
        <f t="shared" si="957"/>
        <v>0</v>
      </c>
      <c r="X621" s="454" t="str">
        <f t="shared" si="736"/>
        <v>0</v>
      </c>
      <c r="Y621" s="456" t="str">
        <f t="shared" si="5"/>
        <v>TRUE</v>
      </c>
      <c r="Z621" s="456" t="str">
        <f t="shared" si="6"/>
        <v>FALSE</v>
      </c>
      <c r="AA621" s="457" t="str">
        <f t="shared" ref="AA621:AB621" si="963">1-I621</f>
        <v>0%</v>
      </c>
      <c r="AB621" s="457" t="str">
        <f t="shared" si="963"/>
        <v>0%</v>
      </c>
      <c r="AC621" s="456" t="str">
        <f t="shared" si="8"/>
        <v>0</v>
      </c>
      <c r="AD621" s="458" t="str">
        <f t="shared" si="738"/>
        <v>0</v>
      </c>
      <c r="AE621" s="458" t="str">
        <f t="shared" si="10"/>
        <v>0</v>
      </c>
      <c r="AF621" s="459" t="str">
        <f t="shared" si="953"/>
        <v>0</v>
      </c>
      <c r="AG621" s="460"/>
      <c r="AH621" s="14"/>
      <c r="AI621" s="14"/>
      <c r="AJ621" s="14"/>
      <c r="AK621" s="14"/>
      <c r="AL621" s="14"/>
      <c r="AM621" s="14"/>
      <c r="AN621" s="14"/>
      <c r="AO621" s="14"/>
      <c r="AP621" s="14"/>
      <c r="AQ621" s="14"/>
      <c r="AR621" s="14"/>
      <c r="AS621" s="14"/>
      <c r="AT621" s="14"/>
    </row>
    <row r="622">
      <c r="A622" s="509"/>
      <c r="B622" s="769">
        <v>3.0</v>
      </c>
      <c r="C622" s="770" t="s">
        <v>1364</v>
      </c>
      <c r="D622" s="771" t="s">
        <v>22</v>
      </c>
      <c r="E622" s="771" t="s">
        <v>41</v>
      </c>
      <c r="F622" s="772" t="s">
        <v>77</v>
      </c>
      <c r="G622" s="773" t="str">
        <f>IF(Summary!$Y$25&gt;=VLOOKUP(C622,Reference!$N$41:$O$70,2,0),2,0)</f>
        <v>2</v>
      </c>
      <c r="H622" s="773">
        <v>0.0</v>
      </c>
      <c r="I622" s="774">
        <v>1.0</v>
      </c>
      <c r="J622" s="774"/>
      <c r="K622" s="775" t="s">
        <v>188</v>
      </c>
      <c r="L622" s="775"/>
      <c r="M622" s="775">
        <v>2.0</v>
      </c>
      <c r="N622" s="775">
        <v>2.0</v>
      </c>
      <c r="O622" s="776" t="s">
        <v>1365</v>
      </c>
      <c r="P622" s="14"/>
      <c r="Q622" s="452" t="str">
        <f>MATCH($D622,Reference!$J$5:$J$9,0)</f>
        <v>4</v>
      </c>
      <c r="R622" s="452" t="str">
        <f>MATCH($E622,Reference!$J$26:$J$32,0)</f>
        <v>4</v>
      </c>
      <c r="S622" s="452" t="str">
        <f>MATCH($F622,Reference!$J$45:$J$54,0)</f>
        <v>10</v>
      </c>
      <c r="T622" s="453" t="str">
        <f>MATCH($K622,Reference!$J$37:$J$39,0)</f>
        <v>3</v>
      </c>
      <c r="U622" s="454" t="str">
        <f t="shared" si="735"/>
        <v>2</v>
      </c>
      <c r="V622" s="454" t="str">
        <f t="shared" si="3"/>
        <v>1</v>
      </c>
      <c r="W622" s="455">
        <v>0.0</v>
      </c>
      <c r="X622" s="454" t="str">
        <f t="shared" si="736"/>
        <v>2</v>
      </c>
      <c r="Y622" s="456" t="str">
        <f t="shared" si="5"/>
        <v>FALSE</v>
      </c>
      <c r="Z622" s="456" t="str">
        <f t="shared" si="6"/>
        <v>FALSE</v>
      </c>
      <c r="AA622" s="457" t="str">
        <f t="shared" ref="AA622:AB622" si="964">1-I622</f>
        <v>0%</v>
      </c>
      <c r="AB622" s="457" t="str">
        <f t="shared" si="964"/>
        <v>100%</v>
      </c>
      <c r="AC622" s="456" t="str">
        <f t="shared" si="8"/>
        <v>2</v>
      </c>
      <c r="AD622" s="458" t="str">
        <f t="shared" si="738"/>
        <v>0</v>
      </c>
      <c r="AE622" s="458" t="str">
        <f t="shared" si="10"/>
        <v>1</v>
      </c>
      <c r="AF622" s="459" t="str">
        <f t="shared" si="953"/>
        <v>0</v>
      </c>
      <c r="AG622" s="460"/>
      <c r="AH622" s="14"/>
      <c r="AI622" s="14"/>
      <c r="AJ622" s="14"/>
      <c r="AK622" s="14"/>
      <c r="AL622" s="14"/>
      <c r="AM622" s="14"/>
      <c r="AN622" s="14"/>
      <c r="AO622" s="14"/>
      <c r="AP622" s="14"/>
      <c r="AQ622" s="14"/>
      <c r="AR622" s="14"/>
      <c r="AS622" s="14"/>
      <c r="AT622" s="14"/>
    </row>
    <row r="623">
      <c r="A623" s="466"/>
      <c r="B623" s="634">
        <v>3.0</v>
      </c>
      <c r="C623" s="635" t="s">
        <v>1366</v>
      </c>
      <c r="D623" s="636" t="s">
        <v>22</v>
      </c>
      <c r="E623" s="636" t="s">
        <v>33</v>
      </c>
      <c r="F623" s="637" t="s">
        <v>77</v>
      </c>
      <c r="G623" s="639">
        <v>0.0</v>
      </c>
      <c r="H623" s="638">
        <v>0.0</v>
      </c>
      <c r="I623" s="640">
        <v>1.0</v>
      </c>
      <c r="J623" s="640">
        <v>1.0</v>
      </c>
      <c r="K623" s="641" t="s">
        <v>188</v>
      </c>
      <c r="L623" s="641" t="s">
        <v>660</v>
      </c>
      <c r="M623" s="641">
        <v>3.0</v>
      </c>
      <c r="N623" s="641">
        <v>3.0</v>
      </c>
      <c r="O623" s="642" t="s">
        <v>1367</v>
      </c>
      <c r="P623" s="14"/>
      <c r="Q623" s="452" t="str">
        <f>MATCH($D623,Reference!$J$5:$J$9,0)</f>
        <v>4</v>
      </c>
      <c r="R623" s="452" t="str">
        <f>MATCH($E623,Reference!$J$26:$J$32,0)</f>
        <v>2</v>
      </c>
      <c r="S623" s="452" t="str">
        <f>MATCH($F623,Reference!$J$45:$J$54,0)</f>
        <v>10</v>
      </c>
      <c r="T623" s="453" t="str">
        <f>MATCH($K623,Reference!$J$37:$J$39,0)</f>
        <v>3</v>
      </c>
      <c r="U623" s="454" t="str">
        <f t="shared" si="735"/>
        <v>0</v>
      </c>
      <c r="V623" s="454" t="str">
        <f t="shared" si="3"/>
        <v>0</v>
      </c>
      <c r="W623" s="454" t="str">
        <f t="shared" ref="W623:W640" si="966">(MIN(G623,2)+H623-U623)*400</f>
        <v>0</v>
      </c>
      <c r="X623" s="454" t="str">
        <f t="shared" si="736"/>
        <v>0</v>
      </c>
      <c r="Y623" s="456" t="str">
        <f t="shared" si="5"/>
        <v>TRUE</v>
      </c>
      <c r="Z623" s="456" t="str">
        <f t="shared" si="6"/>
        <v>FALSE</v>
      </c>
      <c r="AA623" s="457" t="str">
        <f t="shared" ref="AA623:AB623" si="965">1-I623</f>
        <v>0%</v>
      </c>
      <c r="AB623" s="457" t="str">
        <f t="shared" si="965"/>
        <v>0%</v>
      </c>
      <c r="AC623" s="456" t="str">
        <f t="shared" si="8"/>
        <v>0</v>
      </c>
      <c r="AD623" s="458" t="str">
        <f t="shared" si="738"/>
        <v>0</v>
      </c>
      <c r="AE623" s="458" t="str">
        <f t="shared" si="10"/>
        <v>0</v>
      </c>
      <c r="AF623" s="459" t="str">
        <f t="shared" si="953"/>
        <v>0</v>
      </c>
      <c r="AG623" s="460"/>
      <c r="AH623" s="14"/>
      <c r="AI623" s="14"/>
      <c r="AJ623" s="14"/>
      <c r="AK623" s="14"/>
      <c r="AL623" s="14"/>
      <c r="AM623" s="14"/>
      <c r="AN623" s="14"/>
      <c r="AO623" s="14"/>
      <c r="AP623" s="14"/>
      <c r="AQ623" s="14"/>
      <c r="AR623" s="14"/>
      <c r="AS623" s="14"/>
      <c r="AT623" s="14"/>
    </row>
    <row r="624">
      <c r="A624" s="442"/>
      <c r="B624" s="618">
        <v>4.0</v>
      </c>
      <c r="C624" s="619" t="s">
        <v>1368</v>
      </c>
      <c r="D624" s="620" t="s">
        <v>22</v>
      </c>
      <c r="E624" s="621" t="s">
        <v>36</v>
      </c>
      <c r="F624" s="621" t="s">
        <v>77</v>
      </c>
      <c r="G624" s="622">
        <v>0.0</v>
      </c>
      <c r="H624" s="622">
        <v>0.0</v>
      </c>
      <c r="I624" s="623">
        <v>1.0</v>
      </c>
      <c r="J624" s="623">
        <v>1.0</v>
      </c>
      <c r="K624" s="621" t="s">
        <v>188</v>
      </c>
      <c r="L624" s="621"/>
      <c r="M624" s="621">
        <v>4.0</v>
      </c>
      <c r="N624" s="621">
        <v>4.0</v>
      </c>
      <c r="O624" s="624" t="s">
        <v>1369</v>
      </c>
      <c r="P624" s="14"/>
      <c r="Q624" s="452" t="str">
        <f>MATCH($D624,Reference!$J$5:$J$9,0)</f>
        <v>4</v>
      </c>
      <c r="R624" s="452" t="str">
        <f>MATCH($E624,Reference!$J$26:$J$32,0)</f>
        <v>7</v>
      </c>
      <c r="S624" s="452" t="str">
        <f>MATCH($F624,Reference!$J$45:$J$54,0)</f>
        <v>10</v>
      </c>
      <c r="T624" s="453" t="str">
        <f>MATCH($K624,Reference!$J$37:$J$39,0)</f>
        <v>3</v>
      </c>
      <c r="U624" s="454" t="str">
        <f t="shared" si="735"/>
        <v>0</v>
      </c>
      <c r="V624" s="454" t="str">
        <f t="shared" si="3"/>
        <v>0</v>
      </c>
      <c r="W624" s="454" t="str">
        <f t="shared" si="966"/>
        <v>0</v>
      </c>
      <c r="X624" s="454" t="str">
        <f t="shared" si="736"/>
        <v>0</v>
      </c>
      <c r="Y624" s="456" t="str">
        <f t="shared" si="5"/>
        <v>TRUE</v>
      </c>
      <c r="Z624" s="456" t="str">
        <f t="shared" si="6"/>
        <v>FALSE</v>
      </c>
      <c r="AA624" s="457" t="str">
        <f t="shared" ref="AA624:AB624" si="967">1-I624</f>
        <v>0%</v>
      </c>
      <c r="AB624" s="457" t="str">
        <f t="shared" si="967"/>
        <v>0%</v>
      </c>
      <c r="AC624" s="456" t="str">
        <f t="shared" si="8"/>
        <v>0</v>
      </c>
      <c r="AD624" s="458" t="str">
        <f t="shared" si="738"/>
        <v>0</v>
      </c>
      <c r="AE624" s="458" t="str">
        <f t="shared" si="10"/>
        <v>0</v>
      </c>
      <c r="AF624" s="459" t="str">
        <f t="shared" si="953"/>
        <v>0</v>
      </c>
      <c r="AG624" s="460"/>
      <c r="AH624" s="14"/>
      <c r="AI624" s="14"/>
      <c r="AJ624" s="14"/>
      <c r="AK624" s="14"/>
      <c r="AL624" s="14"/>
      <c r="AM624" s="14"/>
      <c r="AN624" s="14"/>
      <c r="AO624" s="14"/>
      <c r="AP624" s="14"/>
      <c r="AQ624" s="14"/>
      <c r="AR624" s="14"/>
      <c r="AS624" s="14"/>
      <c r="AT624" s="14"/>
    </row>
    <row r="625">
      <c r="A625" s="442"/>
      <c r="B625" s="625">
        <v>4.0</v>
      </c>
      <c r="C625" s="626" t="s">
        <v>1370</v>
      </c>
      <c r="D625" s="627" t="s">
        <v>22</v>
      </c>
      <c r="E625" s="627" t="s">
        <v>35</v>
      </c>
      <c r="F625" s="628" t="s">
        <v>77</v>
      </c>
      <c r="G625" s="629">
        <v>1.0</v>
      </c>
      <c r="H625" s="630">
        <v>0.0</v>
      </c>
      <c r="I625" s="631">
        <v>1.0</v>
      </c>
      <c r="J625" s="631">
        <v>1.0</v>
      </c>
      <c r="K625" s="632" t="s">
        <v>188</v>
      </c>
      <c r="L625" s="632" t="s">
        <v>198</v>
      </c>
      <c r="M625" s="632">
        <v>3.0</v>
      </c>
      <c r="N625" s="632">
        <v>2.0</v>
      </c>
      <c r="O625" s="633" t="s">
        <v>1371</v>
      </c>
      <c r="P625" s="14"/>
      <c r="Q625" s="452" t="str">
        <f>MATCH($D625,Reference!$J$5:$J$9,0)</f>
        <v>4</v>
      </c>
      <c r="R625" s="452" t="str">
        <f>MATCH($E625,Reference!$J$26:$J$32,0)</f>
        <v>5</v>
      </c>
      <c r="S625" s="452" t="str">
        <f>MATCH($F625,Reference!$J$45:$J$54,0)</f>
        <v>10</v>
      </c>
      <c r="T625" s="453" t="str">
        <f>MATCH($K625,Reference!$J$37:$J$39,0)</f>
        <v>3</v>
      </c>
      <c r="U625" s="454" t="str">
        <f t="shared" si="735"/>
        <v>1</v>
      </c>
      <c r="V625" s="454" t="str">
        <f t="shared" si="3"/>
        <v>1</v>
      </c>
      <c r="W625" s="454" t="str">
        <f t="shared" si="966"/>
        <v>0</v>
      </c>
      <c r="X625" s="454" t="str">
        <f t="shared" si="736"/>
        <v>1</v>
      </c>
      <c r="Y625" s="456" t="str">
        <f t="shared" si="5"/>
        <v>FALSE</v>
      </c>
      <c r="Z625" s="456" t="str">
        <f t="shared" si="6"/>
        <v>FALSE</v>
      </c>
      <c r="AA625" s="457" t="str">
        <f t="shared" ref="AA625:AB625" si="968">1-I625</f>
        <v>0%</v>
      </c>
      <c r="AB625" s="457" t="str">
        <f t="shared" si="968"/>
        <v>0%</v>
      </c>
      <c r="AC625" s="456" t="str">
        <f t="shared" si="8"/>
        <v>1</v>
      </c>
      <c r="AD625" s="458" t="str">
        <f t="shared" si="738"/>
        <v>0</v>
      </c>
      <c r="AE625" s="458" t="str">
        <f t="shared" si="10"/>
        <v>1</v>
      </c>
      <c r="AF625" s="459" t="str">
        <f t="shared" si="953"/>
        <v>0</v>
      </c>
      <c r="AG625" s="460"/>
      <c r="AH625" s="14"/>
      <c r="AI625" s="14"/>
      <c r="AJ625" s="14"/>
      <c r="AK625" s="14"/>
      <c r="AL625" s="14"/>
      <c r="AM625" s="14"/>
      <c r="AN625" s="14"/>
      <c r="AO625" s="14"/>
      <c r="AP625" s="14"/>
      <c r="AQ625" s="14"/>
      <c r="AR625" s="14"/>
      <c r="AS625" s="14"/>
      <c r="AT625" s="14"/>
    </row>
    <row r="626">
      <c r="A626" s="463"/>
      <c r="B626" s="625">
        <v>4.0</v>
      </c>
      <c r="C626" s="646" t="s">
        <v>1372</v>
      </c>
      <c r="D626" s="627" t="s">
        <v>22</v>
      </c>
      <c r="E626" s="627" t="s">
        <v>35</v>
      </c>
      <c r="F626" s="628" t="s">
        <v>77</v>
      </c>
      <c r="G626" s="630">
        <v>0.0</v>
      </c>
      <c r="H626" s="630">
        <v>0.0</v>
      </c>
      <c r="I626" s="631">
        <v>1.0</v>
      </c>
      <c r="J626" s="631">
        <v>1.0</v>
      </c>
      <c r="K626" s="627" t="s">
        <v>188</v>
      </c>
      <c r="L626" s="627"/>
      <c r="M626" s="628">
        <v>4.0</v>
      </c>
      <c r="N626" s="630">
        <v>1.0</v>
      </c>
      <c r="O626" s="633" t="s">
        <v>1373</v>
      </c>
      <c r="P626" s="14"/>
      <c r="Q626" s="452" t="str">
        <f>MATCH($D626,Reference!$J$5:$J$9,0)</f>
        <v>4</v>
      </c>
      <c r="R626" s="452" t="str">
        <f>MATCH($E626,Reference!$J$26:$J$32,0)</f>
        <v>5</v>
      </c>
      <c r="S626" s="452" t="str">
        <f>MATCH($F626,Reference!$J$45:$J$54,0)</f>
        <v>10</v>
      </c>
      <c r="T626" s="453" t="str">
        <f>MATCH($K626,Reference!$J$37:$J$39,0)</f>
        <v>3</v>
      </c>
      <c r="U626" s="454" t="str">
        <f t="shared" si="735"/>
        <v>0</v>
      </c>
      <c r="V626" s="454" t="str">
        <f t="shared" si="3"/>
        <v>0</v>
      </c>
      <c r="W626" s="454" t="str">
        <f t="shared" si="966"/>
        <v>0</v>
      </c>
      <c r="X626" s="454" t="str">
        <f t="shared" si="736"/>
        <v>0</v>
      </c>
      <c r="Y626" s="456" t="str">
        <f t="shared" si="5"/>
        <v>TRUE</v>
      </c>
      <c r="Z626" s="456" t="str">
        <f t="shared" si="6"/>
        <v>FALSE</v>
      </c>
      <c r="AA626" s="457" t="str">
        <f t="shared" ref="AA626:AB626" si="969">1-I626</f>
        <v>0%</v>
      </c>
      <c r="AB626" s="457" t="str">
        <f t="shared" si="969"/>
        <v>0%</v>
      </c>
      <c r="AC626" s="456" t="str">
        <f t="shared" si="8"/>
        <v>0</v>
      </c>
      <c r="AD626" s="458" t="str">
        <f t="shared" si="738"/>
        <v>0</v>
      </c>
      <c r="AE626" s="458" t="str">
        <f t="shared" si="10"/>
        <v>0</v>
      </c>
      <c r="AF626" s="459" t="str">
        <f t="shared" si="953"/>
        <v>0</v>
      </c>
      <c r="AG626" s="460"/>
      <c r="AH626" s="14"/>
      <c r="AI626" s="14"/>
      <c r="AJ626" s="14"/>
      <c r="AK626" s="14"/>
      <c r="AL626" s="14"/>
      <c r="AM626" s="14"/>
      <c r="AN626" s="14"/>
      <c r="AO626" s="14"/>
      <c r="AP626" s="14"/>
      <c r="AQ626" s="14"/>
      <c r="AR626" s="14"/>
      <c r="AS626" s="14"/>
      <c r="AT626" s="14"/>
    </row>
    <row r="627">
      <c r="A627" s="442"/>
      <c r="B627" s="618">
        <v>4.0</v>
      </c>
      <c r="C627" s="619" t="s">
        <v>1374</v>
      </c>
      <c r="D627" s="620" t="s">
        <v>22</v>
      </c>
      <c r="E627" s="621" t="s">
        <v>36</v>
      </c>
      <c r="F627" s="621" t="s">
        <v>77</v>
      </c>
      <c r="G627" s="622">
        <v>2.0</v>
      </c>
      <c r="H627" s="622">
        <v>0.0</v>
      </c>
      <c r="I627" s="623">
        <v>1.0</v>
      </c>
      <c r="J627" s="623">
        <v>1.0</v>
      </c>
      <c r="K627" s="621" t="s">
        <v>188</v>
      </c>
      <c r="L627" s="621" t="s">
        <v>446</v>
      </c>
      <c r="M627" s="621">
        <v>2.0</v>
      </c>
      <c r="N627" s="621">
        <v>6.0</v>
      </c>
      <c r="O627" s="624" t="s">
        <v>603</v>
      </c>
      <c r="P627" s="14"/>
      <c r="Q627" s="452" t="str">
        <f>MATCH($D627,Reference!$J$5:$J$9,0)</f>
        <v>4</v>
      </c>
      <c r="R627" s="452" t="str">
        <f>MATCH($E627,Reference!$J$26:$J$32,0)</f>
        <v>7</v>
      </c>
      <c r="S627" s="452" t="str">
        <f>MATCH($F627,Reference!$J$45:$J$54,0)</f>
        <v>10</v>
      </c>
      <c r="T627" s="453" t="str">
        <f>MATCH($K627,Reference!$J$37:$J$39,0)</f>
        <v>3</v>
      </c>
      <c r="U627" s="454" t="str">
        <f t="shared" si="735"/>
        <v>2</v>
      </c>
      <c r="V627" s="454" t="str">
        <f t="shared" si="3"/>
        <v>1</v>
      </c>
      <c r="W627" s="454" t="str">
        <f t="shared" si="966"/>
        <v>0</v>
      </c>
      <c r="X627" s="454" t="str">
        <f t="shared" si="736"/>
        <v>2</v>
      </c>
      <c r="Y627" s="456" t="str">
        <f t="shared" si="5"/>
        <v>FALSE</v>
      </c>
      <c r="Z627" s="456" t="str">
        <f t="shared" si="6"/>
        <v>FALSE</v>
      </c>
      <c r="AA627" s="457" t="str">
        <f t="shared" ref="AA627:AB627" si="970">1-I627</f>
        <v>0%</v>
      </c>
      <c r="AB627" s="457" t="str">
        <f t="shared" si="970"/>
        <v>0%</v>
      </c>
      <c r="AC627" s="456" t="str">
        <f t="shared" si="8"/>
        <v>2</v>
      </c>
      <c r="AD627" s="458" t="str">
        <f t="shared" si="738"/>
        <v>0</v>
      </c>
      <c r="AE627" s="458" t="str">
        <f t="shared" si="10"/>
        <v>1</v>
      </c>
      <c r="AF627" s="459" t="str">
        <f t="shared" si="953"/>
        <v>0</v>
      </c>
      <c r="AG627" s="460"/>
      <c r="AH627" s="14"/>
      <c r="AI627" s="14"/>
      <c r="AJ627" s="14"/>
      <c r="AK627" s="14"/>
      <c r="AL627" s="14"/>
      <c r="AM627" s="14"/>
      <c r="AN627" s="14"/>
      <c r="AO627" s="14"/>
      <c r="AP627" s="14"/>
      <c r="AQ627" s="14"/>
      <c r="AR627" s="14"/>
      <c r="AS627" s="14"/>
      <c r="AT627" s="14"/>
    </row>
    <row r="628">
      <c r="A628" s="442"/>
      <c r="B628" s="634">
        <v>5.0</v>
      </c>
      <c r="C628" s="635" t="s">
        <v>1375</v>
      </c>
      <c r="D628" s="636" t="s">
        <v>22</v>
      </c>
      <c r="E628" s="636" t="s">
        <v>33</v>
      </c>
      <c r="F628" s="637" t="s">
        <v>77</v>
      </c>
      <c r="G628" s="639">
        <v>1.0</v>
      </c>
      <c r="H628" s="638">
        <v>0.0</v>
      </c>
      <c r="I628" s="640">
        <v>1.0</v>
      </c>
      <c r="J628" s="640">
        <v>1.0</v>
      </c>
      <c r="K628" s="641" t="s">
        <v>188</v>
      </c>
      <c r="L628" s="641"/>
      <c r="M628" s="641">
        <v>3.0</v>
      </c>
      <c r="N628" s="641">
        <v>3.0</v>
      </c>
      <c r="O628" s="642" t="s">
        <v>1376</v>
      </c>
      <c r="P628" s="14"/>
      <c r="Q628" s="452" t="str">
        <f>MATCH($D628,Reference!$J$5:$J$9,0)</f>
        <v>4</v>
      </c>
      <c r="R628" s="452" t="str">
        <f>MATCH($E628,Reference!$J$26:$J$32,0)</f>
        <v>2</v>
      </c>
      <c r="S628" s="452" t="str">
        <f>MATCH($F628,Reference!$J$45:$J$54,0)</f>
        <v>10</v>
      </c>
      <c r="T628" s="453" t="str">
        <f>MATCH($K628,Reference!$J$37:$J$39,0)</f>
        <v>3</v>
      </c>
      <c r="U628" s="454" t="str">
        <f t="shared" si="735"/>
        <v>1</v>
      </c>
      <c r="V628" s="454" t="str">
        <f t="shared" si="3"/>
        <v>1</v>
      </c>
      <c r="W628" s="454" t="str">
        <f t="shared" si="966"/>
        <v>0</v>
      </c>
      <c r="X628" s="454" t="str">
        <f t="shared" si="736"/>
        <v>1</v>
      </c>
      <c r="Y628" s="456" t="str">
        <f t="shared" si="5"/>
        <v>FALSE</v>
      </c>
      <c r="Z628" s="456" t="str">
        <f t="shared" si="6"/>
        <v>FALSE</v>
      </c>
      <c r="AA628" s="457" t="str">
        <f t="shared" ref="AA628:AB628" si="971">1-I628</f>
        <v>0%</v>
      </c>
      <c r="AB628" s="457" t="str">
        <f t="shared" si="971"/>
        <v>0%</v>
      </c>
      <c r="AC628" s="456" t="str">
        <f t="shared" si="8"/>
        <v>1</v>
      </c>
      <c r="AD628" s="458" t="str">
        <f t="shared" si="738"/>
        <v>0</v>
      </c>
      <c r="AE628" s="458" t="str">
        <f t="shared" si="10"/>
        <v>1</v>
      </c>
      <c r="AF628" s="459" t="str">
        <f t="shared" si="953"/>
        <v>0</v>
      </c>
      <c r="AG628" s="460"/>
      <c r="AH628" s="14"/>
      <c r="AI628" s="14"/>
      <c r="AJ628" s="14"/>
      <c r="AK628" s="14"/>
      <c r="AL628" s="14"/>
      <c r="AM628" s="14"/>
      <c r="AN628" s="14"/>
      <c r="AO628" s="14"/>
      <c r="AP628" s="14"/>
      <c r="AQ628" s="14"/>
      <c r="AR628" s="14"/>
      <c r="AS628" s="14"/>
      <c r="AT628" s="14"/>
    </row>
    <row r="629">
      <c r="A629" s="466"/>
      <c r="B629" s="625">
        <v>5.0</v>
      </c>
      <c r="C629" s="646" t="s">
        <v>1377</v>
      </c>
      <c r="D629" s="627" t="s">
        <v>22</v>
      </c>
      <c r="E629" s="627" t="s">
        <v>35</v>
      </c>
      <c r="F629" s="628" t="s">
        <v>77</v>
      </c>
      <c r="G629" s="629">
        <v>2.0</v>
      </c>
      <c r="H629" s="630">
        <v>0.0</v>
      </c>
      <c r="I629" s="631">
        <v>1.0</v>
      </c>
      <c r="J629" s="631">
        <v>1.0</v>
      </c>
      <c r="K629" s="632" t="s">
        <v>188</v>
      </c>
      <c r="L629" s="632" t="s">
        <v>198</v>
      </c>
      <c r="M629" s="632">
        <v>8.0</v>
      </c>
      <c r="N629" s="632">
        <v>8.0</v>
      </c>
      <c r="O629" s="633" t="s">
        <v>1378</v>
      </c>
      <c r="P629" s="14"/>
      <c r="Q629" s="452" t="str">
        <f>MATCH($D629,Reference!$J$5:$J$9,0)</f>
        <v>4</v>
      </c>
      <c r="R629" s="452" t="str">
        <f>MATCH($E629,Reference!$J$26:$J$32,0)</f>
        <v>5</v>
      </c>
      <c r="S629" s="452" t="str">
        <f>MATCH($F629,Reference!$J$45:$J$54,0)</f>
        <v>10</v>
      </c>
      <c r="T629" s="453" t="str">
        <f>MATCH($K629,Reference!$J$37:$J$39,0)</f>
        <v>3</v>
      </c>
      <c r="U629" s="454" t="str">
        <f t="shared" si="735"/>
        <v>2</v>
      </c>
      <c r="V629" s="454" t="str">
        <f t="shared" si="3"/>
        <v>1</v>
      </c>
      <c r="W629" s="454" t="str">
        <f t="shared" si="966"/>
        <v>0</v>
      </c>
      <c r="X629" s="454" t="str">
        <f t="shared" si="736"/>
        <v>2</v>
      </c>
      <c r="Y629" s="456" t="str">
        <f t="shared" si="5"/>
        <v>FALSE</v>
      </c>
      <c r="Z629" s="456" t="str">
        <f t="shared" si="6"/>
        <v>FALSE</v>
      </c>
      <c r="AA629" s="457" t="str">
        <f t="shared" ref="AA629:AB629" si="972">1-I629</f>
        <v>0%</v>
      </c>
      <c r="AB629" s="457" t="str">
        <f t="shared" si="972"/>
        <v>0%</v>
      </c>
      <c r="AC629" s="456" t="str">
        <f t="shared" si="8"/>
        <v>2</v>
      </c>
      <c r="AD629" s="458" t="str">
        <f t="shared" si="738"/>
        <v>0</v>
      </c>
      <c r="AE629" s="458" t="str">
        <f t="shared" si="10"/>
        <v>1</v>
      </c>
      <c r="AF629" s="459" t="str">
        <f t="shared" si="953"/>
        <v>0</v>
      </c>
      <c r="AG629" s="460"/>
      <c r="AH629" s="14"/>
      <c r="AI629" s="14"/>
      <c r="AJ629" s="14"/>
      <c r="AK629" s="14"/>
      <c r="AL629" s="14"/>
      <c r="AM629" s="14"/>
      <c r="AN629" s="14"/>
      <c r="AO629" s="14"/>
      <c r="AP629" s="14"/>
      <c r="AQ629" s="14"/>
      <c r="AR629" s="14"/>
      <c r="AS629" s="14"/>
      <c r="AT629" s="14"/>
    </row>
    <row r="630">
      <c r="A630" s="466"/>
      <c r="B630" s="625">
        <v>5.0</v>
      </c>
      <c r="C630" s="646" t="s">
        <v>1379</v>
      </c>
      <c r="D630" s="627" t="s">
        <v>22</v>
      </c>
      <c r="E630" s="627" t="s">
        <v>35</v>
      </c>
      <c r="F630" s="628" t="s">
        <v>77</v>
      </c>
      <c r="G630" s="629">
        <v>0.0</v>
      </c>
      <c r="H630" s="630">
        <v>0.0</v>
      </c>
      <c r="I630" s="631">
        <v>1.0</v>
      </c>
      <c r="J630" s="631">
        <v>1.0</v>
      </c>
      <c r="K630" s="632" t="s">
        <v>188</v>
      </c>
      <c r="L630" s="632" t="s">
        <v>198</v>
      </c>
      <c r="M630" s="632">
        <v>1.0</v>
      </c>
      <c r="N630" s="632">
        <v>5.0</v>
      </c>
      <c r="O630" s="633" t="s">
        <v>1380</v>
      </c>
      <c r="P630" s="14"/>
      <c r="Q630" s="452" t="str">
        <f>MATCH($D630,Reference!$J$5:$J$9,0)</f>
        <v>4</v>
      </c>
      <c r="R630" s="452" t="str">
        <f>MATCH($E630,Reference!$J$26:$J$32,0)</f>
        <v>5</v>
      </c>
      <c r="S630" s="452" t="str">
        <f>MATCH($F630,Reference!$J$45:$J$54,0)</f>
        <v>10</v>
      </c>
      <c r="T630" s="453" t="str">
        <f>MATCH($K630,Reference!$J$37:$J$39,0)</f>
        <v>3</v>
      </c>
      <c r="U630" s="454" t="str">
        <f t="shared" si="735"/>
        <v>0</v>
      </c>
      <c r="V630" s="454" t="str">
        <f t="shared" si="3"/>
        <v>0</v>
      </c>
      <c r="W630" s="454" t="str">
        <f t="shared" si="966"/>
        <v>0</v>
      </c>
      <c r="X630" s="454" t="str">
        <f t="shared" si="736"/>
        <v>0</v>
      </c>
      <c r="Y630" s="456" t="str">
        <f t="shared" si="5"/>
        <v>TRUE</v>
      </c>
      <c r="Z630" s="456" t="str">
        <f t="shared" si="6"/>
        <v>FALSE</v>
      </c>
      <c r="AA630" s="457" t="str">
        <f t="shared" ref="AA630:AB630" si="973">1-I630</f>
        <v>0%</v>
      </c>
      <c r="AB630" s="457" t="str">
        <f t="shared" si="973"/>
        <v>0%</v>
      </c>
      <c r="AC630" s="456" t="str">
        <f t="shared" si="8"/>
        <v>0</v>
      </c>
      <c r="AD630" s="458" t="str">
        <f t="shared" si="738"/>
        <v>0</v>
      </c>
      <c r="AE630" s="458" t="str">
        <f t="shared" si="10"/>
        <v>0</v>
      </c>
      <c r="AF630" s="459" t="str">
        <f t="shared" si="953"/>
        <v>0</v>
      </c>
      <c r="AG630" s="460"/>
      <c r="AH630" s="14"/>
      <c r="AI630" s="14"/>
      <c r="AJ630" s="14"/>
      <c r="AK630" s="14"/>
      <c r="AL630" s="14"/>
      <c r="AM630" s="14"/>
      <c r="AN630" s="14"/>
      <c r="AO630" s="14"/>
      <c r="AP630" s="14"/>
      <c r="AQ630" s="14"/>
      <c r="AR630" s="14"/>
      <c r="AS630" s="14"/>
      <c r="AT630" s="14"/>
    </row>
    <row r="631">
      <c r="A631" s="442"/>
      <c r="B631" s="618">
        <v>5.0</v>
      </c>
      <c r="C631" s="619" t="s">
        <v>1381</v>
      </c>
      <c r="D631" s="620" t="s">
        <v>22</v>
      </c>
      <c r="E631" s="621" t="s">
        <v>36</v>
      </c>
      <c r="F631" s="621" t="s">
        <v>77</v>
      </c>
      <c r="G631" s="622">
        <v>1.0</v>
      </c>
      <c r="H631" s="622">
        <v>0.0</v>
      </c>
      <c r="I631" s="623">
        <v>1.0</v>
      </c>
      <c r="J631" s="623">
        <v>1.0</v>
      </c>
      <c r="K631" s="621" t="s">
        <v>188</v>
      </c>
      <c r="L631" s="621"/>
      <c r="M631" s="621">
        <v>5.0</v>
      </c>
      <c r="N631" s="621">
        <v>4.0</v>
      </c>
      <c r="O631" s="624" t="s">
        <v>1382</v>
      </c>
      <c r="P631" s="14"/>
      <c r="Q631" s="452" t="str">
        <f>MATCH($D631,Reference!$J$5:$J$9,0)</f>
        <v>4</v>
      </c>
      <c r="R631" s="452" t="str">
        <f>MATCH($E631,Reference!$J$26:$J$32,0)</f>
        <v>7</v>
      </c>
      <c r="S631" s="452" t="str">
        <f>MATCH($F631,Reference!$J$45:$J$54,0)</f>
        <v>10</v>
      </c>
      <c r="T631" s="453" t="str">
        <f>MATCH($K631,Reference!$J$37:$J$39,0)</f>
        <v>3</v>
      </c>
      <c r="U631" s="454" t="str">
        <f t="shared" si="735"/>
        <v>1</v>
      </c>
      <c r="V631" s="454" t="str">
        <f t="shared" si="3"/>
        <v>1</v>
      </c>
      <c r="W631" s="454" t="str">
        <f t="shared" si="966"/>
        <v>0</v>
      </c>
      <c r="X631" s="454" t="str">
        <f t="shared" si="736"/>
        <v>1</v>
      </c>
      <c r="Y631" s="456" t="str">
        <f t="shared" si="5"/>
        <v>FALSE</v>
      </c>
      <c r="Z631" s="456" t="str">
        <f t="shared" si="6"/>
        <v>FALSE</v>
      </c>
      <c r="AA631" s="457" t="str">
        <f t="shared" ref="AA631:AB631" si="974">1-I631</f>
        <v>0%</v>
      </c>
      <c r="AB631" s="457" t="str">
        <f t="shared" si="974"/>
        <v>0%</v>
      </c>
      <c r="AC631" s="456" t="str">
        <f t="shared" si="8"/>
        <v>1</v>
      </c>
      <c r="AD631" s="458" t="str">
        <f t="shared" si="738"/>
        <v>0</v>
      </c>
      <c r="AE631" s="458" t="str">
        <f t="shared" si="10"/>
        <v>1</v>
      </c>
      <c r="AF631" s="459" t="str">
        <f t="shared" si="953"/>
        <v>0</v>
      </c>
      <c r="AG631" s="460"/>
      <c r="AH631" s="14"/>
      <c r="AI631" s="14"/>
      <c r="AJ631" s="14"/>
      <c r="AK631" s="14"/>
      <c r="AL631" s="14"/>
      <c r="AM631" s="14"/>
      <c r="AN631" s="14"/>
      <c r="AO631" s="14"/>
      <c r="AP631" s="14"/>
      <c r="AQ631" s="14"/>
      <c r="AR631" s="14"/>
      <c r="AS631" s="14"/>
      <c r="AT631" s="14"/>
    </row>
    <row r="632">
      <c r="A632" s="466"/>
      <c r="B632" s="618">
        <v>6.0</v>
      </c>
      <c r="C632" s="619" t="s">
        <v>1383</v>
      </c>
      <c r="D632" s="620" t="s">
        <v>22</v>
      </c>
      <c r="E632" s="621" t="s">
        <v>36</v>
      </c>
      <c r="F632" s="621" t="s">
        <v>77</v>
      </c>
      <c r="G632" s="622">
        <v>0.0</v>
      </c>
      <c r="H632" s="622">
        <v>0.0</v>
      </c>
      <c r="I632" s="623">
        <v>1.0</v>
      </c>
      <c r="J632" s="623">
        <v>1.0</v>
      </c>
      <c r="K632" s="621" t="s">
        <v>188</v>
      </c>
      <c r="L632" s="621"/>
      <c r="M632" s="621">
        <v>5.0</v>
      </c>
      <c r="N632" s="621">
        <v>5.0</v>
      </c>
      <c r="O632" s="624" t="s">
        <v>1384</v>
      </c>
      <c r="P632" s="14"/>
      <c r="Q632" s="452" t="str">
        <f>MATCH($D632,Reference!$J$5:$J$9,0)</f>
        <v>4</v>
      </c>
      <c r="R632" s="452" t="str">
        <f>MATCH($E632,Reference!$J$26:$J$32,0)</f>
        <v>7</v>
      </c>
      <c r="S632" s="452" t="str">
        <f>MATCH($F632,Reference!$J$45:$J$54,0)</f>
        <v>10</v>
      </c>
      <c r="T632" s="453" t="str">
        <f>MATCH($K632,Reference!$J$37:$J$39,0)</f>
        <v>3</v>
      </c>
      <c r="U632" s="454" t="str">
        <f t="shared" si="735"/>
        <v>0</v>
      </c>
      <c r="V632" s="454" t="str">
        <f t="shared" si="3"/>
        <v>0</v>
      </c>
      <c r="W632" s="454" t="str">
        <f t="shared" si="966"/>
        <v>0</v>
      </c>
      <c r="X632" s="454" t="str">
        <f t="shared" si="736"/>
        <v>0</v>
      </c>
      <c r="Y632" s="456" t="str">
        <f t="shared" si="5"/>
        <v>TRUE</v>
      </c>
      <c r="Z632" s="456" t="str">
        <f t="shared" si="6"/>
        <v>FALSE</v>
      </c>
      <c r="AA632" s="457" t="str">
        <f t="shared" ref="AA632:AB632" si="975">1-I632</f>
        <v>0%</v>
      </c>
      <c r="AB632" s="457" t="str">
        <f t="shared" si="975"/>
        <v>0%</v>
      </c>
      <c r="AC632" s="456" t="str">
        <f t="shared" si="8"/>
        <v>0</v>
      </c>
      <c r="AD632" s="458" t="str">
        <f t="shared" si="738"/>
        <v>0</v>
      </c>
      <c r="AE632" s="458" t="str">
        <f t="shared" si="10"/>
        <v>0</v>
      </c>
      <c r="AF632" s="459" t="str">
        <f t="shared" si="953"/>
        <v>0</v>
      </c>
      <c r="AG632" s="460"/>
      <c r="AH632" s="14"/>
      <c r="AI632" s="14"/>
      <c r="AJ632" s="14"/>
      <c r="AK632" s="14"/>
      <c r="AL632" s="14"/>
      <c r="AM632" s="14"/>
      <c r="AN632" s="14"/>
      <c r="AO632" s="14"/>
      <c r="AP632" s="14"/>
      <c r="AQ632" s="14"/>
      <c r="AR632" s="14"/>
      <c r="AS632" s="14"/>
      <c r="AT632" s="14"/>
    </row>
    <row r="633">
      <c r="A633" s="469"/>
      <c r="B633" s="618">
        <v>6.0</v>
      </c>
      <c r="C633" s="619" t="s">
        <v>1385</v>
      </c>
      <c r="D633" s="620" t="s">
        <v>22</v>
      </c>
      <c r="E633" s="621" t="s">
        <v>36</v>
      </c>
      <c r="F633" s="621" t="s">
        <v>77</v>
      </c>
      <c r="G633" s="622">
        <v>0.0</v>
      </c>
      <c r="H633" s="622">
        <v>0.0</v>
      </c>
      <c r="I633" s="623">
        <v>1.0</v>
      </c>
      <c r="J633" s="623">
        <v>1.0</v>
      </c>
      <c r="K633" s="621" t="s">
        <v>188</v>
      </c>
      <c r="L633" s="621"/>
      <c r="M633" s="621">
        <v>3.0</v>
      </c>
      <c r="N633" s="621">
        <v>5.0</v>
      </c>
      <c r="O633" s="624" t="s">
        <v>1386</v>
      </c>
      <c r="P633" s="14"/>
      <c r="Q633" s="452" t="str">
        <f>MATCH($D633,Reference!$J$5:$J$9,0)</f>
        <v>4</v>
      </c>
      <c r="R633" s="452" t="str">
        <f>MATCH($E633,Reference!$J$26:$J$32,0)</f>
        <v>7</v>
      </c>
      <c r="S633" s="452" t="str">
        <f>MATCH($F633,Reference!$J$45:$J$54,0)</f>
        <v>10</v>
      </c>
      <c r="T633" s="453" t="str">
        <f>MATCH($K633,Reference!$J$37:$J$39,0)</f>
        <v>3</v>
      </c>
      <c r="U633" s="454" t="str">
        <f t="shared" si="735"/>
        <v>0</v>
      </c>
      <c r="V633" s="454" t="str">
        <f t="shared" si="3"/>
        <v>0</v>
      </c>
      <c r="W633" s="454" t="str">
        <f t="shared" si="966"/>
        <v>0</v>
      </c>
      <c r="X633" s="454" t="str">
        <f t="shared" si="736"/>
        <v>0</v>
      </c>
      <c r="Y633" s="456" t="str">
        <f t="shared" si="5"/>
        <v>TRUE</v>
      </c>
      <c r="Z633" s="456" t="str">
        <f t="shared" si="6"/>
        <v>FALSE</v>
      </c>
      <c r="AA633" s="457" t="str">
        <f t="shared" ref="AA633:AB633" si="976">1-I633</f>
        <v>0%</v>
      </c>
      <c r="AB633" s="457" t="str">
        <f t="shared" si="976"/>
        <v>0%</v>
      </c>
      <c r="AC633" s="456" t="str">
        <f t="shared" si="8"/>
        <v>0</v>
      </c>
      <c r="AD633" s="458" t="str">
        <f t="shared" si="738"/>
        <v>0</v>
      </c>
      <c r="AE633" s="458" t="str">
        <f t="shared" si="10"/>
        <v>0</v>
      </c>
      <c r="AF633" s="459" t="str">
        <f t="shared" si="953"/>
        <v>0</v>
      </c>
      <c r="AG633" s="460"/>
      <c r="AH633" s="14"/>
      <c r="AI633" s="14"/>
      <c r="AJ633" s="14"/>
      <c r="AK633" s="14"/>
      <c r="AL633" s="14"/>
      <c r="AM633" s="14"/>
      <c r="AN633" s="14"/>
      <c r="AO633" s="14"/>
      <c r="AP633" s="14"/>
      <c r="AQ633" s="14"/>
      <c r="AR633" s="14"/>
      <c r="AS633" s="14"/>
      <c r="AT633" s="14"/>
    </row>
    <row r="634">
      <c r="A634" s="466"/>
      <c r="B634" s="625">
        <v>6.0</v>
      </c>
      <c r="C634" s="646" t="s">
        <v>1387</v>
      </c>
      <c r="D634" s="627" t="s">
        <v>22</v>
      </c>
      <c r="E634" s="627" t="s">
        <v>35</v>
      </c>
      <c r="F634" s="628" t="s">
        <v>77</v>
      </c>
      <c r="G634" s="629">
        <v>1.0</v>
      </c>
      <c r="H634" s="630">
        <v>0.0</v>
      </c>
      <c r="I634" s="631">
        <v>1.0</v>
      </c>
      <c r="J634" s="631">
        <v>1.0</v>
      </c>
      <c r="K634" s="632" t="s">
        <v>188</v>
      </c>
      <c r="L634" s="632" t="s">
        <v>198</v>
      </c>
      <c r="M634" s="632">
        <v>6.0</v>
      </c>
      <c r="N634" s="632">
        <v>4.0</v>
      </c>
      <c r="O634" s="633" t="s">
        <v>1388</v>
      </c>
      <c r="P634" s="14"/>
      <c r="Q634" s="452" t="str">
        <f>MATCH($D634,Reference!$J$5:$J$9,0)</f>
        <v>4</v>
      </c>
      <c r="R634" s="452" t="str">
        <f>MATCH($E634,Reference!$J$26:$J$32,0)</f>
        <v>5</v>
      </c>
      <c r="S634" s="452" t="str">
        <f>MATCH($F634,Reference!$J$45:$J$54,0)</f>
        <v>10</v>
      </c>
      <c r="T634" s="453" t="str">
        <f>MATCH($K634,Reference!$J$37:$J$39,0)</f>
        <v>3</v>
      </c>
      <c r="U634" s="454" t="str">
        <f t="shared" si="735"/>
        <v>1</v>
      </c>
      <c r="V634" s="454" t="str">
        <f t="shared" si="3"/>
        <v>1</v>
      </c>
      <c r="W634" s="454" t="str">
        <f t="shared" si="966"/>
        <v>0</v>
      </c>
      <c r="X634" s="454" t="str">
        <f t="shared" si="736"/>
        <v>1</v>
      </c>
      <c r="Y634" s="456" t="str">
        <f t="shared" si="5"/>
        <v>FALSE</v>
      </c>
      <c r="Z634" s="456" t="str">
        <f t="shared" si="6"/>
        <v>FALSE</v>
      </c>
      <c r="AA634" s="457" t="str">
        <f t="shared" ref="AA634:AB634" si="977">1-I634</f>
        <v>0%</v>
      </c>
      <c r="AB634" s="457" t="str">
        <f t="shared" si="977"/>
        <v>0%</v>
      </c>
      <c r="AC634" s="456" t="str">
        <f t="shared" si="8"/>
        <v>1</v>
      </c>
      <c r="AD634" s="458" t="str">
        <f t="shared" si="738"/>
        <v>0</v>
      </c>
      <c r="AE634" s="458" t="str">
        <f t="shared" si="10"/>
        <v>1</v>
      </c>
      <c r="AF634" s="459" t="str">
        <f t="shared" si="953"/>
        <v>0</v>
      </c>
      <c r="AG634" s="460"/>
      <c r="AH634" s="14"/>
      <c r="AI634" s="14"/>
      <c r="AJ634" s="14"/>
      <c r="AK634" s="14"/>
      <c r="AL634" s="14"/>
      <c r="AM634" s="14"/>
      <c r="AN634" s="14"/>
      <c r="AO634" s="14"/>
      <c r="AP634" s="14"/>
      <c r="AQ634" s="14"/>
      <c r="AR634" s="14"/>
      <c r="AS634" s="14"/>
      <c r="AT634" s="14"/>
    </row>
    <row r="635">
      <c r="A635" s="509"/>
      <c r="B635" s="618">
        <v>6.0</v>
      </c>
      <c r="C635" s="619" t="s">
        <v>1389</v>
      </c>
      <c r="D635" s="620" t="s">
        <v>22</v>
      </c>
      <c r="E635" s="621" t="s">
        <v>36</v>
      </c>
      <c r="F635" s="621" t="s">
        <v>77</v>
      </c>
      <c r="G635" s="622">
        <v>1.0</v>
      </c>
      <c r="H635" s="622">
        <v>0.0</v>
      </c>
      <c r="I635" s="623">
        <v>1.0</v>
      </c>
      <c r="J635" s="623">
        <v>1.0</v>
      </c>
      <c r="K635" s="621" t="s">
        <v>188</v>
      </c>
      <c r="L635" s="621"/>
      <c r="M635" s="621">
        <v>6.0</v>
      </c>
      <c r="N635" s="621">
        <v>5.0</v>
      </c>
      <c r="O635" s="624" t="s">
        <v>1390</v>
      </c>
      <c r="P635" s="14"/>
      <c r="Q635" s="452" t="str">
        <f>MATCH($D635,Reference!$J$5:$J$9,0)</f>
        <v>4</v>
      </c>
      <c r="R635" s="452" t="str">
        <f>MATCH($E635,Reference!$J$26:$J$32,0)</f>
        <v>7</v>
      </c>
      <c r="S635" s="452" t="str">
        <f>MATCH($F635,Reference!$J$45:$J$54,0)</f>
        <v>10</v>
      </c>
      <c r="T635" s="453" t="str">
        <f>MATCH($K635,Reference!$J$37:$J$39,0)</f>
        <v>3</v>
      </c>
      <c r="U635" s="454" t="str">
        <f t="shared" si="735"/>
        <v>1</v>
      </c>
      <c r="V635" s="454" t="str">
        <f t="shared" si="3"/>
        <v>1</v>
      </c>
      <c r="W635" s="454" t="str">
        <f t="shared" si="966"/>
        <v>0</v>
      </c>
      <c r="X635" s="454" t="str">
        <f t="shared" si="736"/>
        <v>1</v>
      </c>
      <c r="Y635" s="456" t="str">
        <f t="shared" si="5"/>
        <v>FALSE</v>
      </c>
      <c r="Z635" s="456" t="str">
        <f t="shared" si="6"/>
        <v>FALSE</v>
      </c>
      <c r="AA635" s="457" t="str">
        <f t="shared" ref="AA635:AB635" si="978">1-I635</f>
        <v>0%</v>
      </c>
      <c r="AB635" s="457" t="str">
        <f t="shared" si="978"/>
        <v>0%</v>
      </c>
      <c r="AC635" s="456" t="str">
        <f t="shared" si="8"/>
        <v>1</v>
      </c>
      <c r="AD635" s="458" t="str">
        <f t="shared" si="738"/>
        <v>0</v>
      </c>
      <c r="AE635" s="458" t="str">
        <f t="shared" si="10"/>
        <v>1</v>
      </c>
      <c r="AF635" s="459" t="str">
        <f t="shared" si="953"/>
        <v>0</v>
      </c>
      <c r="AG635" s="460"/>
      <c r="AH635" s="14"/>
      <c r="AI635" s="14"/>
      <c r="AJ635" s="14"/>
      <c r="AK635" s="14"/>
      <c r="AL635" s="14"/>
      <c r="AM635" s="14"/>
      <c r="AN635" s="14"/>
      <c r="AO635" s="14"/>
      <c r="AP635" s="14"/>
      <c r="AQ635" s="14"/>
      <c r="AR635" s="14"/>
      <c r="AS635" s="14"/>
      <c r="AT635" s="14"/>
    </row>
    <row r="636">
      <c r="A636" s="463"/>
      <c r="B636" s="618">
        <v>10.0</v>
      </c>
      <c r="C636" s="619" t="s">
        <v>1391</v>
      </c>
      <c r="D636" s="620" t="s">
        <v>22</v>
      </c>
      <c r="E636" s="621" t="s">
        <v>36</v>
      </c>
      <c r="F636" s="621" t="s">
        <v>77</v>
      </c>
      <c r="G636" s="622">
        <v>2.0</v>
      </c>
      <c r="H636" s="622">
        <v>0.0</v>
      </c>
      <c r="I636" s="623">
        <v>1.0</v>
      </c>
      <c r="J636" s="623">
        <v>1.0</v>
      </c>
      <c r="K636" s="621" t="s">
        <v>188</v>
      </c>
      <c r="L636" s="621"/>
      <c r="M636" s="621">
        <v>8.0</v>
      </c>
      <c r="N636" s="621">
        <v>8.0</v>
      </c>
      <c r="O636" s="624" t="s">
        <v>1392</v>
      </c>
      <c r="P636" s="14"/>
      <c r="Q636" s="452" t="str">
        <f>MATCH($D636,Reference!$J$5:$J$9,0)</f>
        <v>4</v>
      </c>
      <c r="R636" s="452" t="str">
        <f>MATCH($E636,Reference!$J$26:$J$32,0)</f>
        <v>7</v>
      </c>
      <c r="S636" s="452" t="str">
        <f>MATCH($F636,Reference!$J$45:$J$54,0)</f>
        <v>10</v>
      </c>
      <c r="T636" s="453" t="str">
        <f>MATCH($K636,Reference!$J$37:$J$39,0)</f>
        <v>3</v>
      </c>
      <c r="U636" s="454" t="str">
        <f t="shared" si="735"/>
        <v>2</v>
      </c>
      <c r="V636" s="454" t="str">
        <f t="shared" si="3"/>
        <v>1</v>
      </c>
      <c r="W636" s="454" t="str">
        <f t="shared" si="966"/>
        <v>0</v>
      </c>
      <c r="X636" s="454" t="str">
        <f t="shared" si="736"/>
        <v>2</v>
      </c>
      <c r="Y636" s="456" t="str">
        <f t="shared" si="5"/>
        <v>FALSE</v>
      </c>
      <c r="Z636" s="456" t="str">
        <f t="shared" si="6"/>
        <v>FALSE</v>
      </c>
      <c r="AA636" s="457" t="str">
        <f t="shared" ref="AA636:AB636" si="979">1-I636</f>
        <v>0%</v>
      </c>
      <c r="AB636" s="457" t="str">
        <f t="shared" si="979"/>
        <v>0%</v>
      </c>
      <c r="AC636" s="456" t="str">
        <f t="shared" si="8"/>
        <v>2</v>
      </c>
      <c r="AD636" s="458" t="str">
        <f t="shared" si="738"/>
        <v>0</v>
      </c>
      <c r="AE636" s="458" t="str">
        <f t="shared" si="10"/>
        <v>1</v>
      </c>
      <c r="AF636" s="459" t="str">
        <f t="shared" si="953"/>
        <v>0</v>
      </c>
      <c r="AG636" s="460"/>
      <c r="AH636" s="14"/>
      <c r="AI636" s="14"/>
      <c r="AJ636" s="14"/>
      <c r="AK636" s="14"/>
      <c r="AL636" s="14"/>
      <c r="AM636" s="14"/>
      <c r="AN636" s="14"/>
      <c r="AO636" s="14"/>
      <c r="AP636" s="14"/>
      <c r="AQ636" s="14"/>
      <c r="AR636" s="14"/>
      <c r="AS636" s="14"/>
      <c r="AT636" s="14"/>
    </row>
    <row r="637">
      <c r="A637" s="509"/>
      <c r="B637" s="634">
        <v>10.0</v>
      </c>
      <c r="C637" s="635" t="s">
        <v>1393</v>
      </c>
      <c r="D637" s="636" t="s">
        <v>22</v>
      </c>
      <c r="E637" s="636" t="s">
        <v>33</v>
      </c>
      <c r="F637" s="637" t="s">
        <v>77</v>
      </c>
      <c r="G637" s="638">
        <v>1.0</v>
      </c>
      <c r="H637" s="638">
        <v>0.0</v>
      </c>
      <c r="I637" s="640">
        <v>1.0</v>
      </c>
      <c r="J637" s="640">
        <v>1.0</v>
      </c>
      <c r="K637" s="641" t="s">
        <v>188</v>
      </c>
      <c r="L637" s="641"/>
      <c r="M637" s="641">
        <v>8.0</v>
      </c>
      <c r="N637" s="641">
        <v>8.0</v>
      </c>
      <c r="O637" s="642" t="s">
        <v>1394</v>
      </c>
      <c r="P637" s="14"/>
      <c r="Q637" s="452" t="str">
        <f>MATCH($D637,Reference!$J$5:$J$9,0)</f>
        <v>4</v>
      </c>
      <c r="R637" s="452" t="str">
        <f>MATCH($E637,Reference!$J$26:$J$32,0)</f>
        <v>2</v>
      </c>
      <c r="S637" s="452" t="str">
        <f>MATCH($F637,Reference!$J$45:$J$54,0)</f>
        <v>10</v>
      </c>
      <c r="T637" s="453" t="str">
        <f>MATCH($K637,Reference!$J$37:$J$39,0)</f>
        <v>3</v>
      </c>
      <c r="U637" s="454" t="str">
        <f t="shared" si="735"/>
        <v>1</v>
      </c>
      <c r="V637" s="454" t="str">
        <f t="shared" si="3"/>
        <v>1</v>
      </c>
      <c r="W637" s="454" t="str">
        <f t="shared" si="966"/>
        <v>0</v>
      </c>
      <c r="X637" s="454" t="str">
        <f t="shared" si="736"/>
        <v>1</v>
      </c>
      <c r="Y637" s="456" t="str">
        <f t="shared" si="5"/>
        <v>FALSE</v>
      </c>
      <c r="Z637" s="456" t="str">
        <f t="shared" si="6"/>
        <v>FALSE</v>
      </c>
      <c r="AA637" s="457" t="str">
        <f t="shared" ref="AA637:AB637" si="980">1-I637</f>
        <v>0%</v>
      </c>
      <c r="AB637" s="457" t="str">
        <f t="shared" si="980"/>
        <v>0%</v>
      </c>
      <c r="AC637" s="456" t="str">
        <f t="shared" si="8"/>
        <v>1</v>
      </c>
      <c r="AD637" s="458" t="str">
        <f t="shared" si="738"/>
        <v>0</v>
      </c>
      <c r="AE637" s="458" t="str">
        <f t="shared" si="10"/>
        <v>1</v>
      </c>
      <c r="AF637" s="459" t="str">
        <f t="shared" si="953"/>
        <v>0</v>
      </c>
      <c r="AG637" s="460"/>
      <c r="AH637" s="14"/>
      <c r="AI637" s="14"/>
      <c r="AJ637" s="14"/>
      <c r="AK637" s="14"/>
      <c r="AL637" s="14"/>
      <c r="AM637" s="14"/>
      <c r="AN637" s="14"/>
      <c r="AO637" s="14"/>
      <c r="AP637" s="14"/>
      <c r="AQ637" s="14"/>
      <c r="AR637" s="14"/>
      <c r="AS637" s="14"/>
      <c r="AT637" s="14"/>
    </row>
    <row r="638">
      <c r="A638" s="463"/>
      <c r="B638" s="625">
        <v>12.0</v>
      </c>
      <c r="C638" s="646" t="s">
        <v>1395</v>
      </c>
      <c r="D638" s="627" t="s">
        <v>22</v>
      </c>
      <c r="E638" s="627" t="s">
        <v>35</v>
      </c>
      <c r="F638" s="628" t="s">
        <v>77</v>
      </c>
      <c r="G638" s="630">
        <v>0.0</v>
      </c>
      <c r="H638" s="630">
        <v>0.0</v>
      </c>
      <c r="I638" s="631">
        <v>1.0</v>
      </c>
      <c r="J638" s="631">
        <v>1.0</v>
      </c>
      <c r="K638" s="632" t="s">
        <v>188</v>
      </c>
      <c r="L638" s="632" t="s">
        <v>198</v>
      </c>
      <c r="M638" s="632">
        <v>8.0</v>
      </c>
      <c r="N638" s="632">
        <v>8.0</v>
      </c>
      <c r="O638" s="633" t="s">
        <v>1396</v>
      </c>
      <c r="P638" s="14"/>
      <c r="Q638" s="452" t="str">
        <f>MATCH($D638,Reference!$J$5:$J$9,0)</f>
        <v>4</v>
      </c>
      <c r="R638" s="452" t="str">
        <f>MATCH($E638,Reference!$J$26:$J$32,0)</f>
        <v>5</v>
      </c>
      <c r="S638" s="452" t="str">
        <f>MATCH($F638,Reference!$J$45:$J$54,0)</f>
        <v>10</v>
      </c>
      <c r="T638" s="453" t="str">
        <f>MATCH($K638,Reference!$J$37:$J$39,0)</f>
        <v>3</v>
      </c>
      <c r="U638" s="454" t="str">
        <f t="shared" si="735"/>
        <v>0</v>
      </c>
      <c r="V638" s="454" t="str">
        <f t="shared" si="3"/>
        <v>0</v>
      </c>
      <c r="W638" s="454" t="str">
        <f t="shared" si="966"/>
        <v>0</v>
      </c>
      <c r="X638" s="454" t="str">
        <f t="shared" si="736"/>
        <v>0</v>
      </c>
      <c r="Y638" s="456" t="str">
        <f t="shared" si="5"/>
        <v>TRUE</v>
      </c>
      <c r="Z638" s="456" t="str">
        <f t="shared" si="6"/>
        <v>FALSE</v>
      </c>
      <c r="AA638" s="457" t="str">
        <f t="shared" ref="AA638:AB638" si="981">1-I638</f>
        <v>0%</v>
      </c>
      <c r="AB638" s="457" t="str">
        <f t="shared" si="981"/>
        <v>0%</v>
      </c>
      <c r="AC638" s="456" t="str">
        <f t="shared" si="8"/>
        <v>0</v>
      </c>
      <c r="AD638" s="458" t="str">
        <f t="shared" si="738"/>
        <v>0</v>
      </c>
      <c r="AE638" s="458" t="str">
        <f t="shared" si="10"/>
        <v>0</v>
      </c>
      <c r="AF638" s="459" t="str">
        <f t="shared" si="953"/>
        <v>0</v>
      </c>
      <c r="AG638" s="460"/>
      <c r="AH638" s="14"/>
      <c r="AI638" s="14"/>
      <c r="AJ638" s="14"/>
      <c r="AK638" s="14"/>
      <c r="AL638" s="14"/>
      <c r="AM638" s="14"/>
      <c r="AN638" s="14"/>
      <c r="AO638" s="14"/>
      <c r="AP638" s="14"/>
      <c r="AQ638" s="14"/>
      <c r="AR638" s="14"/>
      <c r="AS638" s="14"/>
      <c r="AT638" s="14"/>
    </row>
    <row r="639">
      <c r="A639" s="442"/>
      <c r="B639" s="634">
        <v>12.0</v>
      </c>
      <c r="C639" s="635" t="s">
        <v>1397</v>
      </c>
      <c r="D639" s="636" t="s">
        <v>22</v>
      </c>
      <c r="E639" s="636" t="s">
        <v>33</v>
      </c>
      <c r="F639" s="637" t="s">
        <v>77</v>
      </c>
      <c r="G639" s="638">
        <v>2.0</v>
      </c>
      <c r="H639" s="639">
        <v>0.0</v>
      </c>
      <c r="I639" s="640">
        <v>1.0</v>
      </c>
      <c r="J639" s="640">
        <v>1.0</v>
      </c>
      <c r="K639" s="636" t="s">
        <v>188</v>
      </c>
      <c r="L639" s="636"/>
      <c r="M639" s="637">
        <v>8.0</v>
      </c>
      <c r="N639" s="638">
        <v>8.0</v>
      </c>
      <c r="O639" s="642" t="s">
        <v>1398</v>
      </c>
      <c r="P639" s="681"/>
      <c r="Q639" s="452" t="str">
        <f>MATCH($D639,Reference!$J$5:$J$9,0)</f>
        <v>4</v>
      </c>
      <c r="R639" s="452" t="str">
        <f>MATCH($E639,Reference!$J$26:$J$32,0)</f>
        <v>2</v>
      </c>
      <c r="S639" s="452" t="str">
        <f>MATCH($F639,Reference!$J$45:$J$54,0)</f>
        <v>10</v>
      </c>
      <c r="T639" s="453" t="str">
        <f>MATCH($K639,Reference!$J$37:$J$39,0)</f>
        <v>3</v>
      </c>
      <c r="U639" s="454" t="str">
        <f t="shared" si="735"/>
        <v>2</v>
      </c>
      <c r="V639" s="454" t="str">
        <f t="shared" si="3"/>
        <v>1</v>
      </c>
      <c r="W639" s="454" t="str">
        <f t="shared" si="966"/>
        <v>0</v>
      </c>
      <c r="X639" s="454" t="str">
        <f t="shared" si="736"/>
        <v>2</v>
      </c>
      <c r="Y639" s="456" t="str">
        <f t="shared" si="5"/>
        <v>FALSE</v>
      </c>
      <c r="Z639" s="456" t="str">
        <f t="shared" si="6"/>
        <v>FALSE</v>
      </c>
      <c r="AA639" s="457" t="str">
        <f t="shared" ref="AA639:AB639" si="982">1-I639</f>
        <v>0%</v>
      </c>
      <c r="AB639" s="457" t="str">
        <f t="shared" si="982"/>
        <v>0%</v>
      </c>
      <c r="AC639" s="456" t="str">
        <f t="shared" si="8"/>
        <v>2</v>
      </c>
      <c r="AD639" s="458" t="str">
        <f t="shared" si="738"/>
        <v>0</v>
      </c>
      <c r="AE639" s="458" t="str">
        <f t="shared" si="10"/>
        <v>1</v>
      </c>
      <c r="AF639" s="459" t="str">
        <f t="shared" si="953"/>
        <v>0</v>
      </c>
      <c r="AG639" s="460"/>
      <c r="AH639" s="14"/>
      <c r="AI639" s="14"/>
      <c r="AJ639" s="14"/>
      <c r="AK639" s="14"/>
      <c r="AL639" s="14"/>
      <c r="AM639" s="14"/>
      <c r="AN639" s="14"/>
      <c r="AO639" s="14"/>
      <c r="AP639" s="14"/>
      <c r="AQ639" s="14"/>
      <c r="AR639" s="14"/>
      <c r="AS639" s="14"/>
      <c r="AT639" s="14"/>
    </row>
    <row r="640">
      <c r="A640" s="466"/>
      <c r="B640" s="634">
        <v>20.0</v>
      </c>
      <c r="C640" s="777" t="s">
        <v>1399</v>
      </c>
      <c r="D640" s="636" t="s">
        <v>22</v>
      </c>
      <c r="E640" s="636" t="s">
        <v>33</v>
      </c>
      <c r="F640" s="637" t="s">
        <v>77</v>
      </c>
      <c r="G640" s="638">
        <v>2.0</v>
      </c>
      <c r="H640" s="638">
        <v>0.0</v>
      </c>
      <c r="I640" s="640">
        <v>1.0</v>
      </c>
      <c r="J640" s="640">
        <v>1.0</v>
      </c>
      <c r="K640" s="636" t="s">
        <v>188</v>
      </c>
      <c r="L640" s="636"/>
      <c r="M640" s="637">
        <v>8.0</v>
      </c>
      <c r="N640" s="638">
        <v>8.0</v>
      </c>
      <c r="O640" s="642" t="s">
        <v>1400</v>
      </c>
      <c r="P640" s="14"/>
      <c r="Q640" s="452" t="str">
        <f>MATCH($D640,Reference!$J$5:$J$9,0)</f>
        <v>4</v>
      </c>
      <c r="R640" s="452" t="str">
        <f>MATCH($E640,Reference!$J$26:$J$32,0)</f>
        <v>2</v>
      </c>
      <c r="S640" s="452" t="str">
        <f>MATCH($F640,Reference!$J$45:$J$54,0)</f>
        <v>10</v>
      </c>
      <c r="T640" s="453" t="str">
        <f>MATCH($K640,Reference!$J$37:$J$39,0)</f>
        <v>3</v>
      </c>
      <c r="U640" s="454" t="str">
        <f t="shared" si="735"/>
        <v>2</v>
      </c>
      <c r="V640" s="454" t="str">
        <f t="shared" si="3"/>
        <v>1</v>
      </c>
      <c r="W640" s="454" t="str">
        <f t="shared" si="966"/>
        <v>0</v>
      </c>
      <c r="X640" s="454" t="str">
        <f t="shared" si="736"/>
        <v>2</v>
      </c>
      <c r="Y640" s="456" t="str">
        <f t="shared" si="5"/>
        <v>FALSE</v>
      </c>
      <c r="Z640" s="456" t="str">
        <f t="shared" si="6"/>
        <v>FALSE</v>
      </c>
      <c r="AA640" s="457" t="str">
        <f t="shared" ref="AA640:AB640" si="983">1-I640</f>
        <v>0%</v>
      </c>
      <c r="AB640" s="457" t="str">
        <f t="shared" si="983"/>
        <v>0%</v>
      </c>
      <c r="AC640" s="456" t="str">
        <f t="shared" si="8"/>
        <v>2</v>
      </c>
      <c r="AD640" s="458" t="str">
        <f t="shared" si="738"/>
        <v>0</v>
      </c>
      <c r="AE640" s="458" t="str">
        <f t="shared" si="10"/>
        <v>1</v>
      </c>
      <c r="AF640" s="459" t="str">
        <f t="shared" si="953"/>
        <v>0</v>
      </c>
      <c r="AG640" s="460"/>
      <c r="AH640" s="14"/>
      <c r="AI640" s="14"/>
      <c r="AJ640" s="14"/>
      <c r="AK640" s="14"/>
      <c r="AL640" s="14"/>
      <c r="AM640" s="14"/>
      <c r="AN640" s="14"/>
      <c r="AO640" s="14"/>
      <c r="AP640" s="14"/>
      <c r="AQ640" s="14"/>
      <c r="AR640" s="14"/>
      <c r="AS640" s="14"/>
      <c r="AT640" s="14"/>
    </row>
    <row r="641">
      <c r="A641" s="463"/>
      <c r="B641" s="669">
        <v>2.0</v>
      </c>
      <c r="C641" s="670" t="s">
        <v>1401</v>
      </c>
      <c r="D641" s="671" t="s">
        <v>23</v>
      </c>
      <c r="E641" s="671" t="s">
        <v>33</v>
      </c>
      <c r="F641" s="672" t="s">
        <v>77</v>
      </c>
      <c r="G641" s="673">
        <v>1.0</v>
      </c>
      <c r="H641" s="673">
        <v>0.0</v>
      </c>
      <c r="I641" s="674">
        <v>1.0</v>
      </c>
      <c r="J641" s="674"/>
      <c r="K641" s="675" t="s">
        <v>188</v>
      </c>
      <c r="L641" s="675"/>
      <c r="M641" s="675">
        <v>1.0</v>
      </c>
      <c r="N641" s="675">
        <v>1.0</v>
      </c>
      <c r="O641" s="676" t="s">
        <v>1402</v>
      </c>
      <c r="P641" s="14"/>
      <c r="Q641" s="452" t="str">
        <f>MATCH($D641,Reference!$J$5:$J$9,0)</f>
        <v>5</v>
      </c>
      <c r="R641" s="452" t="str">
        <f>MATCH($E641,Reference!$J$26:$J$32,0)</f>
        <v>2</v>
      </c>
      <c r="S641" s="452" t="str">
        <f>MATCH($F641,Reference!$J$45:$J$54,0)</f>
        <v>10</v>
      </c>
      <c r="T641" s="453" t="str">
        <f>MATCH($K641,Reference!$J$37:$J$39,0)</f>
        <v>3</v>
      </c>
      <c r="U641" s="454" t="str">
        <f t="shared" ref="U641:U699" si="985">MIN((G641+H641),1)</f>
        <v>1</v>
      </c>
      <c r="V641" s="454" t="str">
        <f t="shared" si="3"/>
        <v>1</v>
      </c>
      <c r="W641" s="454" t="str">
        <f t="shared" ref="W641:W648" si="986">(MIN(G641,2)+H641-U641)*1600</f>
        <v>0</v>
      </c>
      <c r="X641" s="454" t="str">
        <f t="shared" ref="X641:X699" si="987">MIN((G641+H641+1),2)</f>
        <v>2</v>
      </c>
      <c r="Y641" s="456" t="str">
        <f t="shared" si="5"/>
        <v>FALSE</v>
      </c>
      <c r="Z641" s="456" t="str">
        <f t="shared" si="6"/>
        <v>TRUE</v>
      </c>
      <c r="AA641" s="457" t="str">
        <f t="shared" ref="AA641:AB641" si="984">1-I641</f>
        <v>0%</v>
      </c>
      <c r="AB641" s="457" t="str">
        <f t="shared" si="984"/>
        <v>100%</v>
      </c>
      <c r="AC641" s="456" t="str">
        <f t="shared" si="8"/>
        <v>2</v>
      </c>
      <c r="AD641" s="458" t="str">
        <f t="shared" ref="AD641:AD699" si="989">MIN((H641),1)</f>
        <v>0</v>
      </c>
      <c r="AE641" s="458" t="str">
        <f t="shared" si="10"/>
        <v>1</v>
      </c>
      <c r="AF641" s="459" t="str">
        <f t="shared" ref="AF641:AF699" si="990">(MIN(H641,2)+G641-U641)*400</f>
        <v>0</v>
      </c>
      <c r="AG641" s="460"/>
      <c r="AH641" s="14"/>
      <c r="AI641" s="14"/>
      <c r="AJ641" s="14"/>
      <c r="AK641" s="14"/>
      <c r="AL641" s="14"/>
      <c r="AM641" s="14"/>
      <c r="AN641" s="14"/>
      <c r="AO641" s="14"/>
      <c r="AP641" s="14"/>
      <c r="AQ641" s="14"/>
      <c r="AR641" s="14"/>
      <c r="AS641" s="14"/>
      <c r="AT641" s="14"/>
    </row>
    <row r="642">
      <c r="A642" s="442"/>
      <c r="B642" s="669">
        <v>2.0</v>
      </c>
      <c r="C642" s="670" t="s">
        <v>1403</v>
      </c>
      <c r="D642" s="671" t="s">
        <v>23</v>
      </c>
      <c r="E642" s="671" t="s">
        <v>33</v>
      </c>
      <c r="F642" s="672" t="s">
        <v>77</v>
      </c>
      <c r="G642" s="673">
        <v>0.0</v>
      </c>
      <c r="H642" s="673">
        <v>0.0</v>
      </c>
      <c r="I642" s="674">
        <v>1.0</v>
      </c>
      <c r="J642" s="674"/>
      <c r="K642" s="675" t="s">
        <v>188</v>
      </c>
      <c r="L642" s="675"/>
      <c r="M642" s="675">
        <v>0.0</v>
      </c>
      <c r="N642" s="675">
        <v>4.0</v>
      </c>
      <c r="O642" s="676" t="s">
        <v>1404</v>
      </c>
      <c r="P642" s="14"/>
      <c r="Q642" s="452" t="str">
        <f>MATCH($D642,Reference!$J$5:$J$9,0)</f>
        <v>5</v>
      </c>
      <c r="R642" s="452" t="str">
        <f>MATCH($E642,Reference!$J$26:$J$32,0)</f>
        <v>2</v>
      </c>
      <c r="S642" s="452" t="str">
        <f>MATCH($F642,Reference!$J$45:$J$54,0)</f>
        <v>10</v>
      </c>
      <c r="T642" s="453" t="str">
        <f>MATCH($K642,Reference!$J$37:$J$39,0)</f>
        <v>3</v>
      </c>
      <c r="U642" s="454" t="str">
        <f t="shared" si="985"/>
        <v>0</v>
      </c>
      <c r="V642" s="454" t="str">
        <f t="shared" si="3"/>
        <v>0</v>
      </c>
      <c r="W642" s="454" t="str">
        <f t="shared" si="986"/>
        <v>0</v>
      </c>
      <c r="X642" s="454" t="str">
        <f t="shared" si="987"/>
        <v>1</v>
      </c>
      <c r="Y642" s="456" t="str">
        <f t="shared" si="5"/>
        <v>TRUE</v>
      </c>
      <c r="Z642" s="456" t="str">
        <f t="shared" si="6"/>
        <v>TRUE</v>
      </c>
      <c r="AA642" s="457" t="str">
        <f t="shared" ref="AA642:AB642" si="988">1-I642</f>
        <v>0%</v>
      </c>
      <c r="AB642" s="457" t="str">
        <f t="shared" si="988"/>
        <v>100%</v>
      </c>
      <c r="AC642" s="456" t="str">
        <f t="shared" si="8"/>
        <v>1</v>
      </c>
      <c r="AD642" s="458" t="str">
        <f t="shared" si="989"/>
        <v>0</v>
      </c>
      <c r="AE642" s="458" t="str">
        <f t="shared" si="10"/>
        <v>0</v>
      </c>
      <c r="AF642" s="459" t="str">
        <f t="shared" si="990"/>
        <v>0</v>
      </c>
      <c r="AG642" s="460"/>
      <c r="AH642" s="14"/>
      <c r="AI642" s="14"/>
      <c r="AJ642" s="14"/>
      <c r="AK642" s="14"/>
      <c r="AL642" s="14"/>
      <c r="AM642" s="14"/>
      <c r="AN642" s="14"/>
      <c r="AO642" s="14"/>
      <c r="AP642" s="14"/>
      <c r="AQ642" s="14"/>
      <c r="AR642" s="14"/>
      <c r="AS642" s="14"/>
      <c r="AT642" s="14"/>
    </row>
    <row r="643">
      <c r="A643" s="442"/>
      <c r="B643" s="669">
        <v>2.0</v>
      </c>
      <c r="C643" s="670" t="s">
        <v>1405</v>
      </c>
      <c r="D643" s="671" t="s">
        <v>23</v>
      </c>
      <c r="E643" s="671" t="s">
        <v>33</v>
      </c>
      <c r="F643" s="672" t="s">
        <v>77</v>
      </c>
      <c r="G643" s="673">
        <v>0.0</v>
      </c>
      <c r="H643" s="673">
        <v>0.0</v>
      </c>
      <c r="I643" s="674">
        <v>1.0</v>
      </c>
      <c r="J643" s="674"/>
      <c r="K643" s="671" t="s">
        <v>188</v>
      </c>
      <c r="L643" s="671"/>
      <c r="M643" s="672">
        <v>4.0</v>
      </c>
      <c r="N643" s="673">
        <v>4.0</v>
      </c>
      <c r="O643" s="676" t="s">
        <v>1406</v>
      </c>
      <c r="P643" s="14"/>
      <c r="Q643" s="452" t="str">
        <f>MATCH($D643,Reference!$J$5:$J$9,0)</f>
        <v>5</v>
      </c>
      <c r="R643" s="452" t="str">
        <f>MATCH($E643,Reference!$J$26:$J$32,0)</f>
        <v>2</v>
      </c>
      <c r="S643" s="452" t="str">
        <f>MATCH($F643,Reference!$J$45:$J$54,0)</f>
        <v>10</v>
      </c>
      <c r="T643" s="453" t="str">
        <f>MATCH($K643,Reference!$J$37:$J$39,0)</f>
        <v>3</v>
      </c>
      <c r="U643" s="454" t="str">
        <f t="shared" si="985"/>
        <v>0</v>
      </c>
      <c r="V643" s="454" t="str">
        <f t="shared" si="3"/>
        <v>0</v>
      </c>
      <c r="W643" s="454" t="str">
        <f t="shared" si="986"/>
        <v>0</v>
      </c>
      <c r="X643" s="454" t="str">
        <f t="shared" si="987"/>
        <v>1</v>
      </c>
      <c r="Y643" s="456" t="str">
        <f t="shared" si="5"/>
        <v>TRUE</v>
      </c>
      <c r="Z643" s="456" t="str">
        <f t="shared" si="6"/>
        <v>TRUE</v>
      </c>
      <c r="AA643" s="457" t="str">
        <f t="shared" ref="AA643:AB643" si="991">1-I643</f>
        <v>0%</v>
      </c>
      <c r="AB643" s="457" t="str">
        <f t="shared" si="991"/>
        <v>100%</v>
      </c>
      <c r="AC643" s="456" t="str">
        <f t="shared" si="8"/>
        <v>1</v>
      </c>
      <c r="AD643" s="458" t="str">
        <f t="shared" si="989"/>
        <v>0</v>
      </c>
      <c r="AE643" s="458" t="str">
        <f t="shared" si="10"/>
        <v>0</v>
      </c>
      <c r="AF643" s="459" t="str">
        <f t="shared" si="990"/>
        <v>0</v>
      </c>
      <c r="AG643" s="460"/>
      <c r="AH643" s="14"/>
      <c r="AI643" s="14"/>
      <c r="AJ643" s="14"/>
      <c r="AK643" s="14"/>
      <c r="AL643" s="14"/>
      <c r="AM643" s="14"/>
      <c r="AN643" s="14"/>
      <c r="AO643" s="14"/>
      <c r="AP643" s="14"/>
      <c r="AQ643" s="14"/>
      <c r="AR643" s="14"/>
      <c r="AS643" s="14"/>
      <c r="AT643" s="14"/>
    </row>
    <row r="644">
      <c r="A644" s="442"/>
      <c r="B644" s="669">
        <v>2.0</v>
      </c>
      <c r="C644" s="670" t="s">
        <v>1407</v>
      </c>
      <c r="D644" s="671" t="s">
        <v>23</v>
      </c>
      <c r="E644" s="671" t="s">
        <v>33</v>
      </c>
      <c r="F644" s="672" t="s">
        <v>77</v>
      </c>
      <c r="G644" s="707">
        <v>0.0</v>
      </c>
      <c r="H644" s="673">
        <v>0.0</v>
      </c>
      <c r="I644" s="674">
        <v>1.0</v>
      </c>
      <c r="J644" s="674"/>
      <c r="K644" s="671" t="s">
        <v>188</v>
      </c>
      <c r="L644" s="671"/>
      <c r="M644" s="672">
        <v>0.0</v>
      </c>
      <c r="N644" s="673">
        <v>4.0</v>
      </c>
      <c r="O644" s="676" t="s">
        <v>1408</v>
      </c>
      <c r="P644" s="14"/>
      <c r="Q644" s="452" t="str">
        <f>MATCH($D644,Reference!$J$5:$J$9,0)</f>
        <v>5</v>
      </c>
      <c r="R644" s="452" t="str">
        <f>MATCH($E644,Reference!$J$26:$J$32,0)</f>
        <v>2</v>
      </c>
      <c r="S644" s="452" t="str">
        <f>MATCH($F644,Reference!$J$45:$J$54,0)</f>
        <v>10</v>
      </c>
      <c r="T644" s="453" t="str">
        <f>MATCH($K644,Reference!$J$37:$J$39,0)</f>
        <v>3</v>
      </c>
      <c r="U644" s="454" t="str">
        <f t="shared" si="985"/>
        <v>0</v>
      </c>
      <c r="V644" s="454" t="str">
        <f t="shared" si="3"/>
        <v>0</v>
      </c>
      <c r="W644" s="454" t="str">
        <f t="shared" si="986"/>
        <v>0</v>
      </c>
      <c r="X644" s="454" t="str">
        <f t="shared" si="987"/>
        <v>1</v>
      </c>
      <c r="Y644" s="456" t="str">
        <f t="shared" si="5"/>
        <v>TRUE</v>
      </c>
      <c r="Z644" s="456" t="str">
        <f t="shared" si="6"/>
        <v>TRUE</v>
      </c>
      <c r="AA644" s="457" t="str">
        <f t="shared" ref="AA644:AB644" si="992">1-I644</f>
        <v>0%</v>
      </c>
      <c r="AB644" s="457" t="str">
        <f t="shared" si="992"/>
        <v>100%</v>
      </c>
      <c r="AC644" s="456" t="str">
        <f t="shared" si="8"/>
        <v>1</v>
      </c>
      <c r="AD644" s="458" t="str">
        <f t="shared" si="989"/>
        <v>0</v>
      </c>
      <c r="AE644" s="458" t="str">
        <f t="shared" si="10"/>
        <v>0</v>
      </c>
      <c r="AF644" s="459" t="str">
        <f t="shared" si="990"/>
        <v>0</v>
      </c>
      <c r="AG644" s="460"/>
      <c r="AH644" s="14"/>
      <c r="AI644" s="14"/>
      <c r="AJ644" s="14"/>
      <c r="AK644" s="14"/>
      <c r="AL644" s="14"/>
      <c r="AM644" s="14"/>
      <c r="AN644" s="14"/>
      <c r="AO644" s="14"/>
      <c r="AP644" s="14"/>
      <c r="AQ644" s="14"/>
      <c r="AR644" s="14"/>
      <c r="AS644" s="14"/>
      <c r="AT644" s="14"/>
    </row>
    <row r="645">
      <c r="A645" s="509"/>
      <c r="B645" s="659">
        <v>3.0</v>
      </c>
      <c r="C645" s="660" t="s">
        <v>1409</v>
      </c>
      <c r="D645" s="661" t="s">
        <v>23</v>
      </c>
      <c r="E645" s="662" t="s">
        <v>36</v>
      </c>
      <c r="F645" s="662" t="s">
        <v>77</v>
      </c>
      <c r="G645" s="663">
        <v>0.0</v>
      </c>
      <c r="H645" s="663">
        <v>0.0</v>
      </c>
      <c r="I645" s="664">
        <v>1.0</v>
      </c>
      <c r="J645" s="664">
        <v>1.0</v>
      </c>
      <c r="K645" s="662" t="s">
        <v>188</v>
      </c>
      <c r="L645" s="662"/>
      <c r="M645" s="662">
        <v>3.0</v>
      </c>
      <c r="N645" s="662">
        <v>4.0</v>
      </c>
      <c r="O645" s="665" t="s">
        <v>1410</v>
      </c>
      <c r="P645" s="14"/>
      <c r="Q645" s="452" t="str">
        <f>MATCH($D645,Reference!$J$5:$J$9,0)</f>
        <v>5</v>
      </c>
      <c r="R645" s="452" t="str">
        <f>MATCH($E645,Reference!$J$26:$J$32,0)</f>
        <v>7</v>
      </c>
      <c r="S645" s="452" t="str">
        <f>MATCH($F645,Reference!$J$45:$J$54,0)</f>
        <v>10</v>
      </c>
      <c r="T645" s="453" t="str">
        <f>MATCH($K645,Reference!$J$37:$J$39,0)</f>
        <v>3</v>
      </c>
      <c r="U645" s="454" t="str">
        <f t="shared" si="985"/>
        <v>0</v>
      </c>
      <c r="V645" s="454" t="str">
        <f t="shared" si="3"/>
        <v>0</v>
      </c>
      <c r="W645" s="454" t="str">
        <f t="shared" si="986"/>
        <v>0</v>
      </c>
      <c r="X645" s="454" t="str">
        <f t="shared" si="987"/>
        <v>1</v>
      </c>
      <c r="Y645" s="456" t="str">
        <f t="shared" si="5"/>
        <v>TRUE</v>
      </c>
      <c r="Z645" s="456" t="str">
        <f t="shared" si="6"/>
        <v>TRUE</v>
      </c>
      <c r="AA645" s="457" t="str">
        <f t="shared" ref="AA645:AB645" si="993">1-I645</f>
        <v>0%</v>
      </c>
      <c r="AB645" s="457" t="str">
        <f t="shared" si="993"/>
        <v>0%</v>
      </c>
      <c r="AC645" s="456" t="str">
        <f t="shared" si="8"/>
        <v>0</v>
      </c>
      <c r="AD645" s="458" t="str">
        <f t="shared" si="989"/>
        <v>0</v>
      </c>
      <c r="AE645" s="458" t="str">
        <f t="shared" si="10"/>
        <v>0</v>
      </c>
      <c r="AF645" s="459" t="str">
        <f t="shared" si="990"/>
        <v>0</v>
      </c>
      <c r="AG645" s="460"/>
      <c r="AH645" s="14"/>
      <c r="AI645" s="14"/>
      <c r="AJ645" s="14"/>
      <c r="AK645" s="14"/>
      <c r="AL645" s="14"/>
      <c r="AM645" s="14"/>
      <c r="AN645" s="14"/>
      <c r="AO645" s="14"/>
      <c r="AP645" s="14"/>
      <c r="AQ645" s="14"/>
      <c r="AR645" s="14"/>
      <c r="AS645" s="14"/>
      <c r="AT645" s="14"/>
    </row>
    <row r="646">
      <c r="A646" s="442"/>
      <c r="B646" s="659">
        <v>3.0</v>
      </c>
      <c r="C646" s="660" t="s">
        <v>1411</v>
      </c>
      <c r="D646" s="661" t="s">
        <v>23</v>
      </c>
      <c r="E646" s="662" t="s">
        <v>36</v>
      </c>
      <c r="F646" s="662" t="s">
        <v>77</v>
      </c>
      <c r="G646" s="663">
        <v>0.0</v>
      </c>
      <c r="H646" s="663">
        <v>0.0</v>
      </c>
      <c r="I646" s="664">
        <v>1.0</v>
      </c>
      <c r="J646" s="664">
        <v>1.0</v>
      </c>
      <c r="K646" s="662" t="s">
        <v>188</v>
      </c>
      <c r="L646" s="662"/>
      <c r="M646" s="662">
        <v>3.0</v>
      </c>
      <c r="N646" s="662">
        <v>4.0</v>
      </c>
      <c r="O646" s="665" t="s">
        <v>1412</v>
      </c>
      <c r="P646" s="14"/>
      <c r="Q646" s="452" t="str">
        <f>MATCH($D646,Reference!$J$5:$J$9,0)</f>
        <v>5</v>
      </c>
      <c r="R646" s="452" t="str">
        <f>MATCH($E646,Reference!$J$26:$J$32,0)</f>
        <v>7</v>
      </c>
      <c r="S646" s="452" t="str">
        <f>MATCH($F646,Reference!$J$45:$J$54,0)</f>
        <v>10</v>
      </c>
      <c r="T646" s="453" t="str">
        <f>MATCH($K646,Reference!$J$37:$J$39,0)</f>
        <v>3</v>
      </c>
      <c r="U646" s="454" t="str">
        <f t="shared" si="985"/>
        <v>0</v>
      </c>
      <c r="V646" s="454" t="str">
        <f t="shared" si="3"/>
        <v>0</v>
      </c>
      <c r="W646" s="454" t="str">
        <f t="shared" si="986"/>
        <v>0</v>
      </c>
      <c r="X646" s="454" t="str">
        <f t="shared" si="987"/>
        <v>1</v>
      </c>
      <c r="Y646" s="456" t="str">
        <f t="shared" si="5"/>
        <v>TRUE</v>
      </c>
      <c r="Z646" s="456" t="str">
        <f t="shared" si="6"/>
        <v>TRUE</v>
      </c>
      <c r="AA646" s="457" t="str">
        <f t="shared" ref="AA646:AB646" si="994">1-I646</f>
        <v>0%</v>
      </c>
      <c r="AB646" s="457" t="str">
        <f t="shared" si="994"/>
        <v>0%</v>
      </c>
      <c r="AC646" s="456" t="str">
        <f t="shared" si="8"/>
        <v>0</v>
      </c>
      <c r="AD646" s="458" t="str">
        <f t="shared" si="989"/>
        <v>0</v>
      </c>
      <c r="AE646" s="458" t="str">
        <f t="shared" si="10"/>
        <v>0</v>
      </c>
      <c r="AF646" s="459" t="str">
        <f t="shared" si="990"/>
        <v>0</v>
      </c>
      <c r="AG646" s="460"/>
      <c r="AH646" s="14"/>
      <c r="AI646" s="14"/>
      <c r="AJ646" s="14"/>
      <c r="AK646" s="14"/>
      <c r="AL646" s="14"/>
      <c r="AM646" s="14"/>
      <c r="AN646" s="14"/>
      <c r="AO646" s="14"/>
      <c r="AP646" s="14"/>
      <c r="AQ646" s="14"/>
      <c r="AR646" s="14"/>
      <c r="AS646" s="14"/>
      <c r="AT646" s="14"/>
    </row>
    <row r="647">
      <c r="A647" s="442"/>
      <c r="B647" s="669">
        <v>3.0</v>
      </c>
      <c r="C647" s="670" t="s">
        <v>1413</v>
      </c>
      <c r="D647" s="671" t="s">
        <v>23</v>
      </c>
      <c r="E647" s="671" t="s">
        <v>33</v>
      </c>
      <c r="F647" s="672" t="s">
        <v>77</v>
      </c>
      <c r="G647" s="673">
        <v>1.0</v>
      </c>
      <c r="H647" s="673">
        <v>0.0</v>
      </c>
      <c r="I647" s="674">
        <v>1.0</v>
      </c>
      <c r="J647" s="674"/>
      <c r="K647" s="675" t="s">
        <v>188</v>
      </c>
      <c r="L647" s="675" t="s">
        <v>238</v>
      </c>
      <c r="M647" s="675">
        <v>5.0</v>
      </c>
      <c r="N647" s="675">
        <v>5.0</v>
      </c>
      <c r="O647" s="676" t="s">
        <v>1414</v>
      </c>
      <c r="P647" s="14"/>
      <c r="Q647" s="452" t="str">
        <f>MATCH($D647,Reference!$J$5:$J$9,0)</f>
        <v>5</v>
      </c>
      <c r="R647" s="452" t="str">
        <f>MATCH($E647,Reference!$J$26:$J$32,0)</f>
        <v>2</v>
      </c>
      <c r="S647" s="452" t="str">
        <f>MATCH($F647,Reference!$J$45:$J$54,0)</f>
        <v>10</v>
      </c>
      <c r="T647" s="453" t="str">
        <f>MATCH($K647,Reference!$J$37:$J$39,0)</f>
        <v>3</v>
      </c>
      <c r="U647" s="454" t="str">
        <f t="shared" si="985"/>
        <v>1</v>
      </c>
      <c r="V647" s="454" t="str">
        <f t="shared" si="3"/>
        <v>1</v>
      </c>
      <c r="W647" s="454" t="str">
        <f t="shared" si="986"/>
        <v>0</v>
      </c>
      <c r="X647" s="454" t="str">
        <f t="shared" si="987"/>
        <v>2</v>
      </c>
      <c r="Y647" s="456" t="str">
        <f t="shared" si="5"/>
        <v>FALSE</v>
      </c>
      <c r="Z647" s="456" t="str">
        <f t="shared" si="6"/>
        <v>TRUE</v>
      </c>
      <c r="AA647" s="457" t="str">
        <f t="shared" ref="AA647:AB647" si="995">1-I647</f>
        <v>0%</v>
      </c>
      <c r="AB647" s="457" t="str">
        <f t="shared" si="995"/>
        <v>100%</v>
      </c>
      <c r="AC647" s="456" t="str">
        <f t="shared" si="8"/>
        <v>2</v>
      </c>
      <c r="AD647" s="458" t="str">
        <f t="shared" si="989"/>
        <v>0</v>
      </c>
      <c r="AE647" s="458" t="str">
        <f t="shared" si="10"/>
        <v>1</v>
      </c>
      <c r="AF647" s="459" t="str">
        <f t="shared" si="990"/>
        <v>0</v>
      </c>
      <c r="AG647" s="460"/>
      <c r="AH647" s="14"/>
      <c r="AI647" s="14"/>
      <c r="AJ647" s="14"/>
      <c r="AK647" s="14"/>
      <c r="AL647" s="14"/>
      <c r="AM647" s="14"/>
      <c r="AN647" s="14"/>
      <c r="AO647" s="14"/>
      <c r="AP647" s="14"/>
      <c r="AQ647" s="14"/>
      <c r="AR647" s="14"/>
      <c r="AS647" s="14"/>
      <c r="AT647" s="14"/>
    </row>
    <row r="648">
      <c r="A648" s="472"/>
      <c r="B648" s="669">
        <v>3.0</v>
      </c>
      <c r="C648" s="670" t="s">
        <v>1415</v>
      </c>
      <c r="D648" s="671" t="s">
        <v>23</v>
      </c>
      <c r="E648" s="671" t="s">
        <v>33</v>
      </c>
      <c r="F648" s="672" t="s">
        <v>77</v>
      </c>
      <c r="G648" s="673">
        <v>0.0</v>
      </c>
      <c r="H648" s="673">
        <v>0.0</v>
      </c>
      <c r="I648" s="728">
        <v>0.2</v>
      </c>
      <c r="J648" s="674"/>
      <c r="K648" s="675" t="s">
        <v>188</v>
      </c>
      <c r="L648" s="675"/>
      <c r="M648" s="675">
        <v>3.0</v>
      </c>
      <c r="N648" s="675">
        <v>3.0</v>
      </c>
      <c r="O648" s="676" t="s">
        <v>1416</v>
      </c>
      <c r="P648" s="14"/>
      <c r="Q648" s="452" t="str">
        <f>MATCH($D648,Reference!$J$5:$J$9,0)</f>
        <v>5</v>
      </c>
      <c r="R648" s="452" t="str">
        <f>MATCH($E648,Reference!$J$26:$J$32,0)</f>
        <v>2</v>
      </c>
      <c r="S648" s="452" t="str">
        <f>MATCH($F648,Reference!$J$45:$J$54,0)</f>
        <v>10</v>
      </c>
      <c r="T648" s="453" t="str">
        <f>MATCH($K648,Reference!$J$37:$J$39,0)</f>
        <v>3</v>
      </c>
      <c r="U648" s="454" t="str">
        <f t="shared" si="985"/>
        <v>0</v>
      </c>
      <c r="V648" s="454" t="str">
        <f t="shared" si="3"/>
        <v>0</v>
      </c>
      <c r="W648" s="454" t="str">
        <f t="shared" si="986"/>
        <v>0</v>
      </c>
      <c r="X648" s="454" t="str">
        <f t="shared" si="987"/>
        <v>1</v>
      </c>
      <c r="Y648" s="456" t="str">
        <f t="shared" si="5"/>
        <v>TRUE</v>
      </c>
      <c r="Z648" s="456" t="str">
        <f t="shared" si="6"/>
        <v>TRUE</v>
      </c>
      <c r="AA648" s="457" t="str">
        <f t="shared" ref="AA648:AB648" si="996">1-I648</f>
        <v>80%</v>
      </c>
      <c r="AB648" s="457" t="str">
        <f t="shared" si="996"/>
        <v>100%</v>
      </c>
      <c r="AC648" s="456" t="str">
        <f t="shared" si="8"/>
        <v>1.8</v>
      </c>
      <c r="AD648" s="458" t="str">
        <f t="shared" si="989"/>
        <v>0</v>
      </c>
      <c r="AE648" s="458" t="str">
        <f t="shared" si="10"/>
        <v>0</v>
      </c>
      <c r="AF648" s="459" t="str">
        <f t="shared" si="990"/>
        <v>0</v>
      </c>
      <c r="AG648" s="460"/>
      <c r="AH648" s="14"/>
      <c r="AI648" s="14"/>
      <c r="AJ648" s="14"/>
      <c r="AK648" s="14"/>
      <c r="AL648" s="14"/>
      <c r="AM648" s="14"/>
      <c r="AN648" s="14"/>
      <c r="AO648" s="14"/>
      <c r="AP648" s="14"/>
      <c r="AQ648" s="14"/>
      <c r="AR648" s="14"/>
      <c r="AS648" s="14"/>
      <c r="AT648" s="14"/>
    </row>
    <row r="649">
      <c r="A649" s="442"/>
      <c r="B649" s="778">
        <v>4.0</v>
      </c>
      <c r="C649" s="779" t="s">
        <v>1417</v>
      </c>
      <c r="D649" s="780" t="s">
        <v>23</v>
      </c>
      <c r="E649" s="780" t="s">
        <v>41</v>
      </c>
      <c r="F649" s="781" t="s">
        <v>77</v>
      </c>
      <c r="G649" s="782" t="str">
        <f>IF(Summary!$Y$25&gt;=VLOOKUP(C649,Reference!$N$41:$O$70,2,0),1,0)</f>
        <v>1</v>
      </c>
      <c r="H649" s="782">
        <v>0.0</v>
      </c>
      <c r="I649" s="783">
        <v>1.0</v>
      </c>
      <c r="J649" s="783"/>
      <c r="K649" s="784" t="s">
        <v>188</v>
      </c>
      <c r="L649" s="784"/>
      <c r="M649" s="784">
        <v>1.0</v>
      </c>
      <c r="N649" s="784">
        <v>7.0</v>
      </c>
      <c r="O649" s="785" t="s">
        <v>1418</v>
      </c>
      <c r="P649" s="14"/>
      <c r="Q649" s="452" t="str">
        <f>MATCH($D649,Reference!$J$5:$J$9,0)</f>
        <v>5</v>
      </c>
      <c r="R649" s="452" t="str">
        <f>MATCH($E649,Reference!$J$26:$J$32,0)</f>
        <v>4</v>
      </c>
      <c r="S649" s="452" t="str">
        <f>MATCH($F649,Reference!$J$45:$J$54,0)</f>
        <v>10</v>
      </c>
      <c r="T649" s="453" t="str">
        <f>MATCH($K649,Reference!$J$37:$J$39,0)</f>
        <v>3</v>
      </c>
      <c r="U649" s="454" t="str">
        <f t="shared" si="985"/>
        <v>1</v>
      </c>
      <c r="V649" s="454" t="str">
        <f t="shared" si="3"/>
        <v>1</v>
      </c>
      <c r="W649" s="455">
        <v>0.0</v>
      </c>
      <c r="X649" s="454" t="str">
        <f t="shared" si="987"/>
        <v>2</v>
      </c>
      <c r="Y649" s="456" t="str">
        <f t="shared" si="5"/>
        <v>FALSE</v>
      </c>
      <c r="Z649" s="456" t="str">
        <f t="shared" si="6"/>
        <v>TRUE</v>
      </c>
      <c r="AA649" s="457" t="str">
        <f t="shared" ref="AA649:AB649" si="997">1-I649</f>
        <v>0%</v>
      </c>
      <c r="AB649" s="457" t="str">
        <f t="shared" si="997"/>
        <v>100%</v>
      </c>
      <c r="AC649" s="456" t="str">
        <f t="shared" si="8"/>
        <v>2</v>
      </c>
      <c r="AD649" s="458" t="str">
        <f t="shared" si="989"/>
        <v>0</v>
      </c>
      <c r="AE649" s="458" t="str">
        <f t="shared" si="10"/>
        <v>1</v>
      </c>
      <c r="AF649" s="459" t="str">
        <f t="shared" si="990"/>
        <v>0</v>
      </c>
      <c r="AG649" s="460"/>
      <c r="AH649" s="14"/>
      <c r="AI649" s="14"/>
      <c r="AJ649" s="14"/>
      <c r="AK649" s="14"/>
      <c r="AL649" s="14"/>
      <c r="AM649" s="14"/>
      <c r="AN649" s="14"/>
      <c r="AO649" s="14"/>
      <c r="AP649" s="14"/>
      <c r="AQ649" s="14"/>
      <c r="AR649" s="14"/>
      <c r="AS649" s="14"/>
      <c r="AT649" s="14"/>
    </row>
    <row r="650">
      <c r="A650" s="509"/>
      <c r="B650" s="659">
        <v>4.0</v>
      </c>
      <c r="C650" s="660" t="s">
        <v>1419</v>
      </c>
      <c r="D650" s="661" t="s">
        <v>23</v>
      </c>
      <c r="E650" s="662" t="s">
        <v>36</v>
      </c>
      <c r="F650" s="662" t="s">
        <v>77</v>
      </c>
      <c r="G650" s="663">
        <v>0.0</v>
      </c>
      <c r="H650" s="663">
        <v>0.0</v>
      </c>
      <c r="I650" s="664">
        <v>1.0</v>
      </c>
      <c r="J650" s="664">
        <v>1.0</v>
      </c>
      <c r="K650" s="662" t="s">
        <v>188</v>
      </c>
      <c r="L650" s="662"/>
      <c r="M650" s="662">
        <v>4.0</v>
      </c>
      <c r="N650" s="662">
        <v>4.0</v>
      </c>
      <c r="O650" s="665" t="s">
        <v>1420</v>
      </c>
      <c r="P650" s="14"/>
      <c r="Q650" s="452" t="str">
        <f>MATCH($D650,Reference!$J$5:$J$9,0)</f>
        <v>5</v>
      </c>
      <c r="R650" s="452" t="str">
        <f>MATCH($E650,Reference!$J$26:$J$32,0)</f>
        <v>7</v>
      </c>
      <c r="S650" s="452" t="str">
        <f>MATCH($F650,Reference!$J$45:$J$54,0)</f>
        <v>10</v>
      </c>
      <c r="T650" s="453" t="str">
        <f>MATCH($K650,Reference!$J$37:$J$39,0)</f>
        <v>3</v>
      </c>
      <c r="U650" s="454" t="str">
        <f t="shared" si="985"/>
        <v>0</v>
      </c>
      <c r="V650" s="454" t="str">
        <f t="shared" si="3"/>
        <v>0</v>
      </c>
      <c r="W650" s="454" t="str">
        <f t="shared" ref="W650:W654" si="999">(MIN(G650,2)+H650-U650)*1600</f>
        <v>0</v>
      </c>
      <c r="X650" s="454" t="str">
        <f t="shared" si="987"/>
        <v>1</v>
      </c>
      <c r="Y650" s="456" t="str">
        <f t="shared" si="5"/>
        <v>TRUE</v>
      </c>
      <c r="Z650" s="456" t="str">
        <f t="shared" si="6"/>
        <v>TRUE</v>
      </c>
      <c r="AA650" s="457" t="str">
        <f t="shared" ref="AA650:AB650" si="998">1-I650</f>
        <v>0%</v>
      </c>
      <c r="AB650" s="457" t="str">
        <f t="shared" si="998"/>
        <v>0%</v>
      </c>
      <c r="AC650" s="456" t="str">
        <f t="shared" si="8"/>
        <v>0</v>
      </c>
      <c r="AD650" s="458" t="str">
        <f t="shared" si="989"/>
        <v>0</v>
      </c>
      <c r="AE650" s="458" t="str">
        <f t="shared" si="10"/>
        <v>0</v>
      </c>
      <c r="AF650" s="459" t="str">
        <f t="shared" si="990"/>
        <v>0</v>
      </c>
      <c r="AG650" s="460"/>
      <c r="AH650" s="14"/>
      <c r="AI650" s="14"/>
      <c r="AJ650" s="14"/>
      <c r="AK650" s="14"/>
      <c r="AL650" s="14"/>
      <c r="AM650" s="14"/>
      <c r="AN650" s="14"/>
      <c r="AO650" s="14"/>
      <c r="AP650" s="14"/>
      <c r="AQ650" s="14"/>
      <c r="AR650" s="14"/>
      <c r="AS650" s="14"/>
      <c r="AT650" s="14"/>
    </row>
    <row r="651">
      <c r="A651" s="682"/>
      <c r="B651" s="786">
        <v>4.0</v>
      </c>
      <c r="C651" s="787" t="s">
        <v>1421</v>
      </c>
      <c r="D651" s="788" t="s">
        <v>23</v>
      </c>
      <c r="E651" s="788" t="s">
        <v>37</v>
      </c>
      <c r="F651" s="789" t="s">
        <v>77</v>
      </c>
      <c r="G651" s="790">
        <v>0.0</v>
      </c>
      <c r="H651" s="791">
        <v>0.0</v>
      </c>
      <c r="I651" s="792">
        <v>1.0</v>
      </c>
      <c r="J651" s="792"/>
      <c r="K651" s="793" t="s">
        <v>188</v>
      </c>
      <c r="L651" s="793" t="s">
        <v>498</v>
      </c>
      <c r="M651" s="793">
        <v>2.0</v>
      </c>
      <c r="N651" s="793">
        <v>4.0</v>
      </c>
      <c r="O651" s="794" t="s">
        <v>1422</v>
      </c>
      <c r="P651" s="14"/>
      <c r="Q651" s="452" t="str">
        <f>MATCH($D651,Reference!$J$5:$J$9,0)</f>
        <v>5</v>
      </c>
      <c r="R651" s="452" t="str">
        <f>MATCH($E651,Reference!$J$26:$J$32,0)</f>
        <v>3</v>
      </c>
      <c r="S651" s="452" t="str">
        <f>MATCH($F651,Reference!$J$45:$J$54,0)</f>
        <v>10</v>
      </c>
      <c r="T651" s="453" t="str">
        <f>MATCH($K651,Reference!$J$37:$J$39,0)</f>
        <v>3</v>
      </c>
      <c r="U651" s="454" t="str">
        <f t="shared" si="985"/>
        <v>0</v>
      </c>
      <c r="V651" s="454" t="str">
        <f t="shared" si="3"/>
        <v>0</v>
      </c>
      <c r="W651" s="454" t="str">
        <f t="shared" si="999"/>
        <v>0</v>
      </c>
      <c r="X651" s="454" t="str">
        <f t="shared" si="987"/>
        <v>1</v>
      </c>
      <c r="Y651" s="456" t="str">
        <f t="shared" si="5"/>
        <v>TRUE</v>
      </c>
      <c r="Z651" s="456" t="str">
        <f t="shared" si="6"/>
        <v>TRUE</v>
      </c>
      <c r="AA651" s="457" t="str">
        <f t="shared" ref="AA651:AB651" si="1000">1-I651</f>
        <v>0%</v>
      </c>
      <c r="AB651" s="457" t="str">
        <f t="shared" si="1000"/>
        <v>100%</v>
      </c>
      <c r="AC651" s="456" t="str">
        <f t="shared" si="8"/>
        <v>1</v>
      </c>
      <c r="AD651" s="458" t="str">
        <f t="shared" si="989"/>
        <v>0</v>
      </c>
      <c r="AE651" s="458" t="str">
        <f t="shared" si="10"/>
        <v>0</v>
      </c>
      <c r="AF651" s="459" t="str">
        <f t="shared" si="990"/>
        <v>0</v>
      </c>
      <c r="AG651" s="460"/>
      <c r="AH651" s="14"/>
      <c r="AI651" s="14"/>
      <c r="AJ651" s="14"/>
      <c r="AK651" s="14"/>
      <c r="AL651" s="14"/>
      <c r="AM651" s="14"/>
      <c r="AN651" s="14"/>
      <c r="AO651" s="14"/>
      <c r="AP651" s="14"/>
      <c r="AQ651" s="14"/>
      <c r="AR651" s="14"/>
      <c r="AS651" s="14"/>
      <c r="AT651" s="14"/>
    </row>
    <row r="652">
      <c r="A652" s="509"/>
      <c r="B652" s="648">
        <v>5.0</v>
      </c>
      <c r="C652" s="649" t="s">
        <v>1423</v>
      </c>
      <c r="D652" s="650" t="s">
        <v>23</v>
      </c>
      <c r="E652" s="650" t="s">
        <v>35</v>
      </c>
      <c r="F652" s="651" t="s">
        <v>77</v>
      </c>
      <c r="G652" s="653">
        <v>0.0</v>
      </c>
      <c r="H652" s="652">
        <v>0.0</v>
      </c>
      <c r="I652" s="654">
        <v>1.0</v>
      </c>
      <c r="J652" s="654"/>
      <c r="K652" s="703" t="s">
        <v>188</v>
      </c>
      <c r="L652" s="703" t="s">
        <v>198</v>
      </c>
      <c r="M652" s="703">
        <v>3.0</v>
      </c>
      <c r="N652" s="703">
        <v>4.0</v>
      </c>
      <c r="O652" s="655" t="s">
        <v>1424</v>
      </c>
      <c r="P652" s="14"/>
      <c r="Q652" s="452" t="str">
        <f>MATCH($D652,Reference!$J$5:$J$9,0)</f>
        <v>5</v>
      </c>
      <c r="R652" s="452" t="str">
        <f>MATCH($E652,Reference!$J$26:$J$32,0)</f>
        <v>5</v>
      </c>
      <c r="S652" s="452" t="str">
        <f>MATCH($F652,Reference!$J$45:$J$54,0)</f>
        <v>10</v>
      </c>
      <c r="T652" s="453" t="str">
        <f>MATCH($K652,Reference!$J$37:$J$39,0)</f>
        <v>3</v>
      </c>
      <c r="U652" s="454" t="str">
        <f t="shared" si="985"/>
        <v>0</v>
      </c>
      <c r="V652" s="454" t="str">
        <f t="shared" si="3"/>
        <v>0</v>
      </c>
      <c r="W652" s="454" t="str">
        <f t="shared" si="999"/>
        <v>0</v>
      </c>
      <c r="X652" s="454" t="str">
        <f t="shared" si="987"/>
        <v>1</v>
      </c>
      <c r="Y652" s="456" t="str">
        <f t="shared" si="5"/>
        <v>TRUE</v>
      </c>
      <c r="Z652" s="456" t="str">
        <f t="shared" si="6"/>
        <v>TRUE</v>
      </c>
      <c r="AA652" s="457" t="str">
        <f t="shared" ref="AA652:AB652" si="1001">1-I652</f>
        <v>0%</v>
      </c>
      <c r="AB652" s="457" t="str">
        <f t="shared" si="1001"/>
        <v>100%</v>
      </c>
      <c r="AC652" s="456" t="str">
        <f t="shared" si="8"/>
        <v>1</v>
      </c>
      <c r="AD652" s="458" t="str">
        <f t="shared" si="989"/>
        <v>0</v>
      </c>
      <c r="AE652" s="458" t="str">
        <f t="shared" si="10"/>
        <v>0</v>
      </c>
      <c r="AF652" s="459" t="str">
        <f t="shared" si="990"/>
        <v>0</v>
      </c>
      <c r="AG652" s="460"/>
      <c r="AH652" s="14"/>
      <c r="AI652" s="14"/>
      <c r="AJ652" s="14"/>
      <c r="AK652" s="14"/>
      <c r="AL652" s="14"/>
      <c r="AM652" s="14"/>
      <c r="AN652" s="14"/>
      <c r="AO652" s="14"/>
      <c r="AP652" s="14"/>
      <c r="AQ652" s="14"/>
      <c r="AR652" s="14"/>
      <c r="AS652" s="14"/>
      <c r="AT652" s="14"/>
    </row>
    <row r="653">
      <c r="A653" s="442"/>
      <c r="B653" s="669">
        <v>5.0</v>
      </c>
      <c r="C653" s="670" t="s">
        <v>1425</v>
      </c>
      <c r="D653" s="671" t="s">
        <v>23</v>
      </c>
      <c r="E653" s="671" t="s">
        <v>33</v>
      </c>
      <c r="F653" s="672" t="s">
        <v>77</v>
      </c>
      <c r="G653" s="707">
        <v>0.0</v>
      </c>
      <c r="H653" s="673">
        <v>0.0</v>
      </c>
      <c r="I653" s="674">
        <v>1.0</v>
      </c>
      <c r="J653" s="674"/>
      <c r="K653" s="675" t="s">
        <v>188</v>
      </c>
      <c r="L653" s="675" t="s">
        <v>660</v>
      </c>
      <c r="M653" s="675">
        <v>5.0</v>
      </c>
      <c r="N653" s="675">
        <v>4.0</v>
      </c>
      <c r="O653" s="676" t="s">
        <v>1426</v>
      </c>
      <c r="P653" s="681"/>
      <c r="Q653" s="452" t="str">
        <f>MATCH($D653,Reference!$J$5:$J$9,0)</f>
        <v>5</v>
      </c>
      <c r="R653" s="452" t="str">
        <f>MATCH($E653,Reference!$J$26:$J$32,0)</f>
        <v>2</v>
      </c>
      <c r="S653" s="452" t="str">
        <f>MATCH($F653,Reference!$J$45:$J$54,0)</f>
        <v>10</v>
      </c>
      <c r="T653" s="453" t="str">
        <f>MATCH($K653,Reference!$J$37:$J$39,0)</f>
        <v>3</v>
      </c>
      <c r="U653" s="454" t="str">
        <f t="shared" si="985"/>
        <v>0</v>
      </c>
      <c r="V653" s="454" t="str">
        <f t="shared" si="3"/>
        <v>0</v>
      </c>
      <c r="W653" s="454" t="str">
        <f t="shared" si="999"/>
        <v>0</v>
      </c>
      <c r="X653" s="454" t="str">
        <f t="shared" si="987"/>
        <v>1</v>
      </c>
      <c r="Y653" s="456" t="str">
        <f t="shared" si="5"/>
        <v>TRUE</v>
      </c>
      <c r="Z653" s="456" t="str">
        <f t="shared" si="6"/>
        <v>TRUE</v>
      </c>
      <c r="AA653" s="457" t="str">
        <f t="shared" ref="AA653:AB653" si="1002">1-I653</f>
        <v>0%</v>
      </c>
      <c r="AB653" s="457" t="str">
        <f t="shared" si="1002"/>
        <v>100%</v>
      </c>
      <c r="AC653" s="456" t="str">
        <f t="shared" si="8"/>
        <v>1</v>
      </c>
      <c r="AD653" s="458" t="str">
        <f t="shared" si="989"/>
        <v>0</v>
      </c>
      <c r="AE653" s="458" t="str">
        <f t="shared" si="10"/>
        <v>0</v>
      </c>
      <c r="AF653" s="459" t="str">
        <f t="shared" si="990"/>
        <v>0</v>
      </c>
      <c r="AG653" s="460"/>
      <c r="AH653" s="14"/>
      <c r="AI653" s="14"/>
      <c r="AJ653" s="14"/>
      <c r="AK653" s="14"/>
      <c r="AL653" s="14"/>
      <c r="AM653" s="14"/>
      <c r="AN653" s="14"/>
      <c r="AO653" s="14"/>
      <c r="AP653" s="14"/>
      <c r="AQ653" s="14"/>
      <c r="AR653" s="14"/>
      <c r="AS653" s="14"/>
      <c r="AT653" s="14"/>
    </row>
    <row r="654">
      <c r="A654" s="682"/>
      <c r="B654" s="786">
        <v>5.0</v>
      </c>
      <c r="C654" s="795" t="s">
        <v>1427</v>
      </c>
      <c r="D654" s="788" t="s">
        <v>23</v>
      </c>
      <c r="E654" s="788" t="s">
        <v>37</v>
      </c>
      <c r="F654" s="789" t="s">
        <v>77</v>
      </c>
      <c r="G654" s="791">
        <v>0.0</v>
      </c>
      <c r="H654" s="791">
        <v>0.0</v>
      </c>
      <c r="I654" s="792">
        <v>1.0</v>
      </c>
      <c r="J654" s="792"/>
      <c r="K654" s="793" t="s">
        <v>188</v>
      </c>
      <c r="L654" s="793"/>
      <c r="M654" s="793">
        <v>5.0</v>
      </c>
      <c r="N654" s="793">
        <v>5.0</v>
      </c>
      <c r="O654" s="794" t="s">
        <v>1428</v>
      </c>
      <c r="P654" s="14"/>
      <c r="Q654" s="452" t="str">
        <f>MATCH($D654,Reference!$J$5:$J$9,0)</f>
        <v>5</v>
      </c>
      <c r="R654" s="452" t="str">
        <f>MATCH($E654,Reference!$J$26:$J$32,0)</f>
        <v>3</v>
      </c>
      <c r="S654" s="452" t="str">
        <f>MATCH($F654,Reference!$J$45:$J$54,0)</f>
        <v>10</v>
      </c>
      <c r="T654" s="453" t="str">
        <f>MATCH($K654,Reference!$J$37:$J$39,0)</f>
        <v>3</v>
      </c>
      <c r="U654" s="454" t="str">
        <f t="shared" si="985"/>
        <v>0</v>
      </c>
      <c r="V654" s="454" t="str">
        <f t="shared" si="3"/>
        <v>0</v>
      </c>
      <c r="W654" s="454" t="str">
        <f t="shared" si="999"/>
        <v>0</v>
      </c>
      <c r="X654" s="454" t="str">
        <f t="shared" si="987"/>
        <v>1</v>
      </c>
      <c r="Y654" s="456" t="str">
        <f t="shared" si="5"/>
        <v>TRUE</v>
      </c>
      <c r="Z654" s="456" t="str">
        <f t="shared" si="6"/>
        <v>TRUE</v>
      </c>
      <c r="AA654" s="457" t="str">
        <f t="shared" ref="AA654:AB654" si="1003">1-I654</f>
        <v>0%</v>
      </c>
      <c r="AB654" s="457" t="str">
        <f t="shared" si="1003"/>
        <v>100%</v>
      </c>
      <c r="AC654" s="456" t="str">
        <f t="shared" si="8"/>
        <v>1</v>
      </c>
      <c r="AD654" s="458" t="str">
        <f t="shared" si="989"/>
        <v>0</v>
      </c>
      <c r="AE654" s="458" t="str">
        <f t="shared" si="10"/>
        <v>0</v>
      </c>
      <c r="AF654" s="459" t="str">
        <f t="shared" si="990"/>
        <v>0</v>
      </c>
      <c r="AG654" s="460"/>
      <c r="AH654" s="14"/>
      <c r="AI654" s="14"/>
      <c r="AJ654" s="14"/>
      <c r="AK654" s="14"/>
      <c r="AL654" s="14"/>
      <c r="AM654" s="14"/>
      <c r="AN654" s="14"/>
      <c r="AO654" s="14"/>
      <c r="AP654" s="14"/>
      <c r="AQ654" s="14"/>
      <c r="AR654" s="14"/>
      <c r="AS654" s="14"/>
      <c r="AT654" s="14"/>
    </row>
    <row r="655">
      <c r="A655" s="463"/>
      <c r="B655" s="778">
        <v>5.0</v>
      </c>
      <c r="C655" s="779" t="s">
        <v>1429</v>
      </c>
      <c r="D655" s="780" t="s">
        <v>23</v>
      </c>
      <c r="E655" s="780" t="s">
        <v>41</v>
      </c>
      <c r="F655" s="781" t="s">
        <v>77</v>
      </c>
      <c r="G655" s="782" t="str">
        <f>IF(Summary!$Y$25&gt;=VLOOKUP(C655,Reference!$N$41:$O$70,2,0),1,0)</f>
        <v>1</v>
      </c>
      <c r="H655" s="782">
        <v>0.0</v>
      </c>
      <c r="I655" s="783">
        <v>1.0</v>
      </c>
      <c r="J655" s="783"/>
      <c r="K655" s="784" t="s">
        <v>188</v>
      </c>
      <c r="L655" s="784"/>
      <c r="M655" s="784">
        <v>4.0</v>
      </c>
      <c r="N655" s="784">
        <v>7.0</v>
      </c>
      <c r="O655" s="785" t="s">
        <v>1430</v>
      </c>
      <c r="P655" s="14"/>
      <c r="Q655" s="452" t="str">
        <f>MATCH($D655,Reference!$J$5:$J$9,0)</f>
        <v>5</v>
      </c>
      <c r="R655" s="452" t="str">
        <f>MATCH($E655,Reference!$J$26:$J$32,0)</f>
        <v>4</v>
      </c>
      <c r="S655" s="452" t="str">
        <f>MATCH($F655,Reference!$J$45:$J$54,0)</f>
        <v>10</v>
      </c>
      <c r="T655" s="453" t="str">
        <f>MATCH($K655,Reference!$J$37:$J$39,0)</f>
        <v>3</v>
      </c>
      <c r="U655" s="454" t="str">
        <f t="shared" si="985"/>
        <v>1</v>
      </c>
      <c r="V655" s="454" t="str">
        <f t="shared" si="3"/>
        <v>1</v>
      </c>
      <c r="W655" s="455">
        <v>0.0</v>
      </c>
      <c r="X655" s="454" t="str">
        <f t="shared" si="987"/>
        <v>2</v>
      </c>
      <c r="Y655" s="456" t="str">
        <f t="shared" si="5"/>
        <v>FALSE</v>
      </c>
      <c r="Z655" s="456" t="str">
        <f t="shared" si="6"/>
        <v>TRUE</v>
      </c>
      <c r="AA655" s="457" t="str">
        <f t="shared" ref="AA655:AB655" si="1004">1-I655</f>
        <v>0%</v>
      </c>
      <c r="AB655" s="457" t="str">
        <f t="shared" si="1004"/>
        <v>100%</v>
      </c>
      <c r="AC655" s="456" t="str">
        <f t="shared" si="8"/>
        <v>2</v>
      </c>
      <c r="AD655" s="458" t="str">
        <f t="shared" si="989"/>
        <v>0</v>
      </c>
      <c r="AE655" s="458" t="str">
        <f t="shared" si="10"/>
        <v>1</v>
      </c>
      <c r="AF655" s="459" t="str">
        <f t="shared" si="990"/>
        <v>0</v>
      </c>
      <c r="AG655" s="460"/>
      <c r="AH655" s="14"/>
      <c r="AI655" s="14"/>
      <c r="AJ655" s="14"/>
      <c r="AK655" s="14"/>
      <c r="AL655" s="14"/>
      <c r="AM655" s="14"/>
      <c r="AN655" s="14"/>
      <c r="AO655" s="14"/>
      <c r="AP655" s="14"/>
      <c r="AQ655" s="14"/>
      <c r="AR655" s="14"/>
      <c r="AS655" s="14"/>
      <c r="AT655" s="14"/>
    </row>
    <row r="656">
      <c r="A656" s="463"/>
      <c r="B656" s="669">
        <v>5.0</v>
      </c>
      <c r="C656" s="670" t="s">
        <v>1431</v>
      </c>
      <c r="D656" s="671" t="s">
        <v>23</v>
      </c>
      <c r="E656" s="671" t="s">
        <v>33</v>
      </c>
      <c r="F656" s="672" t="s">
        <v>77</v>
      </c>
      <c r="G656" s="707">
        <v>0.0</v>
      </c>
      <c r="H656" s="673">
        <v>0.0</v>
      </c>
      <c r="I656" s="674">
        <v>1.0</v>
      </c>
      <c r="J656" s="674"/>
      <c r="K656" s="675" t="s">
        <v>188</v>
      </c>
      <c r="L656" s="675"/>
      <c r="M656" s="675">
        <v>5.0</v>
      </c>
      <c r="N656" s="675">
        <v>4.0</v>
      </c>
      <c r="O656" s="676" t="s">
        <v>1432</v>
      </c>
      <c r="P656" s="14"/>
      <c r="Q656" s="452" t="str">
        <f>MATCH($D656,Reference!$J$5:$J$9,0)</f>
        <v>5</v>
      </c>
      <c r="R656" s="452" t="str">
        <f>MATCH($E656,Reference!$J$26:$J$32,0)</f>
        <v>2</v>
      </c>
      <c r="S656" s="452" t="str">
        <f>MATCH($F656,Reference!$J$45:$J$54,0)</f>
        <v>10</v>
      </c>
      <c r="T656" s="453" t="str">
        <f>MATCH($K656,Reference!$J$37:$J$39,0)</f>
        <v>3</v>
      </c>
      <c r="U656" s="454" t="str">
        <f t="shared" si="985"/>
        <v>0</v>
      </c>
      <c r="V656" s="454" t="str">
        <f t="shared" si="3"/>
        <v>0</v>
      </c>
      <c r="W656" s="454" t="str">
        <f t="shared" ref="W656:W658" si="1006">(MIN(G656,2)+H656-U656)*1600</f>
        <v>0</v>
      </c>
      <c r="X656" s="454" t="str">
        <f t="shared" si="987"/>
        <v>1</v>
      </c>
      <c r="Y656" s="456" t="str">
        <f t="shared" si="5"/>
        <v>TRUE</v>
      </c>
      <c r="Z656" s="456" t="str">
        <f t="shared" si="6"/>
        <v>TRUE</v>
      </c>
      <c r="AA656" s="457" t="str">
        <f t="shared" ref="AA656:AB656" si="1005">1-I656</f>
        <v>0%</v>
      </c>
      <c r="AB656" s="457" t="str">
        <f t="shared" si="1005"/>
        <v>100%</v>
      </c>
      <c r="AC656" s="456" t="str">
        <f t="shared" si="8"/>
        <v>1</v>
      </c>
      <c r="AD656" s="458" t="str">
        <f t="shared" si="989"/>
        <v>0</v>
      </c>
      <c r="AE656" s="458" t="str">
        <f t="shared" si="10"/>
        <v>0</v>
      </c>
      <c r="AF656" s="459" t="str">
        <f t="shared" si="990"/>
        <v>0</v>
      </c>
      <c r="AG656" s="460"/>
      <c r="AH656" s="14"/>
      <c r="AI656" s="14"/>
      <c r="AJ656" s="14"/>
      <c r="AK656" s="14"/>
      <c r="AL656" s="14"/>
      <c r="AM656" s="14"/>
      <c r="AN656" s="14"/>
      <c r="AO656" s="14"/>
      <c r="AP656" s="14"/>
      <c r="AQ656" s="14"/>
      <c r="AR656" s="14"/>
      <c r="AS656" s="14"/>
      <c r="AT656" s="14"/>
    </row>
    <row r="657">
      <c r="A657" s="509"/>
      <c r="B657" s="648">
        <v>5.0</v>
      </c>
      <c r="C657" s="649" t="s">
        <v>1433</v>
      </c>
      <c r="D657" s="650" t="s">
        <v>23</v>
      </c>
      <c r="E657" s="650" t="s">
        <v>35</v>
      </c>
      <c r="F657" s="651" t="s">
        <v>77</v>
      </c>
      <c r="G657" s="652">
        <v>0.0</v>
      </c>
      <c r="H657" s="653">
        <v>0.0</v>
      </c>
      <c r="I657" s="654">
        <v>1.0</v>
      </c>
      <c r="J657" s="654"/>
      <c r="K657" s="703" t="s">
        <v>188</v>
      </c>
      <c r="L657" s="703"/>
      <c r="M657" s="703">
        <v>6.0</v>
      </c>
      <c r="N657" s="703">
        <v>3.0</v>
      </c>
      <c r="O657" s="655" t="s">
        <v>1434</v>
      </c>
      <c r="P657" s="14"/>
      <c r="Q657" s="452" t="str">
        <f>MATCH($D657,Reference!$J$5:$J$9,0)</f>
        <v>5</v>
      </c>
      <c r="R657" s="452" t="str">
        <f>MATCH($E657,Reference!$J$26:$J$32,0)</f>
        <v>5</v>
      </c>
      <c r="S657" s="452" t="str">
        <f>MATCH($F657,Reference!$J$45:$J$54,0)</f>
        <v>10</v>
      </c>
      <c r="T657" s="453" t="str">
        <f>MATCH($K657,Reference!$J$37:$J$39,0)</f>
        <v>3</v>
      </c>
      <c r="U657" s="454" t="str">
        <f t="shared" si="985"/>
        <v>0</v>
      </c>
      <c r="V657" s="454" t="str">
        <f t="shared" si="3"/>
        <v>0</v>
      </c>
      <c r="W657" s="454" t="str">
        <f t="shared" si="1006"/>
        <v>0</v>
      </c>
      <c r="X657" s="454" t="str">
        <f t="shared" si="987"/>
        <v>1</v>
      </c>
      <c r="Y657" s="456" t="str">
        <f t="shared" si="5"/>
        <v>TRUE</v>
      </c>
      <c r="Z657" s="456" t="str">
        <f t="shared" si="6"/>
        <v>TRUE</v>
      </c>
      <c r="AA657" s="457" t="str">
        <f t="shared" ref="AA657:AB657" si="1007">1-I657</f>
        <v>0%</v>
      </c>
      <c r="AB657" s="457" t="str">
        <f t="shared" si="1007"/>
        <v>100%</v>
      </c>
      <c r="AC657" s="456" t="str">
        <f t="shared" si="8"/>
        <v>1</v>
      </c>
      <c r="AD657" s="458" t="str">
        <f t="shared" si="989"/>
        <v>0</v>
      </c>
      <c r="AE657" s="458" t="str">
        <f t="shared" si="10"/>
        <v>0</v>
      </c>
      <c r="AF657" s="459" t="str">
        <f t="shared" si="990"/>
        <v>0</v>
      </c>
      <c r="AG657" s="460"/>
      <c r="AH657" s="14"/>
      <c r="AI657" s="14"/>
      <c r="AJ657" s="14"/>
      <c r="AK657" s="14"/>
      <c r="AL657" s="14"/>
      <c r="AM657" s="14"/>
      <c r="AN657" s="14"/>
      <c r="AO657" s="14"/>
      <c r="AP657" s="14"/>
      <c r="AQ657" s="14"/>
      <c r="AR657" s="14"/>
      <c r="AS657" s="14"/>
      <c r="AT657" s="14"/>
    </row>
    <row r="658">
      <c r="A658" s="469"/>
      <c r="B658" s="669">
        <v>5.0</v>
      </c>
      <c r="C658" s="670" t="s">
        <v>1435</v>
      </c>
      <c r="D658" s="671" t="s">
        <v>23</v>
      </c>
      <c r="E658" s="671" t="s">
        <v>33</v>
      </c>
      <c r="F658" s="672" t="s">
        <v>77</v>
      </c>
      <c r="G658" s="673">
        <v>0.0</v>
      </c>
      <c r="H658" s="707">
        <v>0.0</v>
      </c>
      <c r="I658" s="674">
        <v>1.0</v>
      </c>
      <c r="J658" s="674"/>
      <c r="K658" s="675" t="s">
        <v>188</v>
      </c>
      <c r="L658" s="675"/>
      <c r="M658" s="675">
        <v>6.0</v>
      </c>
      <c r="N658" s="675">
        <v>2.0</v>
      </c>
      <c r="O658" s="676" t="s">
        <v>1436</v>
      </c>
      <c r="P658" s="14"/>
      <c r="Q658" s="452" t="str">
        <f>MATCH($D658,Reference!$J$5:$J$9,0)</f>
        <v>5</v>
      </c>
      <c r="R658" s="452" t="str">
        <f>MATCH($E658,Reference!$J$26:$J$32,0)</f>
        <v>2</v>
      </c>
      <c r="S658" s="452" t="str">
        <f>MATCH($F658,Reference!$J$45:$J$54,0)</f>
        <v>10</v>
      </c>
      <c r="T658" s="453" t="str">
        <f>MATCH($K658,Reference!$J$37:$J$39,0)</f>
        <v>3</v>
      </c>
      <c r="U658" s="454" t="str">
        <f t="shared" si="985"/>
        <v>0</v>
      </c>
      <c r="V658" s="454" t="str">
        <f t="shared" si="3"/>
        <v>0</v>
      </c>
      <c r="W658" s="454" t="str">
        <f t="shared" si="1006"/>
        <v>0</v>
      </c>
      <c r="X658" s="454" t="str">
        <f t="shared" si="987"/>
        <v>1</v>
      </c>
      <c r="Y658" s="456" t="str">
        <f t="shared" si="5"/>
        <v>TRUE</v>
      </c>
      <c r="Z658" s="456" t="str">
        <f t="shared" si="6"/>
        <v>TRUE</v>
      </c>
      <c r="AA658" s="457" t="str">
        <f t="shared" ref="AA658:AB658" si="1008">1-I658</f>
        <v>0%</v>
      </c>
      <c r="AB658" s="457" t="str">
        <f t="shared" si="1008"/>
        <v>100%</v>
      </c>
      <c r="AC658" s="456" t="str">
        <f t="shared" si="8"/>
        <v>1</v>
      </c>
      <c r="AD658" s="458" t="str">
        <f t="shared" si="989"/>
        <v>0</v>
      </c>
      <c r="AE658" s="458" t="str">
        <f t="shared" si="10"/>
        <v>0</v>
      </c>
      <c r="AF658" s="459" t="str">
        <f t="shared" si="990"/>
        <v>0</v>
      </c>
      <c r="AG658" s="460"/>
      <c r="AH658" s="14"/>
      <c r="AI658" s="14"/>
      <c r="AJ658" s="14"/>
      <c r="AK658" s="14"/>
      <c r="AL658" s="14"/>
      <c r="AM658" s="14"/>
      <c r="AN658" s="14"/>
      <c r="AO658" s="14"/>
      <c r="AP658" s="14"/>
      <c r="AQ658" s="14"/>
      <c r="AR658" s="14"/>
      <c r="AS658" s="14"/>
      <c r="AT658" s="14"/>
    </row>
    <row r="659">
      <c r="A659" s="509"/>
      <c r="B659" s="778">
        <v>5.0</v>
      </c>
      <c r="C659" s="779" t="s">
        <v>1437</v>
      </c>
      <c r="D659" s="780" t="s">
        <v>23</v>
      </c>
      <c r="E659" s="780" t="s">
        <v>41</v>
      </c>
      <c r="F659" s="781" t="s">
        <v>77</v>
      </c>
      <c r="G659" s="782" t="str">
        <f>IF(Summary!$Y$25&gt;=VLOOKUP(C659,Reference!$N$41:$O$70,2,0),1,0)</f>
        <v>1</v>
      </c>
      <c r="H659" s="782">
        <v>0.0</v>
      </c>
      <c r="I659" s="783">
        <v>1.0</v>
      </c>
      <c r="J659" s="783"/>
      <c r="K659" s="784" t="s">
        <v>188</v>
      </c>
      <c r="L659" s="784"/>
      <c r="M659" s="784">
        <v>5.0</v>
      </c>
      <c r="N659" s="784">
        <v>5.0</v>
      </c>
      <c r="O659" s="785" t="s">
        <v>1438</v>
      </c>
      <c r="P659" s="14"/>
      <c r="Q659" s="452" t="str">
        <f>MATCH($D659,Reference!$J$5:$J$9,0)</f>
        <v>5</v>
      </c>
      <c r="R659" s="452" t="str">
        <f>MATCH($E659,Reference!$J$26:$J$32,0)</f>
        <v>4</v>
      </c>
      <c r="S659" s="452" t="str">
        <f>MATCH($F659,Reference!$J$45:$J$54,0)</f>
        <v>10</v>
      </c>
      <c r="T659" s="453" t="str">
        <f>MATCH($K659,Reference!$J$37:$J$39,0)</f>
        <v>3</v>
      </c>
      <c r="U659" s="454" t="str">
        <f t="shared" si="985"/>
        <v>1</v>
      </c>
      <c r="V659" s="454" t="str">
        <f t="shared" si="3"/>
        <v>1</v>
      </c>
      <c r="W659" s="455">
        <v>0.0</v>
      </c>
      <c r="X659" s="454" t="str">
        <f t="shared" si="987"/>
        <v>2</v>
      </c>
      <c r="Y659" s="456" t="str">
        <f t="shared" si="5"/>
        <v>FALSE</v>
      </c>
      <c r="Z659" s="456" t="str">
        <f t="shared" si="6"/>
        <v>TRUE</v>
      </c>
      <c r="AA659" s="457" t="str">
        <f t="shared" ref="AA659:AB659" si="1009">1-I659</f>
        <v>0%</v>
      </c>
      <c r="AB659" s="457" t="str">
        <f t="shared" si="1009"/>
        <v>100%</v>
      </c>
      <c r="AC659" s="456" t="str">
        <f t="shared" si="8"/>
        <v>2</v>
      </c>
      <c r="AD659" s="458" t="str">
        <f t="shared" si="989"/>
        <v>0</v>
      </c>
      <c r="AE659" s="458" t="str">
        <f t="shared" si="10"/>
        <v>1</v>
      </c>
      <c r="AF659" s="459" t="str">
        <f t="shared" si="990"/>
        <v>0</v>
      </c>
      <c r="AG659" s="460"/>
      <c r="AH659" s="14"/>
      <c r="AI659" s="14"/>
      <c r="AJ659" s="14"/>
      <c r="AK659" s="14"/>
      <c r="AL659" s="14"/>
      <c r="AM659" s="14"/>
      <c r="AN659" s="14"/>
      <c r="AO659" s="14"/>
      <c r="AP659" s="14"/>
      <c r="AQ659" s="14"/>
      <c r="AR659" s="14"/>
      <c r="AS659" s="14"/>
      <c r="AT659" s="14"/>
    </row>
    <row r="660">
      <c r="A660" s="442"/>
      <c r="B660" s="648">
        <v>5.0</v>
      </c>
      <c r="C660" s="649" t="s">
        <v>1439</v>
      </c>
      <c r="D660" s="650" t="s">
        <v>23</v>
      </c>
      <c r="E660" s="650" t="s">
        <v>35</v>
      </c>
      <c r="F660" s="651" t="s">
        <v>77</v>
      </c>
      <c r="G660" s="652">
        <v>0.0</v>
      </c>
      <c r="H660" s="653">
        <v>0.0</v>
      </c>
      <c r="I660" s="654">
        <v>1.0</v>
      </c>
      <c r="J660" s="654"/>
      <c r="K660" s="650" t="s">
        <v>188</v>
      </c>
      <c r="L660" s="650" t="s">
        <v>198</v>
      </c>
      <c r="M660" s="651">
        <v>4.0</v>
      </c>
      <c r="N660" s="653">
        <v>5.0</v>
      </c>
      <c r="O660" s="655" t="s">
        <v>1440</v>
      </c>
      <c r="P660" s="14"/>
      <c r="Q660" s="452" t="str">
        <f>MATCH($D660,Reference!$J$5:$J$9,0)</f>
        <v>5</v>
      </c>
      <c r="R660" s="452" t="str">
        <f>MATCH($E660,Reference!$J$26:$J$32,0)</f>
        <v>5</v>
      </c>
      <c r="S660" s="452" t="str">
        <f>MATCH($F660,Reference!$J$45:$J$54,0)</f>
        <v>10</v>
      </c>
      <c r="T660" s="453" t="str">
        <f>MATCH($K660,Reference!$J$37:$J$39,0)</f>
        <v>3</v>
      </c>
      <c r="U660" s="454" t="str">
        <f t="shared" si="985"/>
        <v>0</v>
      </c>
      <c r="V660" s="454" t="str">
        <f t="shared" si="3"/>
        <v>0</v>
      </c>
      <c r="W660" s="454" t="str">
        <f t="shared" ref="W660:W661" si="1011">(MIN(G660,2)+H660-U660)*1600</f>
        <v>0</v>
      </c>
      <c r="X660" s="454" t="str">
        <f t="shared" si="987"/>
        <v>1</v>
      </c>
      <c r="Y660" s="456" t="str">
        <f t="shared" si="5"/>
        <v>TRUE</v>
      </c>
      <c r="Z660" s="456" t="str">
        <f t="shared" si="6"/>
        <v>TRUE</v>
      </c>
      <c r="AA660" s="457" t="str">
        <f t="shared" ref="AA660:AB660" si="1010">1-I660</f>
        <v>0%</v>
      </c>
      <c r="AB660" s="457" t="str">
        <f t="shared" si="1010"/>
        <v>100%</v>
      </c>
      <c r="AC660" s="456" t="str">
        <f t="shared" si="8"/>
        <v>1</v>
      </c>
      <c r="AD660" s="458" t="str">
        <f t="shared" si="989"/>
        <v>0</v>
      </c>
      <c r="AE660" s="458" t="str">
        <f t="shared" si="10"/>
        <v>0</v>
      </c>
      <c r="AF660" s="459" t="str">
        <f t="shared" si="990"/>
        <v>0</v>
      </c>
      <c r="AG660" s="460"/>
      <c r="AH660" s="14"/>
      <c r="AI660" s="14"/>
      <c r="AJ660" s="14"/>
      <c r="AK660" s="14"/>
      <c r="AL660" s="14"/>
      <c r="AM660" s="14"/>
      <c r="AN660" s="14"/>
      <c r="AO660" s="14"/>
      <c r="AP660" s="14"/>
      <c r="AQ660" s="14"/>
      <c r="AR660" s="14"/>
      <c r="AS660" s="14"/>
      <c r="AT660" s="14"/>
    </row>
    <row r="661">
      <c r="A661" s="442"/>
      <c r="B661" s="659">
        <v>5.0</v>
      </c>
      <c r="C661" s="660" t="s">
        <v>1441</v>
      </c>
      <c r="D661" s="661" t="s">
        <v>23</v>
      </c>
      <c r="E661" s="662" t="s">
        <v>36</v>
      </c>
      <c r="F661" s="662" t="s">
        <v>77</v>
      </c>
      <c r="G661" s="663">
        <v>0.0</v>
      </c>
      <c r="H661" s="663">
        <v>0.0</v>
      </c>
      <c r="I661" s="664">
        <v>1.0</v>
      </c>
      <c r="J661" s="664">
        <v>1.0</v>
      </c>
      <c r="K661" s="661" t="s">
        <v>188</v>
      </c>
      <c r="L661" s="662"/>
      <c r="M661" s="662">
        <v>4.0</v>
      </c>
      <c r="N661" s="663">
        <v>5.0</v>
      </c>
      <c r="O661" s="665" t="s">
        <v>1442</v>
      </c>
      <c r="P661" s="14"/>
      <c r="Q661" s="452" t="str">
        <f>MATCH($D661,Reference!$J$5:$J$9,0)</f>
        <v>5</v>
      </c>
      <c r="R661" s="452" t="str">
        <f>MATCH($E661,Reference!$J$26:$J$32,0)</f>
        <v>7</v>
      </c>
      <c r="S661" s="452" t="str">
        <f>MATCH($F661,Reference!$J$45:$J$54,0)</f>
        <v>10</v>
      </c>
      <c r="T661" s="453" t="str">
        <f>MATCH($K661,Reference!$J$37:$J$39,0)</f>
        <v>3</v>
      </c>
      <c r="U661" s="454" t="str">
        <f t="shared" si="985"/>
        <v>0</v>
      </c>
      <c r="V661" s="454" t="str">
        <f t="shared" si="3"/>
        <v>0</v>
      </c>
      <c r="W661" s="454" t="str">
        <f t="shared" si="1011"/>
        <v>0</v>
      </c>
      <c r="X661" s="454" t="str">
        <f t="shared" si="987"/>
        <v>1</v>
      </c>
      <c r="Y661" s="456" t="str">
        <f t="shared" si="5"/>
        <v>TRUE</v>
      </c>
      <c r="Z661" s="456" t="str">
        <f t="shared" si="6"/>
        <v>TRUE</v>
      </c>
      <c r="AA661" s="457" t="str">
        <f t="shared" ref="AA661:AB661" si="1012">1-I661</f>
        <v>0%</v>
      </c>
      <c r="AB661" s="457" t="str">
        <f t="shared" si="1012"/>
        <v>0%</v>
      </c>
      <c r="AC661" s="456" t="str">
        <f t="shared" si="8"/>
        <v>0</v>
      </c>
      <c r="AD661" s="458" t="str">
        <f t="shared" si="989"/>
        <v>0</v>
      </c>
      <c r="AE661" s="458" t="str">
        <f t="shared" si="10"/>
        <v>0</v>
      </c>
      <c r="AF661" s="459" t="str">
        <f t="shared" si="990"/>
        <v>0</v>
      </c>
      <c r="AG661" s="460"/>
      <c r="AH661" s="14"/>
      <c r="AI661" s="14"/>
      <c r="AJ661" s="14"/>
      <c r="AK661" s="14"/>
      <c r="AL661" s="14"/>
      <c r="AM661" s="14"/>
      <c r="AN661" s="14"/>
      <c r="AO661" s="14"/>
      <c r="AP661" s="14"/>
      <c r="AQ661" s="14"/>
      <c r="AR661" s="14"/>
      <c r="AS661" s="14"/>
      <c r="AT661" s="14"/>
    </row>
    <row r="662">
      <c r="A662" s="442"/>
      <c r="B662" s="778">
        <v>5.0</v>
      </c>
      <c r="C662" s="779" t="s">
        <v>1443</v>
      </c>
      <c r="D662" s="780" t="s">
        <v>23</v>
      </c>
      <c r="E662" s="780" t="s">
        <v>41</v>
      </c>
      <c r="F662" s="781" t="s">
        <v>77</v>
      </c>
      <c r="G662" s="782" t="str">
        <f>IF(Summary!$Y$25&gt;=VLOOKUP(C662,Reference!$N$41:$O$70,2,0),1,0)</f>
        <v>1</v>
      </c>
      <c r="H662" s="782">
        <v>0.0</v>
      </c>
      <c r="I662" s="783">
        <v>1.0</v>
      </c>
      <c r="J662" s="783"/>
      <c r="K662" s="784" t="s">
        <v>188</v>
      </c>
      <c r="L662" s="784"/>
      <c r="M662" s="784">
        <v>7.0</v>
      </c>
      <c r="N662" s="784">
        <v>4.0</v>
      </c>
      <c r="O662" s="785" t="s">
        <v>1444</v>
      </c>
      <c r="P662" s="14"/>
      <c r="Q662" s="452" t="str">
        <f>MATCH($D662,Reference!$J$5:$J$9,0)</f>
        <v>5</v>
      </c>
      <c r="R662" s="452" t="str">
        <f>MATCH($E662,Reference!$J$26:$J$32,0)</f>
        <v>4</v>
      </c>
      <c r="S662" s="452" t="str">
        <f>MATCH($F662,Reference!$J$45:$J$54,0)</f>
        <v>10</v>
      </c>
      <c r="T662" s="453" t="str">
        <f>MATCH($K662,Reference!$J$37:$J$39,0)</f>
        <v>3</v>
      </c>
      <c r="U662" s="454" t="str">
        <f t="shared" si="985"/>
        <v>1</v>
      </c>
      <c r="V662" s="454" t="str">
        <f t="shared" si="3"/>
        <v>1</v>
      </c>
      <c r="W662" s="455">
        <v>0.0</v>
      </c>
      <c r="X662" s="454" t="str">
        <f t="shared" si="987"/>
        <v>2</v>
      </c>
      <c r="Y662" s="456" t="str">
        <f t="shared" si="5"/>
        <v>FALSE</v>
      </c>
      <c r="Z662" s="456" t="str">
        <f t="shared" si="6"/>
        <v>TRUE</v>
      </c>
      <c r="AA662" s="457" t="str">
        <f t="shared" ref="AA662:AB662" si="1013">1-I662</f>
        <v>0%</v>
      </c>
      <c r="AB662" s="457" t="str">
        <f t="shared" si="1013"/>
        <v>100%</v>
      </c>
      <c r="AC662" s="456" t="str">
        <f t="shared" si="8"/>
        <v>2</v>
      </c>
      <c r="AD662" s="458" t="str">
        <f t="shared" si="989"/>
        <v>0</v>
      </c>
      <c r="AE662" s="458" t="str">
        <f t="shared" si="10"/>
        <v>1</v>
      </c>
      <c r="AF662" s="459" t="str">
        <f t="shared" si="990"/>
        <v>0</v>
      </c>
      <c r="AG662" s="460"/>
      <c r="AH662" s="14"/>
      <c r="AI662" s="14"/>
      <c r="AJ662" s="14"/>
      <c r="AK662" s="14"/>
      <c r="AL662" s="14"/>
      <c r="AM662" s="14"/>
      <c r="AN662" s="14"/>
      <c r="AO662" s="14"/>
      <c r="AP662" s="14"/>
      <c r="AQ662" s="14"/>
      <c r="AR662" s="14"/>
      <c r="AS662" s="14"/>
      <c r="AT662" s="14"/>
    </row>
    <row r="663">
      <c r="A663" s="442"/>
      <c r="B663" s="659">
        <v>6.0</v>
      </c>
      <c r="C663" s="660" t="s">
        <v>1445</v>
      </c>
      <c r="D663" s="661" t="s">
        <v>23</v>
      </c>
      <c r="E663" s="662" t="s">
        <v>36</v>
      </c>
      <c r="F663" s="662" t="s">
        <v>77</v>
      </c>
      <c r="G663" s="663">
        <v>0.0</v>
      </c>
      <c r="H663" s="663">
        <v>0.0</v>
      </c>
      <c r="I663" s="664">
        <v>1.0</v>
      </c>
      <c r="J663" s="664">
        <v>1.0</v>
      </c>
      <c r="K663" s="662" t="s">
        <v>188</v>
      </c>
      <c r="L663" s="662"/>
      <c r="M663" s="662">
        <v>3.0</v>
      </c>
      <c r="N663" s="662">
        <v>9.0</v>
      </c>
      <c r="O663" s="665" t="s">
        <v>1446</v>
      </c>
      <c r="P663" s="14"/>
      <c r="Q663" s="452" t="str">
        <f>MATCH($D663,Reference!$J$5:$J$9,0)</f>
        <v>5</v>
      </c>
      <c r="R663" s="452" t="str">
        <f>MATCH($E663,Reference!$J$26:$J$32,0)</f>
        <v>7</v>
      </c>
      <c r="S663" s="452" t="str">
        <f>MATCH($F663,Reference!$J$45:$J$54,0)</f>
        <v>10</v>
      </c>
      <c r="T663" s="453" t="str">
        <f>MATCH($K663,Reference!$J$37:$J$39,0)</f>
        <v>3</v>
      </c>
      <c r="U663" s="454" t="str">
        <f t="shared" si="985"/>
        <v>0</v>
      </c>
      <c r="V663" s="454" t="str">
        <f t="shared" si="3"/>
        <v>0</v>
      </c>
      <c r="W663" s="454" t="str">
        <f t="shared" ref="W663:W664" si="1015">(MIN(G663,2)+H663-U663)*1600</f>
        <v>0</v>
      </c>
      <c r="X663" s="454" t="str">
        <f t="shared" si="987"/>
        <v>1</v>
      </c>
      <c r="Y663" s="456" t="str">
        <f t="shared" si="5"/>
        <v>TRUE</v>
      </c>
      <c r="Z663" s="456" t="str">
        <f t="shared" si="6"/>
        <v>TRUE</v>
      </c>
      <c r="AA663" s="457" t="str">
        <f t="shared" ref="AA663:AB663" si="1014">1-I663</f>
        <v>0%</v>
      </c>
      <c r="AB663" s="457" t="str">
        <f t="shared" si="1014"/>
        <v>0%</v>
      </c>
      <c r="AC663" s="456" t="str">
        <f t="shared" si="8"/>
        <v>0</v>
      </c>
      <c r="AD663" s="458" t="str">
        <f t="shared" si="989"/>
        <v>0</v>
      </c>
      <c r="AE663" s="458" t="str">
        <f t="shared" si="10"/>
        <v>0</v>
      </c>
      <c r="AF663" s="459" t="str">
        <f t="shared" si="990"/>
        <v>0</v>
      </c>
      <c r="AG663" s="460"/>
      <c r="AH663" s="14"/>
      <c r="AI663" s="14"/>
      <c r="AJ663" s="14"/>
      <c r="AK663" s="14"/>
      <c r="AL663" s="14"/>
      <c r="AM663" s="14"/>
      <c r="AN663" s="14"/>
      <c r="AO663" s="14"/>
      <c r="AP663" s="14"/>
      <c r="AQ663" s="14"/>
      <c r="AR663" s="14"/>
      <c r="AS663" s="14"/>
      <c r="AT663" s="14"/>
    </row>
    <row r="664">
      <c r="A664" s="466"/>
      <c r="B664" s="669">
        <v>6.0</v>
      </c>
      <c r="C664" s="670" t="s">
        <v>1447</v>
      </c>
      <c r="D664" s="671" t="s">
        <v>23</v>
      </c>
      <c r="E664" s="671" t="s">
        <v>33</v>
      </c>
      <c r="F664" s="672" t="s">
        <v>77</v>
      </c>
      <c r="G664" s="707">
        <v>0.0</v>
      </c>
      <c r="H664" s="673">
        <v>0.0</v>
      </c>
      <c r="I664" s="674">
        <v>1.0</v>
      </c>
      <c r="J664" s="674"/>
      <c r="K664" s="675" t="s">
        <v>188</v>
      </c>
      <c r="L664" s="675"/>
      <c r="M664" s="675">
        <v>4.0</v>
      </c>
      <c r="N664" s="675">
        <v>5.0</v>
      </c>
      <c r="O664" s="676" t="s">
        <v>1448</v>
      </c>
      <c r="P664" s="14"/>
      <c r="Q664" s="452" t="str">
        <f>MATCH($D664,Reference!$J$5:$J$9,0)</f>
        <v>5</v>
      </c>
      <c r="R664" s="452" t="str">
        <f>MATCH($E664,Reference!$J$26:$J$32,0)</f>
        <v>2</v>
      </c>
      <c r="S664" s="452" t="str">
        <f>MATCH($F664,Reference!$J$45:$J$54,0)</f>
        <v>10</v>
      </c>
      <c r="T664" s="453" t="str">
        <f>MATCH($K664,Reference!$J$37:$J$39,0)</f>
        <v>3</v>
      </c>
      <c r="U664" s="454" t="str">
        <f t="shared" si="985"/>
        <v>0</v>
      </c>
      <c r="V664" s="454" t="str">
        <f t="shared" si="3"/>
        <v>0</v>
      </c>
      <c r="W664" s="454" t="str">
        <f t="shared" si="1015"/>
        <v>0</v>
      </c>
      <c r="X664" s="454" t="str">
        <f t="shared" si="987"/>
        <v>1</v>
      </c>
      <c r="Y664" s="456" t="str">
        <f t="shared" si="5"/>
        <v>TRUE</v>
      </c>
      <c r="Z664" s="456" t="str">
        <f t="shared" si="6"/>
        <v>TRUE</v>
      </c>
      <c r="AA664" s="457" t="str">
        <f t="shared" ref="AA664:AB664" si="1016">1-I664</f>
        <v>0%</v>
      </c>
      <c r="AB664" s="457" t="str">
        <f t="shared" si="1016"/>
        <v>100%</v>
      </c>
      <c r="AC664" s="456" t="str">
        <f t="shared" si="8"/>
        <v>1</v>
      </c>
      <c r="AD664" s="458" t="str">
        <f t="shared" si="989"/>
        <v>0</v>
      </c>
      <c r="AE664" s="458" t="str">
        <f t="shared" si="10"/>
        <v>0</v>
      </c>
      <c r="AF664" s="459" t="str">
        <f t="shared" si="990"/>
        <v>0</v>
      </c>
      <c r="AG664" s="460"/>
      <c r="AH664" s="14"/>
      <c r="AI664" s="14"/>
      <c r="AJ664" s="14"/>
      <c r="AK664" s="14"/>
      <c r="AL664" s="14"/>
      <c r="AM664" s="14"/>
      <c r="AN664" s="14"/>
      <c r="AO664" s="14"/>
      <c r="AP664" s="14"/>
      <c r="AQ664" s="14"/>
      <c r="AR664" s="14"/>
      <c r="AS664" s="14"/>
      <c r="AT664" s="14"/>
    </row>
    <row r="665">
      <c r="A665" s="442"/>
      <c r="B665" s="796">
        <v>6.0</v>
      </c>
      <c r="C665" s="797" t="s">
        <v>1449</v>
      </c>
      <c r="D665" s="798" t="s">
        <v>23</v>
      </c>
      <c r="E665" s="798" t="s">
        <v>47</v>
      </c>
      <c r="F665" s="799" t="s">
        <v>77</v>
      </c>
      <c r="G665" s="800" t="str">
        <f>IF(Summary!$Y$27&gt;=VLOOKUP(C665,Reference!$N$6:$O$36,2,0),1,0)</f>
        <v>1</v>
      </c>
      <c r="H665" s="800">
        <v>0.0</v>
      </c>
      <c r="I665" s="801">
        <v>1.0</v>
      </c>
      <c r="J665" s="801"/>
      <c r="K665" s="802" t="s">
        <v>188</v>
      </c>
      <c r="L665" s="802"/>
      <c r="M665" s="802">
        <v>5.0</v>
      </c>
      <c r="N665" s="802">
        <v>5.0</v>
      </c>
      <c r="O665" s="803" t="s">
        <v>1450</v>
      </c>
      <c r="P665" s="14"/>
      <c r="Q665" s="452" t="str">
        <f>MATCH($D665,Reference!$J$5:$J$9,0)</f>
        <v>5</v>
      </c>
      <c r="R665" s="452" t="str">
        <f>MATCH($E665,Reference!$J$26:$J$32,0)</f>
        <v>6</v>
      </c>
      <c r="S665" s="452" t="str">
        <f>MATCH($F665,Reference!$J$45:$J$54,0)</f>
        <v>10</v>
      </c>
      <c r="T665" s="453" t="str">
        <f>MATCH($K665,Reference!$J$37:$J$39,0)</f>
        <v>3</v>
      </c>
      <c r="U665" s="454" t="str">
        <f t="shared" si="985"/>
        <v>1</v>
      </c>
      <c r="V665" s="454" t="str">
        <f t="shared" si="3"/>
        <v>1</v>
      </c>
      <c r="W665" s="455">
        <v>0.0</v>
      </c>
      <c r="X665" s="454" t="str">
        <f t="shared" si="987"/>
        <v>2</v>
      </c>
      <c r="Y665" s="456" t="str">
        <f t="shared" si="5"/>
        <v>FALSE</v>
      </c>
      <c r="Z665" s="456" t="str">
        <f t="shared" si="6"/>
        <v>TRUE</v>
      </c>
      <c r="AA665" s="457" t="str">
        <f t="shared" ref="AA665:AB665" si="1017">1-I665</f>
        <v>0%</v>
      </c>
      <c r="AB665" s="457" t="str">
        <f t="shared" si="1017"/>
        <v>100%</v>
      </c>
      <c r="AC665" s="456" t="str">
        <f t="shared" si="8"/>
        <v>2</v>
      </c>
      <c r="AD665" s="458" t="str">
        <f t="shared" si="989"/>
        <v>0</v>
      </c>
      <c r="AE665" s="458" t="str">
        <f t="shared" si="10"/>
        <v>1</v>
      </c>
      <c r="AF665" s="459" t="str">
        <f t="shared" si="990"/>
        <v>0</v>
      </c>
      <c r="AG665" s="460"/>
      <c r="AH665" s="14"/>
      <c r="AI665" s="14"/>
      <c r="AJ665" s="14"/>
      <c r="AK665" s="14"/>
      <c r="AL665" s="14"/>
      <c r="AM665" s="14"/>
      <c r="AN665" s="14"/>
      <c r="AO665" s="14"/>
      <c r="AP665" s="14"/>
      <c r="AQ665" s="14"/>
      <c r="AR665" s="14"/>
      <c r="AS665" s="14"/>
      <c r="AT665" s="14"/>
    </row>
    <row r="666">
      <c r="A666" s="509"/>
      <c r="B666" s="648">
        <v>6.0</v>
      </c>
      <c r="C666" s="649" t="s">
        <v>1451</v>
      </c>
      <c r="D666" s="650" t="s">
        <v>23</v>
      </c>
      <c r="E666" s="650" t="s">
        <v>35</v>
      </c>
      <c r="F666" s="651" t="s">
        <v>77</v>
      </c>
      <c r="G666" s="652">
        <v>1.0</v>
      </c>
      <c r="H666" s="653">
        <v>0.0</v>
      </c>
      <c r="I666" s="702">
        <v>1.0</v>
      </c>
      <c r="J666" s="702"/>
      <c r="K666" s="703" t="s">
        <v>188</v>
      </c>
      <c r="L666" s="703"/>
      <c r="M666" s="703">
        <v>3.0</v>
      </c>
      <c r="N666" s="703">
        <v>6.0</v>
      </c>
      <c r="O666" s="655" t="s">
        <v>1452</v>
      </c>
      <c r="P666" s="14"/>
      <c r="Q666" s="452" t="str">
        <f>MATCH($D666,Reference!$J$5:$J$9,0)</f>
        <v>5</v>
      </c>
      <c r="R666" s="452" t="str">
        <f>MATCH($E666,Reference!$J$26:$J$32,0)</f>
        <v>5</v>
      </c>
      <c r="S666" s="452" t="str">
        <f>MATCH($F666,Reference!$J$45:$J$54,0)</f>
        <v>10</v>
      </c>
      <c r="T666" s="453" t="str">
        <f>MATCH($K666,Reference!$J$37:$J$39,0)</f>
        <v>3</v>
      </c>
      <c r="U666" s="454" t="str">
        <f t="shared" si="985"/>
        <v>1</v>
      </c>
      <c r="V666" s="454" t="str">
        <f t="shared" si="3"/>
        <v>1</v>
      </c>
      <c r="W666" s="454" t="str">
        <f t="shared" ref="W666:W670" si="1019">(MIN(G666,2)+H666-U666)*1600</f>
        <v>0</v>
      </c>
      <c r="X666" s="454" t="str">
        <f t="shared" si="987"/>
        <v>2</v>
      </c>
      <c r="Y666" s="456" t="str">
        <f t="shared" si="5"/>
        <v>FALSE</v>
      </c>
      <c r="Z666" s="456" t="str">
        <f t="shared" si="6"/>
        <v>TRUE</v>
      </c>
      <c r="AA666" s="457" t="str">
        <f t="shared" ref="AA666:AB666" si="1018">1-I666</f>
        <v>0%</v>
      </c>
      <c r="AB666" s="457" t="str">
        <f t="shared" si="1018"/>
        <v>100%</v>
      </c>
      <c r="AC666" s="456" t="str">
        <f t="shared" si="8"/>
        <v>2</v>
      </c>
      <c r="AD666" s="458" t="str">
        <f t="shared" si="989"/>
        <v>0</v>
      </c>
      <c r="AE666" s="458" t="str">
        <f t="shared" si="10"/>
        <v>1</v>
      </c>
      <c r="AF666" s="459" t="str">
        <f t="shared" si="990"/>
        <v>0</v>
      </c>
      <c r="AG666" s="460"/>
      <c r="AH666" s="14"/>
      <c r="AI666" s="14"/>
      <c r="AJ666" s="14"/>
      <c r="AK666" s="14"/>
      <c r="AL666" s="14"/>
      <c r="AM666" s="14"/>
      <c r="AN666" s="14"/>
      <c r="AO666" s="14"/>
      <c r="AP666" s="14"/>
      <c r="AQ666" s="14"/>
      <c r="AR666" s="14"/>
      <c r="AS666" s="14"/>
      <c r="AT666" s="14"/>
    </row>
    <row r="667">
      <c r="A667" s="463"/>
      <c r="B667" s="786">
        <v>6.0</v>
      </c>
      <c r="C667" s="787" t="s">
        <v>1453</v>
      </c>
      <c r="D667" s="788" t="s">
        <v>23</v>
      </c>
      <c r="E667" s="788" t="s">
        <v>37</v>
      </c>
      <c r="F667" s="789" t="s">
        <v>77</v>
      </c>
      <c r="G667" s="791">
        <v>0.0</v>
      </c>
      <c r="H667" s="790">
        <v>0.0</v>
      </c>
      <c r="I667" s="792">
        <v>1.0</v>
      </c>
      <c r="J667" s="792"/>
      <c r="K667" s="793" t="s">
        <v>188</v>
      </c>
      <c r="L667" s="793"/>
      <c r="M667" s="793">
        <v>6.0</v>
      </c>
      <c r="N667" s="793">
        <v>6.0</v>
      </c>
      <c r="O667" s="794" t="s">
        <v>1454</v>
      </c>
      <c r="P667" s="14"/>
      <c r="Q667" s="452" t="str">
        <f>MATCH($D667,Reference!$J$5:$J$9,0)</f>
        <v>5</v>
      </c>
      <c r="R667" s="452" t="str">
        <f>MATCH($E667,Reference!$J$26:$J$32,0)</f>
        <v>3</v>
      </c>
      <c r="S667" s="452" t="str">
        <f>MATCH($F667,Reference!$J$45:$J$54,0)</f>
        <v>10</v>
      </c>
      <c r="T667" s="453" t="str">
        <f>MATCH($K667,Reference!$J$37:$J$39,0)</f>
        <v>3</v>
      </c>
      <c r="U667" s="454" t="str">
        <f t="shared" si="985"/>
        <v>0</v>
      </c>
      <c r="V667" s="454" t="str">
        <f t="shared" si="3"/>
        <v>0</v>
      </c>
      <c r="W667" s="454" t="str">
        <f t="shared" si="1019"/>
        <v>0</v>
      </c>
      <c r="X667" s="454" t="str">
        <f t="shared" si="987"/>
        <v>1</v>
      </c>
      <c r="Y667" s="456" t="str">
        <f t="shared" si="5"/>
        <v>TRUE</v>
      </c>
      <c r="Z667" s="456" t="str">
        <f t="shared" si="6"/>
        <v>TRUE</v>
      </c>
      <c r="AA667" s="457" t="str">
        <f t="shared" ref="AA667:AB667" si="1020">1-I667</f>
        <v>0%</v>
      </c>
      <c r="AB667" s="457" t="str">
        <f t="shared" si="1020"/>
        <v>100%</v>
      </c>
      <c r="AC667" s="456" t="str">
        <f t="shared" si="8"/>
        <v>1</v>
      </c>
      <c r="AD667" s="458" t="str">
        <f t="shared" si="989"/>
        <v>0</v>
      </c>
      <c r="AE667" s="458" t="str">
        <f t="shared" si="10"/>
        <v>0</v>
      </c>
      <c r="AF667" s="459" t="str">
        <f t="shared" si="990"/>
        <v>0</v>
      </c>
      <c r="AG667" s="460"/>
      <c r="AH667" s="14"/>
      <c r="AI667" s="14"/>
      <c r="AJ667" s="14"/>
      <c r="AK667" s="14"/>
      <c r="AL667" s="14"/>
      <c r="AM667" s="14"/>
      <c r="AN667" s="14"/>
      <c r="AO667" s="14"/>
      <c r="AP667" s="14"/>
      <c r="AQ667" s="14"/>
      <c r="AR667" s="14"/>
      <c r="AS667" s="14"/>
      <c r="AT667" s="14"/>
    </row>
    <row r="668">
      <c r="A668" s="509"/>
      <c r="B668" s="669">
        <v>6.0</v>
      </c>
      <c r="C668" s="670" t="s">
        <v>1455</v>
      </c>
      <c r="D668" s="671" t="s">
        <v>23</v>
      </c>
      <c r="E668" s="671" t="s">
        <v>33</v>
      </c>
      <c r="F668" s="672" t="s">
        <v>77</v>
      </c>
      <c r="G668" s="707">
        <v>1.0</v>
      </c>
      <c r="H668" s="673">
        <v>0.0</v>
      </c>
      <c r="I668" s="728">
        <v>1.0</v>
      </c>
      <c r="J668" s="674"/>
      <c r="K668" s="721" t="s">
        <v>188</v>
      </c>
      <c r="L668" s="675"/>
      <c r="M668" s="721">
        <v>4.0</v>
      </c>
      <c r="N668" s="721">
        <v>4.0</v>
      </c>
      <c r="O668" s="676" t="s">
        <v>1456</v>
      </c>
      <c r="P668" s="14"/>
      <c r="Q668" s="452" t="str">
        <f>MATCH($D668,Reference!$J$5:$J$9,0)</f>
        <v>5</v>
      </c>
      <c r="R668" s="452" t="str">
        <f>MATCH($E668,Reference!$J$26:$J$32,0)</f>
        <v>2</v>
      </c>
      <c r="S668" s="452" t="str">
        <f>MATCH($F668,Reference!$J$45:$J$54,0)</f>
        <v>10</v>
      </c>
      <c r="T668" s="453" t="str">
        <f>MATCH($K668,Reference!$J$37:$J$39,0)</f>
        <v>3</v>
      </c>
      <c r="U668" s="454" t="str">
        <f t="shared" si="985"/>
        <v>1</v>
      </c>
      <c r="V668" s="454" t="str">
        <f t="shared" si="3"/>
        <v>1</v>
      </c>
      <c r="W668" s="454" t="str">
        <f t="shared" si="1019"/>
        <v>0</v>
      </c>
      <c r="X668" s="454" t="str">
        <f t="shared" si="987"/>
        <v>2</v>
      </c>
      <c r="Y668" s="456" t="str">
        <f t="shared" si="5"/>
        <v>FALSE</v>
      </c>
      <c r="Z668" s="456" t="str">
        <f t="shared" si="6"/>
        <v>TRUE</v>
      </c>
      <c r="AA668" s="457" t="str">
        <f t="shared" ref="AA668:AB668" si="1021">1-I668</f>
        <v>0%</v>
      </c>
      <c r="AB668" s="457" t="str">
        <f t="shared" si="1021"/>
        <v>100%</v>
      </c>
      <c r="AC668" s="456" t="str">
        <f t="shared" si="8"/>
        <v>2</v>
      </c>
      <c r="AD668" s="458" t="str">
        <f t="shared" si="989"/>
        <v>0</v>
      </c>
      <c r="AE668" s="458" t="str">
        <f t="shared" si="10"/>
        <v>1</v>
      </c>
      <c r="AF668" s="459" t="str">
        <f t="shared" si="990"/>
        <v>0</v>
      </c>
      <c r="AG668" s="460"/>
      <c r="AH668" s="14"/>
      <c r="AI668" s="14"/>
      <c r="AJ668" s="14"/>
      <c r="AK668" s="14"/>
      <c r="AL668" s="14"/>
      <c r="AM668" s="14"/>
      <c r="AN668" s="14"/>
      <c r="AO668" s="14"/>
      <c r="AP668" s="14"/>
      <c r="AQ668" s="14"/>
      <c r="AR668" s="14"/>
      <c r="AS668" s="14"/>
      <c r="AT668" s="14"/>
    </row>
    <row r="669">
      <c r="A669" s="469"/>
      <c r="B669" s="669">
        <v>6.0</v>
      </c>
      <c r="C669" s="670" t="s">
        <v>1457</v>
      </c>
      <c r="D669" s="671" t="s">
        <v>23</v>
      </c>
      <c r="E669" s="671" t="s">
        <v>33</v>
      </c>
      <c r="F669" s="672" t="s">
        <v>77</v>
      </c>
      <c r="G669" s="707">
        <v>0.0</v>
      </c>
      <c r="H669" s="673">
        <v>0.0</v>
      </c>
      <c r="I669" s="674">
        <v>1.0</v>
      </c>
      <c r="J669" s="674"/>
      <c r="K669" s="675" t="s">
        <v>188</v>
      </c>
      <c r="L669" s="675" t="s">
        <v>828</v>
      </c>
      <c r="M669" s="675">
        <v>7.0</v>
      </c>
      <c r="N669" s="675">
        <v>5.0</v>
      </c>
      <c r="O669" s="676" t="s">
        <v>1458</v>
      </c>
      <c r="P669" s="14"/>
      <c r="Q669" s="452" t="str">
        <f>MATCH($D669,Reference!$J$5:$J$9,0)</f>
        <v>5</v>
      </c>
      <c r="R669" s="452" t="str">
        <f>MATCH($E669,Reference!$J$26:$J$32,0)</f>
        <v>2</v>
      </c>
      <c r="S669" s="452" t="str">
        <f>MATCH($F669,Reference!$J$45:$J$54,0)</f>
        <v>10</v>
      </c>
      <c r="T669" s="453" t="str">
        <f>MATCH($K669,Reference!$J$37:$J$39,0)</f>
        <v>3</v>
      </c>
      <c r="U669" s="454" t="str">
        <f t="shared" si="985"/>
        <v>0</v>
      </c>
      <c r="V669" s="454" t="str">
        <f t="shared" si="3"/>
        <v>0</v>
      </c>
      <c r="W669" s="454" t="str">
        <f t="shared" si="1019"/>
        <v>0</v>
      </c>
      <c r="X669" s="454" t="str">
        <f t="shared" si="987"/>
        <v>1</v>
      </c>
      <c r="Y669" s="456" t="str">
        <f t="shared" si="5"/>
        <v>TRUE</v>
      </c>
      <c r="Z669" s="456" t="str">
        <f t="shared" si="6"/>
        <v>TRUE</v>
      </c>
      <c r="AA669" s="457" t="str">
        <f t="shared" ref="AA669:AB669" si="1022">1-I669</f>
        <v>0%</v>
      </c>
      <c r="AB669" s="457" t="str">
        <f t="shared" si="1022"/>
        <v>100%</v>
      </c>
      <c r="AC669" s="456" t="str">
        <f t="shared" si="8"/>
        <v>1</v>
      </c>
      <c r="AD669" s="458" t="str">
        <f t="shared" si="989"/>
        <v>0</v>
      </c>
      <c r="AE669" s="458" t="str">
        <f t="shared" si="10"/>
        <v>0</v>
      </c>
      <c r="AF669" s="459" t="str">
        <f t="shared" si="990"/>
        <v>0</v>
      </c>
      <c r="AG669" s="460"/>
      <c r="AH669" s="14"/>
      <c r="AI669" s="14"/>
      <c r="AJ669" s="14"/>
      <c r="AK669" s="14"/>
      <c r="AL669" s="14"/>
      <c r="AM669" s="14"/>
      <c r="AN669" s="14"/>
      <c r="AO669" s="14"/>
      <c r="AP669" s="14"/>
      <c r="AQ669" s="14"/>
      <c r="AR669" s="14"/>
      <c r="AS669" s="14"/>
      <c r="AT669" s="14"/>
    </row>
    <row r="670">
      <c r="A670" s="442"/>
      <c r="B670" s="659">
        <v>6.0</v>
      </c>
      <c r="C670" s="660" t="s">
        <v>1459</v>
      </c>
      <c r="D670" s="661" t="s">
        <v>23</v>
      </c>
      <c r="E670" s="662" t="s">
        <v>36</v>
      </c>
      <c r="F670" s="662" t="s">
        <v>77</v>
      </c>
      <c r="G670" s="663">
        <v>1.0</v>
      </c>
      <c r="H670" s="663">
        <v>0.0</v>
      </c>
      <c r="I670" s="664">
        <v>1.0</v>
      </c>
      <c r="J670" s="664">
        <v>1.0</v>
      </c>
      <c r="K670" s="662" t="s">
        <v>188</v>
      </c>
      <c r="L670" s="662"/>
      <c r="M670" s="662">
        <v>6.0</v>
      </c>
      <c r="N670" s="662">
        <v>3.0</v>
      </c>
      <c r="O670" s="665" t="s">
        <v>1460</v>
      </c>
      <c r="P670" s="14"/>
      <c r="Q670" s="452" t="str">
        <f>MATCH($D670,Reference!$J$5:$J$9,0)</f>
        <v>5</v>
      </c>
      <c r="R670" s="452" t="str">
        <f>MATCH($E670,Reference!$J$26:$J$32,0)</f>
        <v>7</v>
      </c>
      <c r="S670" s="452" t="str">
        <f>MATCH($F670,Reference!$J$45:$J$54,0)</f>
        <v>10</v>
      </c>
      <c r="T670" s="453" t="str">
        <f>MATCH($K670,Reference!$J$37:$J$39,0)</f>
        <v>3</v>
      </c>
      <c r="U670" s="454" t="str">
        <f t="shared" si="985"/>
        <v>1</v>
      </c>
      <c r="V670" s="454" t="str">
        <f t="shared" si="3"/>
        <v>1</v>
      </c>
      <c r="W670" s="454" t="str">
        <f t="shared" si="1019"/>
        <v>0</v>
      </c>
      <c r="X670" s="454" t="str">
        <f t="shared" si="987"/>
        <v>2</v>
      </c>
      <c r="Y670" s="456" t="str">
        <f t="shared" si="5"/>
        <v>FALSE</v>
      </c>
      <c r="Z670" s="456" t="str">
        <f t="shared" si="6"/>
        <v>TRUE</v>
      </c>
      <c r="AA670" s="457" t="str">
        <f t="shared" ref="AA670:AB670" si="1023">1-I670</f>
        <v>0%</v>
      </c>
      <c r="AB670" s="457" t="str">
        <f t="shared" si="1023"/>
        <v>0%</v>
      </c>
      <c r="AC670" s="456" t="str">
        <f t="shared" si="8"/>
        <v>1</v>
      </c>
      <c r="AD670" s="458" t="str">
        <f t="shared" si="989"/>
        <v>0</v>
      </c>
      <c r="AE670" s="458" t="str">
        <f t="shared" si="10"/>
        <v>1</v>
      </c>
      <c r="AF670" s="459" t="str">
        <f t="shared" si="990"/>
        <v>0</v>
      </c>
      <c r="AG670" s="460"/>
      <c r="AH670" s="14"/>
      <c r="AI670" s="14"/>
      <c r="AJ670" s="14"/>
      <c r="AK670" s="14"/>
      <c r="AL670" s="14"/>
      <c r="AM670" s="14"/>
      <c r="AN670" s="14"/>
      <c r="AO670" s="14"/>
      <c r="AP670" s="14"/>
      <c r="AQ670" s="14"/>
      <c r="AR670" s="14"/>
      <c r="AS670" s="14"/>
      <c r="AT670" s="14"/>
    </row>
    <row r="671">
      <c r="A671" s="463"/>
      <c r="B671" s="778">
        <v>6.0</v>
      </c>
      <c r="C671" s="779" t="s">
        <v>1461</v>
      </c>
      <c r="D671" s="780" t="s">
        <v>23</v>
      </c>
      <c r="E671" s="780" t="s">
        <v>41</v>
      </c>
      <c r="F671" s="781" t="s">
        <v>77</v>
      </c>
      <c r="G671" s="782" t="str">
        <f>IF(Summary!$Y$25&gt;=VLOOKUP(C671,Reference!$N$41:$O$70,2,0),1,0)</f>
        <v>1</v>
      </c>
      <c r="H671" s="782">
        <v>0.0</v>
      </c>
      <c r="I671" s="783">
        <v>1.0</v>
      </c>
      <c r="J671" s="783"/>
      <c r="K671" s="780" t="s">
        <v>188</v>
      </c>
      <c r="L671" s="780"/>
      <c r="M671" s="781">
        <v>2.0</v>
      </c>
      <c r="N671" s="782">
        <v>8.0</v>
      </c>
      <c r="O671" s="785" t="s">
        <v>1277</v>
      </c>
      <c r="P671" s="14"/>
      <c r="Q671" s="452" t="str">
        <f>MATCH($D671,Reference!$J$5:$J$9,0)</f>
        <v>5</v>
      </c>
      <c r="R671" s="452" t="str">
        <f>MATCH($E671,Reference!$J$26:$J$32,0)</f>
        <v>4</v>
      </c>
      <c r="S671" s="452" t="str">
        <f>MATCH($F671,Reference!$J$45:$J$54,0)</f>
        <v>10</v>
      </c>
      <c r="T671" s="453" t="str">
        <f>MATCH($K671,Reference!$J$37:$J$39,0)</f>
        <v>3</v>
      </c>
      <c r="U671" s="454" t="str">
        <f t="shared" si="985"/>
        <v>1</v>
      </c>
      <c r="V671" s="454" t="str">
        <f t="shared" si="3"/>
        <v>1</v>
      </c>
      <c r="W671" s="455">
        <v>0.0</v>
      </c>
      <c r="X671" s="454" t="str">
        <f t="shared" si="987"/>
        <v>2</v>
      </c>
      <c r="Y671" s="456" t="str">
        <f t="shared" si="5"/>
        <v>FALSE</v>
      </c>
      <c r="Z671" s="456" t="str">
        <f t="shared" si="6"/>
        <v>TRUE</v>
      </c>
      <c r="AA671" s="457" t="str">
        <f t="shared" ref="AA671:AB671" si="1024">1-I671</f>
        <v>0%</v>
      </c>
      <c r="AB671" s="457" t="str">
        <f t="shared" si="1024"/>
        <v>100%</v>
      </c>
      <c r="AC671" s="456" t="str">
        <f t="shared" si="8"/>
        <v>2</v>
      </c>
      <c r="AD671" s="458" t="str">
        <f t="shared" si="989"/>
        <v>0</v>
      </c>
      <c r="AE671" s="458" t="str">
        <f t="shared" si="10"/>
        <v>1</v>
      </c>
      <c r="AF671" s="459" t="str">
        <f t="shared" si="990"/>
        <v>0</v>
      </c>
      <c r="AG671" s="460"/>
      <c r="AH671" s="14"/>
      <c r="AI671" s="14"/>
      <c r="AJ671" s="14"/>
      <c r="AK671" s="14"/>
      <c r="AL671" s="14"/>
      <c r="AM671" s="14"/>
      <c r="AN671" s="14"/>
      <c r="AO671" s="14"/>
      <c r="AP671" s="14"/>
      <c r="AQ671" s="14"/>
      <c r="AR671" s="14"/>
      <c r="AS671" s="14"/>
      <c r="AT671" s="14"/>
    </row>
    <row r="672">
      <c r="A672" s="509"/>
      <c r="B672" s="648">
        <v>6.0</v>
      </c>
      <c r="C672" s="649" t="s">
        <v>1462</v>
      </c>
      <c r="D672" s="650" t="s">
        <v>23</v>
      </c>
      <c r="E672" s="650" t="s">
        <v>35</v>
      </c>
      <c r="F672" s="651" t="s">
        <v>77</v>
      </c>
      <c r="G672" s="653">
        <v>0.0</v>
      </c>
      <c r="H672" s="653">
        <v>0.0</v>
      </c>
      <c r="I672" s="702">
        <v>1.0</v>
      </c>
      <c r="J672" s="702"/>
      <c r="K672" s="650" t="s">
        <v>188</v>
      </c>
      <c r="L672" s="650"/>
      <c r="M672" s="651">
        <v>7.0</v>
      </c>
      <c r="N672" s="653">
        <v>6.0</v>
      </c>
      <c r="O672" s="655" t="s">
        <v>1463</v>
      </c>
      <c r="P672" s="14"/>
      <c r="Q672" s="452" t="str">
        <f>MATCH($D672,Reference!$J$5:$J$9,0)</f>
        <v>5</v>
      </c>
      <c r="R672" s="452" t="str">
        <f>MATCH($E672,Reference!$J$26:$J$32,0)</f>
        <v>5</v>
      </c>
      <c r="S672" s="452" t="str">
        <f>MATCH($F672,Reference!$J$45:$J$54,0)</f>
        <v>10</v>
      </c>
      <c r="T672" s="453" t="str">
        <f>MATCH($K672,Reference!$J$37:$J$39,0)</f>
        <v>3</v>
      </c>
      <c r="U672" s="454" t="str">
        <f t="shared" si="985"/>
        <v>0</v>
      </c>
      <c r="V672" s="454" t="str">
        <f t="shared" si="3"/>
        <v>0</v>
      </c>
      <c r="W672" s="454" t="str">
        <f t="shared" ref="W672:W680" si="1026">(MIN(G672,2)+H672-U672)*1600</f>
        <v>0</v>
      </c>
      <c r="X672" s="454" t="str">
        <f t="shared" si="987"/>
        <v>1</v>
      </c>
      <c r="Y672" s="456" t="str">
        <f t="shared" si="5"/>
        <v>TRUE</v>
      </c>
      <c r="Z672" s="456" t="str">
        <f t="shared" si="6"/>
        <v>TRUE</v>
      </c>
      <c r="AA672" s="457" t="str">
        <f t="shared" ref="AA672:AB672" si="1025">1-I672</f>
        <v>0%</v>
      </c>
      <c r="AB672" s="457" t="str">
        <f t="shared" si="1025"/>
        <v>100%</v>
      </c>
      <c r="AC672" s="456" t="str">
        <f t="shared" si="8"/>
        <v>1</v>
      </c>
      <c r="AD672" s="458" t="str">
        <f t="shared" si="989"/>
        <v>0</v>
      </c>
      <c r="AE672" s="458" t="str">
        <f t="shared" si="10"/>
        <v>0</v>
      </c>
      <c r="AF672" s="459" t="str">
        <f t="shared" si="990"/>
        <v>0</v>
      </c>
      <c r="AG672" s="460"/>
      <c r="AH672" s="14"/>
      <c r="AI672" s="14"/>
      <c r="AJ672" s="14"/>
      <c r="AK672" s="14"/>
      <c r="AL672" s="14"/>
      <c r="AM672" s="14"/>
      <c r="AN672" s="14"/>
      <c r="AO672" s="14"/>
      <c r="AP672" s="14"/>
      <c r="AQ672" s="14"/>
      <c r="AR672" s="14"/>
      <c r="AS672" s="14"/>
      <c r="AT672" s="14"/>
    </row>
    <row r="673">
      <c r="A673" s="509"/>
      <c r="B673" s="669">
        <v>6.0</v>
      </c>
      <c r="C673" s="670" t="s">
        <v>1464</v>
      </c>
      <c r="D673" s="671" t="s">
        <v>23</v>
      </c>
      <c r="E673" s="671" t="s">
        <v>33</v>
      </c>
      <c r="F673" s="672" t="s">
        <v>77</v>
      </c>
      <c r="G673" s="673">
        <v>1.0</v>
      </c>
      <c r="H673" s="673">
        <v>0.0</v>
      </c>
      <c r="I673" s="674">
        <v>1.0</v>
      </c>
      <c r="J673" s="674"/>
      <c r="K673" s="675" t="s">
        <v>188</v>
      </c>
      <c r="L673" s="675"/>
      <c r="M673" s="675">
        <v>5.0</v>
      </c>
      <c r="N673" s="675">
        <v>5.0</v>
      </c>
      <c r="O673" s="676" t="s">
        <v>1465</v>
      </c>
      <c r="P673" s="14"/>
      <c r="Q673" s="452" t="str">
        <f>MATCH($D673,Reference!$J$5:$J$9,0)</f>
        <v>5</v>
      </c>
      <c r="R673" s="452" t="str">
        <f>MATCH($E673,Reference!$J$26:$J$32,0)</f>
        <v>2</v>
      </c>
      <c r="S673" s="452" t="str">
        <f>MATCH($F673,Reference!$J$45:$J$54,0)</f>
        <v>10</v>
      </c>
      <c r="T673" s="453" t="str">
        <f>MATCH($K673,Reference!$J$37:$J$39,0)</f>
        <v>3</v>
      </c>
      <c r="U673" s="454" t="str">
        <f t="shared" si="985"/>
        <v>1</v>
      </c>
      <c r="V673" s="454" t="str">
        <f t="shared" si="3"/>
        <v>1</v>
      </c>
      <c r="W673" s="454" t="str">
        <f t="shared" si="1026"/>
        <v>0</v>
      </c>
      <c r="X673" s="454" t="str">
        <f t="shared" si="987"/>
        <v>2</v>
      </c>
      <c r="Y673" s="456" t="str">
        <f t="shared" si="5"/>
        <v>FALSE</v>
      </c>
      <c r="Z673" s="456" t="str">
        <f t="shared" si="6"/>
        <v>TRUE</v>
      </c>
      <c r="AA673" s="457" t="str">
        <f t="shared" ref="AA673:AB673" si="1027">1-I673</f>
        <v>0%</v>
      </c>
      <c r="AB673" s="457" t="str">
        <f t="shared" si="1027"/>
        <v>100%</v>
      </c>
      <c r="AC673" s="456" t="str">
        <f t="shared" si="8"/>
        <v>2</v>
      </c>
      <c r="AD673" s="458" t="str">
        <f t="shared" si="989"/>
        <v>0</v>
      </c>
      <c r="AE673" s="458" t="str">
        <f t="shared" si="10"/>
        <v>1</v>
      </c>
      <c r="AF673" s="459" t="str">
        <f t="shared" si="990"/>
        <v>0</v>
      </c>
      <c r="AG673" s="460"/>
      <c r="AH673" s="14"/>
      <c r="AI673" s="14"/>
      <c r="AJ673" s="14"/>
      <c r="AK673" s="14"/>
      <c r="AL673" s="14"/>
      <c r="AM673" s="14"/>
      <c r="AN673" s="14"/>
      <c r="AO673" s="14"/>
      <c r="AP673" s="14"/>
      <c r="AQ673" s="14"/>
      <c r="AR673" s="14"/>
      <c r="AS673" s="14"/>
      <c r="AT673" s="14"/>
    </row>
    <row r="674">
      <c r="A674" s="442"/>
      <c r="B674" s="669">
        <v>6.0</v>
      </c>
      <c r="C674" s="670" t="s">
        <v>1466</v>
      </c>
      <c r="D674" s="671" t="s">
        <v>23</v>
      </c>
      <c r="E674" s="671" t="s">
        <v>33</v>
      </c>
      <c r="F674" s="672" t="s">
        <v>77</v>
      </c>
      <c r="G674" s="673">
        <v>0.0</v>
      </c>
      <c r="H674" s="673">
        <v>0.0</v>
      </c>
      <c r="I674" s="674">
        <v>1.0</v>
      </c>
      <c r="J674" s="674"/>
      <c r="K674" s="675" t="s">
        <v>188</v>
      </c>
      <c r="L674" s="675" t="s">
        <v>238</v>
      </c>
      <c r="M674" s="675">
        <v>9.0</v>
      </c>
      <c r="N674" s="675">
        <v>7.0</v>
      </c>
      <c r="O674" s="676" t="s">
        <v>1467</v>
      </c>
      <c r="P674" s="14"/>
      <c r="Q674" s="452" t="str">
        <f>MATCH($D674,Reference!$J$5:$J$9,0)</f>
        <v>5</v>
      </c>
      <c r="R674" s="452" t="str">
        <f>MATCH($E674,Reference!$J$26:$J$32,0)</f>
        <v>2</v>
      </c>
      <c r="S674" s="452" t="str">
        <f>MATCH($F674,Reference!$J$45:$J$54,0)</f>
        <v>10</v>
      </c>
      <c r="T674" s="453" t="str">
        <f>MATCH($K674,Reference!$J$37:$J$39,0)</f>
        <v>3</v>
      </c>
      <c r="U674" s="454" t="str">
        <f t="shared" si="985"/>
        <v>0</v>
      </c>
      <c r="V674" s="454" t="str">
        <f t="shared" si="3"/>
        <v>0</v>
      </c>
      <c r="W674" s="454" t="str">
        <f t="shared" si="1026"/>
        <v>0</v>
      </c>
      <c r="X674" s="454" t="str">
        <f t="shared" si="987"/>
        <v>1</v>
      </c>
      <c r="Y674" s="456" t="str">
        <f t="shared" si="5"/>
        <v>TRUE</v>
      </c>
      <c r="Z674" s="456" t="str">
        <f t="shared" si="6"/>
        <v>TRUE</v>
      </c>
      <c r="AA674" s="457" t="str">
        <f t="shared" ref="AA674:AB674" si="1028">1-I674</f>
        <v>0%</v>
      </c>
      <c r="AB674" s="457" t="str">
        <f t="shared" si="1028"/>
        <v>100%</v>
      </c>
      <c r="AC674" s="456" t="str">
        <f t="shared" si="8"/>
        <v>1</v>
      </c>
      <c r="AD674" s="458" t="str">
        <f t="shared" si="989"/>
        <v>0</v>
      </c>
      <c r="AE674" s="458" t="str">
        <f t="shared" si="10"/>
        <v>0</v>
      </c>
      <c r="AF674" s="459" t="str">
        <f t="shared" si="990"/>
        <v>0</v>
      </c>
      <c r="AG674" s="460"/>
      <c r="AH674" s="14"/>
      <c r="AI674" s="14"/>
      <c r="AJ674" s="14"/>
      <c r="AK674" s="14"/>
      <c r="AL674" s="14"/>
      <c r="AM674" s="14"/>
      <c r="AN674" s="14"/>
      <c r="AO674" s="14"/>
      <c r="AP674" s="14"/>
      <c r="AQ674" s="14"/>
      <c r="AR674" s="14"/>
      <c r="AS674" s="14"/>
      <c r="AT674" s="14"/>
    </row>
    <row r="675">
      <c r="A675" s="442"/>
      <c r="B675" s="669">
        <v>6.0</v>
      </c>
      <c r="C675" s="670" t="s">
        <v>1468</v>
      </c>
      <c r="D675" s="671" t="s">
        <v>23</v>
      </c>
      <c r="E675" s="671" t="s">
        <v>33</v>
      </c>
      <c r="F675" s="672" t="s">
        <v>77</v>
      </c>
      <c r="G675" s="707">
        <v>0.0</v>
      </c>
      <c r="H675" s="673">
        <v>0.0</v>
      </c>
      <c r="I675" s="674">
        <v>1.0</v>
      </c>
      <c r="J675" s="674"/>
      <c r="K675" s="675" t="s">
        <v>188</v>
      </c>
      <c r="L675" s="675"/>
      <c r="M675" s="675">
        <v>4.0</v>
      </c>
      <c r="N675" s="675">
        <v>5.0</v>
      </c>
      <c r="O675" s="676" t="s">
        <v>1469</v>
      </c>
      <c r="P675" s="14"/>
      <c r="Q675" s="452" t="str">
        <f>MATCH($D675,Reference!$J$5:$J$9,0)</f>
        <v>5</v>
      </c>
      <c r="R675" s="452" t="str">
        <f>MATCH($E675,Reference!$J$26:$J$32,0)</f>
        <v>2</v>
      </c>
      <c r="S675" s="452" t="str">
        <f>MATCH($F675,Reference!$J$45:$J$54,0)</f>
        <v>10</v>
      </c>
      <c r="T675" s="453" t="str">
        <f>MATCH($K675,Reference!$J$37:$J$39,0)</f>
        <v>3</v>
      </c>
      <c r="U675" s="454" t="str">
        <f t="shared" si="985"/>
        <v>0</v>
      </c>
      <c r="V675" s="454" t="str">
        <f t="shared" si="3"/>
        <v>0</v>
      </c>
      <c r="W675" s="454" t="str">
        <f t="shared" si="1026"/>
        <v>0</v>
      </c>
      <c r="X675" s="454" t="str">
        <f t="shared" si="987"/>
        <v>1</v>
      </c>
      <c r="Y675" s="456" t="str">
        <f t="shared" si="5"/>
        <v>TRUE</v>
      </c>
      <c r="Z675" s="456" t="str">
        <f t="shared" si="6"/>
        <v>TRUE</v>
      </c>
      <c r="AA675" s="457" t="str">
        <f t="shared" ref="AA675:AB675" si="1029">1-I675</f>
        <v>0%</v>
      </c>
      <c r="AB675" s="457" t="str">
        <f t="shared" si="1029"/>
        <v>100%</v>
      </c>
      <c r="AC675" s="456" t="str">
        <f t="shared" si="8"/>
        <v>1</v>
      </c>
      <c r="AD675" s="458" t="str">
        <f t="shared" si="989"/>
        <v>0</v>
      </c>
      <c r="AE675" s="458" t="str">
        <f t="shared" si="10"/>
        <v>0</v>
      </c>
      <c r="AF675" s="459" t="str">
        <f t="shared" si="990"/>
        <v>0</v>
      </c>
      <c r="AG675" s="460"/>
      <c r="AH675" s="14"/>
      <c r="AI675" s="14"/>
      <c r="AJ675" s="14"/>
      <c r="AK675" s="14"/>
      <c r="AL675" s="14"/>
      <c r="AM675" s="14"/>
      <c r="AN675" s="14"/>
      <c r="AO675" s="14"/>
      <c r="AP675" s="14"/>
      <c r="AQ675" s="14"/>
      <c r="AR675" s="14"/>
      <c r="AS675" s="14"/>
      <c r="AT675" s="14"/>
    </row>
    <row r="676">
      <c r="A676" s="442"/>
      <c r="B676" s="659">
        <v>6.0</v>
      </c>
      <c r="C676" s="665" t="s">
        <v>1470</v>
      </c>
      <c r="D676" s="661" t="s">
        <v>23</v>
      </c>
      <c r="E676" s="662" t="s">
        <v>36</v>
      </c>
      <c r="F676" s="662" t="s">
        <v>77</v>
      </c>
      <c r="G676" s="663">
        <v>0.0</v>
      </c>
      <c r="H676" s="663">
        <v>0.0</v>
      </c>
      <c r="I676" s="664">
        <v>1.0</v>
      </c>
      <c r="J676" s="664">
        <v>1.0</v>
      </c>
      <c r="K676" s="662" t="s">
        <v>188</v>
      </c>
      <c r="L676" s="662"/>
      <c r="M676" s="662">
        <v>7.0</v>
      </c>
      <c r="N676" s="662">
        <v>4.0</v>
      </c>
      <c r="O676" s="665" t="s">
        <v>1471</v>
      </c>
      <c r="P676" s="14"/>
      <c r="Q676" s="452" t="str">
        <f>MATCH($D676,Reference!$J$5:$J$9,0)</f>
        <v>5</v>
      </c>
      <c r="R676" s="452" t="str">
        <f>MATCH($E676,Reference!$J$26:$J$32,0)</f>
        <v>7</v>
      </c>
      <c r="S676" s="452" t="str">
        <f>MATCH($F676,Reference!$J$45:$J$54,0)</f>
        <v>10</v>
      </c>
      <c r="T676" s="453" t="str">
        <f>MATCH($K676,Reference!$J$37:$J$39,0)</f>
        <v>3</v>
      </c>
      <c r="U676" s="454" t="str">
        <f t="shared" si="985"/>
        <v>0</v>
      </c>
      <c r="V676" s="454" t="str">
        <f t="shared" si="3"/>
        <v>0</v>
      </c>
      <c r="W676" s="454" t="str">
        <f t="shared" si="1026"/>
        <v>0</v>
      </c>
      <c r="X676" s="454" t="str">
        <f t="shared" si="987"/>
        <v>1</v>
      </c>
      <c r="Y676" s="456" t="str">
        <f t="shared" si="5"/>
        <v>TRUE</v>
      </c>
      <c r="Z676" s="456" t="str">
        <f t="shared" si="6"/>
        <v>TRUE</v>
      </c>
      <c r="AA676" s="457" t="str">
        <f t="shared" ref="AA676:AB676" si="1030">1-I676</f>
        <v>0%</v>
      </c>
      <c r="AB676" s="457" t="str">
        <f t="shared" si="1030"/>
        <v>0%</v>
      </c>
      <c r="AC676" s="456" t="str">
        <f t="shared" si="8"/>
        <v>0</v>
      </c>
      <c r="AD676" s="458" t="str">
        <f t="shared" si="989"/>
        <v>0</v>
      </c>
      <c r="AE676" s="458" t="str">
        <f t="shared" si="10"/>
        <v>0</v>
      </c>
      <c r="AF676" s="459" t="str">
        <f t="shared" si="990"/>
        <v>0</v>
      </c>
      <c r="AG676" s="460"/>
      <c r="AH676" s="14"/>
      <c r="AI676" s="14"/>
      <c r="AJ676" s="14"/>
      <c r="AK676" s="14"/>
      <c r="AL676" s="14"/>
      <c r="AM676" s="14"/>
      <c r="AN676" s="14"/>
      <c r="AO676" s="14"/>
      <c r="AP676" s="14"/>
      <c r="AQ676" s="14"/>
      <c r="AR676" s="14"/>
      <c r="AS676" s="14"/>
      <c r="AT676" s="14"/>
    </row>
    <row r="677">
      <c r="A677" s="442"/>
      <c r="B677" s="648">
        <v>6.0</v>
      </c>
      <c r="C677" s="649" t="s">
        <v>1472</v>
      </c>
      <c r="D677" s="650" t="s">
        <v>23</v>
      </c>
      <c r="E677" s="650" t="s">
        <v>35</v>
      </c>
      <c r="F677" s="651" t="s">
        <v>77</v>
      </c>
      <c r="G677" s="652">
        <v>0.0</v>
      </c>
      <c r="H677" s="653">
        <v>0.0</v>
      </c>
      <c r="I677" s="654">
        <v>1.0</v>
      </c>
      <c r="J677" s="654"/>
      <c r="K677" s="703" t="s">
        <v>188</v>
      </c>
      <c r="L677" s="703"/>
      <c r="M677" s="703">
        <v>5.0</v>
      </c>
      <c r="N677" s="703">
        <v>7.0</v>
      </c>
      <c r="O677" s="655" t="s">
        <v>1473</v>
      </c>
      <c r="P677" s="14"/>
      <c r="Q677" s="452" t="str">
        <f>MATCH($D677,Reference!$J$5:$J$9,0)</f>
        <v>5</v>
      </c>
      <c r="R677" s="452" t="str">
        <f>MATCH($E677,Reference!$J$26:$J$32,0)</f>
        <v>5</v>
      </c>
      <c r="S677" s="452" t="str">
        <f>MATCH($F677,Reference!$J$45:$J$54,0)</f>
        <v>10</v>
      </c>
      <c r="T677" s="453" t="str">
        <f>MATCH($K677,Reference!$J$37:$J$39,0)</f>
        <v>3</v>
      </c>
      <c r="U677" s="454" t="str">
        <f t="shared" si="985"/>
        <v>0</v>
      </c>
      <c r="V677" s="454" t="str">
        <f t="shared" si="3"/>
        <v>0</v>
      </c>
      <c r="W677" s="454" t="str">
        <f t="shared" si="1026"/>
        <v>0</v>
      </c>
      <c r="X677" s="454" t="str">
        <f t="shared" si="987"/>
        <v>1</v>
      </c>
      <c r="Y677" s="456" t="str">
        <f t="shared" si="5"/>
        <v>TRUE</v>
      </c>
      <c r="Z677" s="456" t="str">
        <f t="shared" si="6"/>
        <v>TRUE</v>
      </c>
      <c r="AA677" s="457" t="str">
        <f t="shared" ref="AA677:AB677" si="1031">1-I677</f>
        <v>0%</v>
      </c>
      <c r="AB677" s="457" t="str">
        <f t="shared" si="1031"/>
        <v>100%</v>
      </c>
      <c r="AC677" s="456" t="str">
        <f t="shared" si="8"/>
        <v>1</v>
      </c>
      <c r="AD677" s="458" t="str">
        <f t="shared" si="989"/>
        <v>0</v>
      </c>
      <c r="AE677" s="458" t="str">
        <f t="shared" si="10"/>
        <v>0</v>
      </c>
      <c r="AF677" s="459" t="str">
        <f t="shared" si="990"/>
        <v>0</v>
      </c>
      <c r="AG677" s="460"/>
      <c r="AH677" s="14"/>
      <c r="AI677" s="14"/>
      <c r="AJ677" s="14"/>
      <c r="AK677" s="14"/>
      <c r="AL677" s="14"/>
      <c r="AM677" s="14"/>
      <c r="AN677" s="14"/>
      <c r="AO677" s="14"/>
      <c r="AP677" s="14"/>
      <c r="AQ677" s="14"/>
      <c r="AR677" s="14"/>
      <c r="AS677" s="14"/>
      <c r="AT677" s="14"/>
    </row>
    <row r="678">
      <c r="A678" s="509"/>
      <c r="B678" s="669">
        <v>7.0</v>
      </c>
      <c r="C678" s="670" t="s">
        <v>1474</v>
      </c>
      <c r="D678" s="671" t="s">
        <v>23</v>
      </c>
      <c r="E678" s="671" t="s">
        <v>33</v>
      </c>
      <c r="F678" s="672" t="s">
        <v>77</v>
      </c>
      <c r="G678" s="707">
        <v>1.0</v>
      </c>
      <c r="H678" s="673">
        <v>0.0</v>
      </c>
      <c r="I678" s="674">
        <v>1.0</v>
      </c>
      <c r="J678" s="674"/>
      <c r="K678" s="675" t="s">
        <v>188</v>
      </c>
      <c r="L678" s="675"/>
      <c r="M678" s="675">
        <v>7.0</v>
      </c>
      <c r="N678" s="675">
        <v>5.0</v>
      </c>
      <c r="O678" s="676" t="s">
        <v>1475</v>
      </c>
      <c r="P678" s="14"/>
      <c r="Q678" s="452" t="str">
        <f>MATCH($D678,Reference!$J$5:$J$9,0)</f>
        <v>5</v>
      </c>
      <c r="R678" s="452" t="str">
        <f>MATCH($E678,Reference!$J$26:$J$32,0)</f>
        <v>2</v>
      </c>
      <c r="S678" s="452" t="str">
        <f>MATCH($F678,Reference!$J$45:$J$54,0)</f>
        <v>10</v>
      </c>
      <c r="T678" s="453" t="str">
        <f>MATCH($K678,Reference!$J$37:$J$39,0)</f>
        <v>3</v>
      </c>
      <c r="U678" s="454" t="str">
        <f t="shared" si="985"/>
        <v>1</v>
      </c>
      <c r="V678" s="454" t="str">
        <f t="shared" si="3"/>
        <v>1</v>
      </c>
      <c r="W678" s="454" t="str">
        <f t="shared" si="1026"/>
        <v>0</v>
      </c>
      <c r="X678" s="454" t="str">
        <f t="shared" si="987"/>
        <v>2</v>
      </c>
      <c r="Y678" s="456" t="str">
        <f t="shared" si="5"/>
        <v>FALSE</v>
      </c>
      <c r="Z678" s="456" t="str">
        <f t="shared" si="6"/>
        <v>TRUE</v>
      </c>
      <c r="AA678" s="457" t="str">
        <f t="shared" ref="AA678:AB678" si="1032">1-I678</f>
        <v>0%</v>
      </c>
      <c r="AB678" s="457" t="str">
        <f t="shared" si="1032"/>
        <v>100%</v>
      </c>
      <c r="AC678" s="456" t="str">
        <f t="shared" si="8"/>
        <v>2</v>
      </c>
      <c r="AD678" s="458" t="str">
        <f t="shared" si="989"/>
        <v>0</v>
      </c>
      <c r="AE678" s="458" t="str">
        <f t="shared" si="10"/>
        <v>1</v>
      </c>
      <c r="AF678" s="459" t="str">
        <f t="shared" si="990"/>
        <v>0</v>
      </c>
      <c r="AG678" s="460"/>
      <c r="AH678" s="14"/>
      <c r="AI678" s="14"/>
      <c r="AJ678" s="14"/>
      <c r="AK678" s="14"/>
      <c r="AL678" s="14"/>
      <c r="AM678" s="14"/>
      <c r="AN678" s="14"/>
      <c r="AO678" s="14"/>
      <c r="AP678" s="14"/>
      <c r="AQ678" s="14"/>
      <c r="AR678" s="14"/>
      <c r="AS678" s="14"/>
      <c r="AT678" s="14"/>
    </row>
    <row r="679">
      <c r="A679" s="463"/>
      <c r="B679" s="659">
        <v>7.0</v>
      </c>
      <c r="C679" s="660" t="s">
        <v>1476</v>
      </c>
      <c r="D679" s="661" t="s">
        <v>23</v>
      </c>
      <c r="E679" s="662" t="s">
        <v>36</v>
      </c>
      <c r="F679" s="662" t="s">
        <v>77</v>
      </c>
      <c r="G679" s="663">
        <v>1.0</v>
      </c>
      <c r="H679" s="663">
        <v>0.0</v>
      </c>
      <c r="I679" s="664">
        <v>2.0</v>
      </c>
      <c r="J679" s="664">
        <v>1.0</v>
      </c>
      <c r="K679" s="662" t="s">
        <v>188</v>
      </c>
      <c r="L679" s="662" t="s">
        <v>446</v>
      </c>
      <c r="M679" s="662">
        <v>6.0</v>
      </c>
      <c r="N679" s="662">
        <v>6.0</v>
      </c>
      <c r="O679" s="665" t="s">
        <v>1477</v>
      </c>
      <c r="P679" s="14"/>
      <c r="Q679" s="452" t="str">
        <f>MATCH($D679,Reference!$J$5:$J$9,0)</f>
        <v>5</v>
      </c>
      <c r="R679" s="452" t="str">
        <f>MATCH($E679,Reference!$J$26:$J$32,0)</f>
        <v>7</v>
      </c>
      <c r="S679" s="452" t="str">
        <f>MATCH($F679,Reference!$J$45:$J$54,0)</f>
        <v>10</v>
      </c>
      <c r="T679" s="453" t="str">
        <f>MATCH($K679,Reference!$J$37:$J$39,0)</f>
        <v>3</v>
      </c>
      <c r="U679" s="454" t="str">
        <f t="shared" si="985"/>
        <v>1</v>
      </c>
      <c r="V679" s="454" t="str">
        <f t="shared" si="3"/>
        <v>1</v>
      </c>
      <c r="W679" s="454" t="str">
        <f t="shared" si="1026"/>
        <v>0</v>
      </c>
      <c r="X679" s="454" t="str">
        <f t="shared" si="987"/>
        <v>2</v>
      </c>
      <c r="Y679" s="456" t="str">
        <f t="shared" si="5"/>
        <v>FALSE</v>
      </c>
      <c r="Z679" s="456" t="str">
        <f t="shared" si="6"/>
        <v>TRUE</v>
      </c>
      <c r="AA679" s="457" t="str">
        <f t="shared" ref="AA679:AB679" si="1033">1-I679</f>
        <v>-100%</v>
      </c>
      <c r="AB679" s="457" t="str">
        <f t="shared" si="1033"/>
        <v>0%</v>
      </c>
      <c r="AC679" s="456" t="str">
        <f t="shared" si="8"/>
        <v>1</v>
      </c>
      <c r="AD679" s="458" t="str">
        <f t="shared" si="989"/>
        <v>0</v>
      </c>
      <c r="AE679" s="458" t="str">
        <f t="shared" si="10"/>
        <v>1</v>
      </c>
      <c r="AF679" s="459" t="str">
        <f t="shared" si="990"/>
        <v>0</v>
      </c>
      <c r="AG679" s="460"/>
      <c r="AH679" s="14"/>
      <c r="AI679" s="14"/>
      <c r="AJ679" s="14"/>
      <c r="AK679" s="14"/>
      <c r="AL679" s="14"/>
      <c r="AM679" s="14"/>
      <c r="AN679" s="14"/>
      <c r="AO679" s="14"/>
      <c r="AP679" s="14"/>
      <c r="AQ679" s="14"/>
      <c r="AR679" s="14"/>
      <c r="AS679" s="14"/>
      <c r="AT679" s="14"/>
    </row>
    <row r="680">
      <c r="A680" s="442"/>
      <c r="B680" s="648">
        <v>7.0</v>
      </c>
      <c r="C680" s="649" t="s">
        <v>1478</v>
      </c>
      <c r="D680" s="650" t="s">
        <v>23</v>
      </c>
      <c r="E680" s="650" t="s">
        <v>35</v>
      </c>
      <c r="F680" s="651" t="s">
        <v>77</v>
      </c>
      <c r="G680" s="653">
        <v>1.0</v>
      </c>
      <c r="H680" s="653">
        <v>0.0</v>
      </c>
      <c r="I680" s="654">
        <v>1.0</v>
      </c>
      <c r="J680" s="654"/>
      <c r="K680" s="703" t="s">
        <v>188</v>
      </c>
      <c r="L680" s="703"/>
      <c r="M680" s="703">
        <v>7.0</v>
      </c>
      <c r="N680" s="703">
        <v>7.0</v>
      </c>
      <c r="O680" s="655" t="s">
        <v>1479</v>
      </c>
      <c r="P680" s="14"/>
      <c r="Q680" s="452" t="str">
        <f>MATCH($D680,Reference!$J$5:$J$9,0)</f>
        <v>5</v>
      </c>
      <c r="R680" s="452" t="str">
        <f>MATCH($E680,Reference!$J$26:$J$32,0)</f>
        <v>5</v>
      </c>
      <c r="S680" s="452" t="str">
        <f>MATCH($F680,Reference!$J$45:$J$54,0)</f>
        <v>10</v>
      </c>
      <c r="T680" s="453" t="str">
        <f>MATCH($K680,Reference!$J$37:$J$39,0)</f>
        <v>3</v>
      </c>
      <c r="U680" s="454" t="str">
        <f t="shared" si="985"/>
        <v>1</v>
      </c>
      <c r="V680" s="454" t="str">
        <f t="shared" si="3"/>
        <v>1</v>
      </c>
      <c r="W680" s="454" t="str">
        <f t="shared" si="1026"/>
        <v>0</v>
      </c>
      <c r="X680" s="454" t="str">
        <f t="shared" si="987"/>
        <v>2</v>
      </c>
      <c r="Y680" s="456" t="str">
        <f t="shared" si="5"/>
        <v>FALSE</v>
      </c>
      <c r="Z680" s="456" t="str">
        <f t="shared" si="6"/>
        <v>TRUE</v>
      </c>
      <c r="AA680" s="457" t="str">
        <f t="shared" ref="AA680:AB680" si="1034">1-I680</f>
        <v>0%</v>
      </c>
      <c r="AB680" s="457" t="str">
        <f t="shared" si="1034"/>
        <v>100%</v>
      </c>
      <c r="AC680" s="456" t="str">
        <f t="shared" si="8"/>
        <v>2</v>
      </c>
      <c r="AD680" s="458" t="str">
        <f t="shared" si="989"/>
        <v>0</v>
      </c>
      <c r="AE680" s="458" t="str">
        <f t="shared" si="10"/>
        <v>1</v>
      </c>
      <c r="AF680" s="459" t="str">
        <f t="shared" si="990"/>
        <v>0</v>
      </c>
      <c r="AG680" s="460"/>
      <c r="AH680" s="14"/>
      <c r="AI680" s="14"/>
      <c r="AJ680" s="14"/>
      <c r="AK680" s="14"/>
      <c r="AL680" s="14"/>
      <c r="AM680" s="14"/>
      <c r="AN680" s="14"/>
      <c r="AO680" s="14"/>
      <c r="AP680" s="14"/>
      <c r="AQ680" s="14"/>
      <c r="AR680" s="14"/>
      <c r="AS680" s="14"/>
      <c r="AT680" s="14"/>
    </row>
    <row r="681">
      <c r="A681" s="442"/>
      <c r="B681" s="796">
        <v>7.0</v>
      </c>
      <c r="C681" s="797" t="s">
        <v>1480</v>
      </c>
      <c r="D681" s="798" t="s">
        <v>23</v>
      </c>
      <c r="E681" s="798" t="s">
        <v>47</v>
      </c>
      <c r="F681" s="799" t="s">
        <v>77</v>
      </c>
      <c r="G681" s="800" t="str">
        <f>IF(Summary!$Y$27&gt;=VLOOKUP(C681,Reference!$N$6:$O$36,2,0),1,0)</f>
        <v>1</v>
      </c>
      <c r="H681" s="800">
        <v>0.0</v>
      </c>
      <c r="I681" s="801">
        <v>1.0</v>
      </c>
      <c r="J681" s="801"/>
      <c r="K681" s="802" t="s">
        <v>188</v>
      </c>
      <c r="L681" s="802"/>
      <c r="M681" s="802">
        <v>8.0</v>
      </c>
      <c r="N681" s="802">
        <v>4.0</v>
      </c>
      <c r="O681" s="803" t="s">
        <v>1481</v>
      </c>
      <c r="P681" s="14"/>
      <c r="Q681" s="452" t="str">
        <f>MATCH($D681,Reference!$J$5:$J$9,0)</f>
        <v>5</v>
      </c>
      <c r="R681" s="452" t="str">
        <f>MATCH($E681,Reference!$J$26:$J$32,0)</f>
        <v>6</v>
      </c>
      <c r="S681" s="452" t="str">
        <f>MATCH($F681,Reference!$J$45:$J$54,0)</f>
        <v>10</v>
      </c>
      <c r="T681" s="453" t="str">
        <f>MATCH($K681,Reference!$J$37:$J$39,0)</f>
        <v>3</v>
      </c>
      <c r="U681" s="454" t="str">
        <f t="shared" si="985"/>
        <v>1</v>
      </c>
      <c r="V681" s="454" t="str">
        <f t="shared" si="3"/>
        <v>1</v>
      </c>
      <c r="W681" s="455">
        <v>0.0</v>
      </c>
      <c r="X681" s="454" t="str">
        <f t="shared" si="987"/>
        <v>2</v>
      </c>
      <c r="Y681" s="456" t="str">
        <f t="shared" si="5"/>
        <v>FALSE</v>
      </c>
      <c r="Z681" s="456" t="str">
        <f t="shared" si="6"/>
        <v>TRUE</v>
      </c>
      <c r="AA681" s="457" t="str">
        <f t="shared" ref="AA681:AB681" si="1035">1-I681</f>
        <v>0%</v>
      </c>
      <c r="AB681" s="457" t="str">
        <f t="shared" si="1035"/>
        <v>100%</v>
      </c>
      <c r="AC681" s="456" t="str">
        <f t="shared" si="8"/>
        <v>2</v>
      </c>
      <c r="AD681" s="458" t="str">
        <f t="shared" si="989"/>
        <v>0</v>
      </c>
      <c r="AE681" s="458" t="str">
        <f t="shared" si="10"/>
        <v>1</v>
      </c>
      <c r="AF681" s="459" t="str">
        <f t="shared" si="990"/>
        <v>0</v>
      </c>
      <c r="AG681" s="460"/>
      <c r="AH681" s="14"/>
      <c r="AI681" s="14"/>
      <c r="AJ681" s="14"/>
      <c r="AK681" s="14"/>
      <c r="AL681" s="14"/>
      <c r="AM681" s="14"/>
      <c r="AN681" s="14"/>
      <c r="AO681" s="14"/>
      <c r="AP681" s="14"/>
      <c r="AQ681" s="14"/>
      <c r="AR681" s="14"/>
      <c r="AS681" s="14"/>
      <c r="AT681" s="14"/>
    </row>
    <row r="682">
      <c r="A682" s="509"/>
      <c r="B682" s="659">
        <v>7.0</v>
      </c>
      <c r="C682" s="660" t="s">
        <v>1482</v>
      </c>
      <c r="D682" s="661" t="s">
        <v>23</v>
      </c>
      <c r="E682" s="662" t="s">
        <v>36</v>
      </c>
      <c r="F682" s="662" t="s">
        <v>77</v>
      </c>
      <c r="G682" s="663">
        <v>0.0</v>
      </c>
      <c r="H682" s="663">
        <v>0.0</v>
      </c>
      <c r="I682" s="664">
        <v>1.0</v>
      </c>
      <c r="J682" s="664">
        <v>1.0</v>
      </c>
      <c r="K682" s="662" t="s">
        <v>188</v>
      </c>
      <c r="L682" s="662" t="s">
        <v>660</v>
      </c>
      <c r="M682" s="662">
        <v>4.0</v>
      </c>
      <c r="N682" s="662">
        <v>6.0</v>
      </c>
      <c r="O682" s="665" t="s">
        <v>1483</v>
      </c>
      <c r="P682" s="14"/>
      <c r="Q682" s="452" t="str">
        <f>MATCH($D682,Reference!$J$5:$J$9,0)</f>
        <v>5</v>
      </c>
      <c r="R682" s="452" t="str">
        <f>MATCH($E682,Reference!$J$26:$J$32,0)</f>
        <v>7</v>
      </c>
      <c r="S682" s="452" t="str">
        <f>MATCH($F682,Reference!$J$45:$J$54,0)</f>
        <v>10</v>
      </c>
      <c r="T682" s="453" t="str">
        <f>MATCH($K682,Reference!$J$37:$J$39,0)</f>
        <v>3</v>
      </c>
      <c r="U682" s="454" t="str">
        <f t="shared" si="985"/>
        <v>0</v>
      </c>
      <c r="V682" s="454" t="str">
        <f t="shared" si="3"/>
        <v>0</v>
      </c>
      <c r="W682" s="454" t="str">
        <f t="shared" ref="W682:W683" si="1037">(MIN(G682,2)+H682-U682)*1600</f>
        <v>0</v>
      </c>
      <c r="X682" s="454" t="str">
        <f t="shared" si="987"/>
        <v>1</v>
      </c>
      <c r="Y682" s="456" t="str">
        <f t="shared" si="5"/>
        <v>TRUE</v>
      </c>
      <c r="Z682" s="456" t="str">
        <f t="shared" si="6"/>
        <v>TRUE</v>
      </c>
      <c r="AA682" s="457" t="str">
        <f t="shared" ref="AA682:AB682" si="1036">1-I682</f>
        <v>0%</v>
      </c>
      <c r="AB682" s="457" t="str">
        <f t="shared" si="1036"/>
        <v>0%</v>
      </c>
      <c r="AC682" s="456" t="str">
        <f t="shared" si="8"/>
        <v>0</v>
      </c>
      <c r="AD682" s="458" t="str">
        <f t="shared" si="989"/>
        <v>0</v>
      </c>
      <c r="AE682" s="458" t="str">
        <f t="shared" si="10"/>
        <v>0</v>
      </c>
      <c r="AF682" s="459" t="str">
        <f t="shared" si="990"/>
        <v>0</v>
      </c>
      <c r="AG682" s="460"/>
      <c r="AH682" s="14"/>
      <c r="AI682" s="14"/>
      <c r="AJ682" s="14"/>
      <c r="AK682" s="14"/>
      <c r="AL682" s="14"/>
      <c r="AM682" s="14"/>
      <c r="AN682" s="14"/>
      <c r="AO682" s="14"/>
      <c r="AP682" s="14"/>
      <c r="AQ682" s="14"/>
      <c r="AR682" s="14"/>
      <c r="AS682" s="14"/>
      <c r="AT682" s="14"/>
    </row>
    <row r="683">
      <c r="A683" s="442"/>
      <c r="B683" s="648">
        <v>7.0</v>
      </c>
      <c r="C683" s="649" t="s">
        <v>1484</v>
      </c>
      <c r="D683" s="650" t="s">
        <v>23</v>
      </c>
      <c r="E683" s="650" t="s">
        <v>35</v>
      </c>
      <c r="F683" s="651" t="s">
        <v>77</v>
      </c>
      <c r="G683" s="736">
        <v>1.0</v>
      </c>
      <c r="H683" s="653">
        <v>0.0</v>
      </c>
      <c r="I683" s="654">
        <v>1.0</v>
      </c>
      <c r="J683" s="654"/>
      <c r="K683" s="804" t="s">
        <v>188</v>
      </c>
      <c r="L683" s="703"/>
      <c r="M683" s="804">
        <v>6.0</v>
      </c>
      <c r="N683" s="804">
        <v>6.0</v>
      </c>
      <c r="O683" s="655" t="s">
        <v>1485</v>
      </c>
      <c r="P683" s="14"/>
      <c r="Q683" s="452" t="str">
        <f>MATCH($D683,Reference!$J$5:$J$9,0)</f>
        <v>5</v>
      </c>
      <c r="R683" s="452" t="str">
        <f>MATCH($E683,Reference!$J$26:$J$32,0)</f>
        <v>5</v>
      </c>
      <c r="S683" s="452" t="str">
        <f>MATCH($F683,Reference!$J$45:$J$54,0)</f>
        <v>10</v>
      </c>
      <c r="T683" s="453" t="str">
        <f>MATCH($K683,Reference!$J$37:$J$39,0)</f>
        <v>3</v>
      </c>
      <c r="U683" s="454" t="str">
        <f t="shared" si="985"/>
        <v>1</v>
      </c>
      <c r="V683" s="454" t="str">
        <f t="shared" si="3"/>
        <v>1</v>
      </c>
      <c r="W683" s="454" t="str">
        <f t="shared" si="1037"/>
        <v>0</v>
      </c>
      <c r="X683" s="454" t="str">
        <f t="shared" si="987"/>
        <v>2</v>
      </c>
      <c r="Y683" s="456" t="str">
        <f t="shared" si="5"/>
        <v>FALSE</v>
      </c>
      <c r="Z683" s="456" t="str">
        <f t="shared" si="6"/>
        <v>TRUE</v>
      </c>
      <c r="AA683" s="457" t="str">
        <f t="shared" ref="AA683:AB683" si="1038">1-I683</f>
        <v>0%</v>
      </c>
      <c r="AB683" s="457" t="str">
        <f t="shared" si="1038"/>
        <v>100%</v>
      </c>
      <c r="AC683" s="456" t="str">
        <f t="shared" si="8"/>
        <v>2</v>
      </c>
      <c r="AD683" s="458" t="str">
        <f t="shared" si="989"/>
        <v>0</v>
      </c>
      <c r="AE683" s="458" t="str">
        <f t="shared" si="10"/>
        <v>1</v>
      </c>
      <c r="AF683" s="459" t="str">
        <f t="shared" si="990"/>
        <v>0</v>
      </c>
      <c r="AG683" s="460"/>
      <c r="AH683" s="14"/>
      <c r="AI683" s="14"/>
      <c r="AJ683" s="14"/>
      <c r="AK683" s="14"/>
      <c r="AL683" s="14"/>
      <c r="AM683" s="14"/>
      <c r="AN683" s="14"/>
      <c r="AO683" s="14"/>
      <c r="AP683" s="14"/>
      <c r="AQ683" s="14"/>
      <c r="AR683" s="14"/>
      <c r="AS683" s="14"/>
      <c r="AT683" s="14"/>
    </row>
    <row r="684">
      <c r="A684" s="442"/>
      <c r="B684" s="796">
        <v>8.0</v>
      </c>
      <c r="C684" s="797" t="s">
        <v>1486</v>
      </c>
      <c r="D684" s="798" t="s">
        <v>23</v>
      </c>
      <c r="E684" s="798" t="s">
        <v>47</v>
      </c>
      <c r="F684" s="799" t="s">
        <v>77</v>
      </c>
      <c r="G684" s="800" t="str">
        <f>IF(Summary!$Y$27&gt;=VLOOKUP(C684,Reference!$N$6:$O$36,2,0),1,0)</f>
        <v>1</v>
      </c>
      <c r="H684" s="800">
        <v>0.0</v>
      </c>
      <c r="I684" s="801">
        <v>1.0</v>
      </c>
      <c r="J684" s="801"/>
      <c r="K684" s="802" t="s">
        <v>188</v>
      </c>
      <c r="L684" s="802" t="s">
        <v>446</v>
      </c>
      <c r="M684" s="802">
        <v>6.0</v>
      </c>
      <c r="N684" s="802">
        <v>8.0</v>
      </c>
      <c r="O684" s="803" t="s">
        <v>1487</v>
      </c>
      <c r="P684" s="14"/>
      <c r="Q684" s="452" t="str">
        <f>MATCH($D684,Reference!$J$5:$J$9,0)</f>
        <v>5</v>
      </c>
      <c r="R684" s="452" t="str">
        <f>MATCH($E684,Reference!$J$26:$J$32,0)</f>
        <v>6</v>
      </c>
      <c r="S684" s="452" t="str">
        <f>MATCH($F684,Reference!$J$45:$J$54,0)</f>
        <v>10</v>
      </c>
      <c r="T684" s="453" t="str">
        <f>MATCH($K684,Reference!$J$37:$J$39,0)</f>
        <v>3</v>
      </c>
      <c r="U684" s="454" t="str">
        <f t="shared" si="985"/>
        <v>1</v>
      </c>
      <c r="V684" s="454" t="str">
        <f t="shared" si="3"/>
        <v>1</v>
      </c>
      <c r="W684" s="455">
        <v>0.0</v>
      </c>
      <c r="X684" s="454" t="str">
        <f t="shared" si="987"/>
        <v>2</v>
      </c>
      <c r="Y684" s="456" t="str">
        <f t="shared" si="5"/>
        <v>FALSE</v>
      </c>
      <c r="Z684" s="456" t="str">
        <f t="shared" si="6"/>
        <v>TRUE</v>
      </c>
      <c r="AA684" s="457" t="str">
        <f t="shared" ref="AA684:AB684" si="1039">1-I684</f>
        <v>0%</v>
      </c>
      <c r="AB684" s="457" t="str">
        <f t="shared" si="1039"/>
        <v>100%</v>
      </c>
      <c r="AC684" s="456" t="str">
        <f t="shared" si="8"/>
        <v>2</v>
      </c>
      <c r="AD684" s="458" t="str">
        <f t="shared" si="989"/>
        <v>0</v>
      </c>
      <c r="AE684" s="458" t="str">
        <f t="shared" si="10"/>
        <v>1</v>
      </c>
      <c r="AF684" s="459" t="str">
        <f t="shared" si="990"/>
        <v>0</v>
      </c>
      <c r="AG684" s="460"/>
      <c r="AH684" s="14"/>
      <c r="AI684" s="14"/>
      <c r="AJ684" s="14"/>
      <c r="AK684" s="14"/>
      <c r="AL684" s="14"/>
      <c r="AM684" s="14"/>
      <c r="AN684" s="14"/>
      <c r="AO684" s="14"/>
      <c r="AP684" s="14"/>
      <c r="AQ684" s="14"/>
      <c r="AR684" s="14"/>
      <c r="AS684" s="14"/>
      <c r="AT684" s="14"/>
    </row>
    <row r="685">
      <c r="A685" s="442"/>
      <c r="B685" s="648">
        <v>8.0</v>
      </c>
      <c r="C685" s="649" t="s">
        <v>1488</v>
      </c>
      <c r="D685" s="650" t="s">
        <v>23</v>
      </c>
      <c r="E685" s="650" t="s">
        <v>35</v>
      </c>
      <c r="F685" s="651" t="s">
        <v>77</v>
      </c>
      <c r="G685" s="652">
        <v>0.0</v>
      </c>
      <c r="H685" s="653">
        <v>0.0</v>
      </c>
      <c r="I685" s="654">
        <v>1.0</v>
      </c>
      <c r="J685" s="654"/>
      <c r="K685" s="703" t="s">
        <v>188</v>
      </c>
      <c r="L685" s="703" t="s">
        <v>198</v>
      </c>
      <c r="M685" s="703">
        <v>6.0</v>
      </c>
      <c r="N685" s="703">
        <v>9.0</v>
      </c>
      <c r="O685" s="655" t="s">
        <v>980</v>
      </c>
      <c r="P685" s="14"/>
      <c r="Q685" s="452" t="str">
        <f>MATCH($D685,Reference!$J$5:$J$9,0)</f>
        <v>5</v>
      </c>
      <c r="R685" s="452" t="str">
        <f>MATCH($E685,Reference!$J$26:$J$32,0)</f>
        <v>5</v>
      </c>
      <c r="S685" s="452" t="str">
        <f>MATCH($F685,Reference!$J$45:$J$54,0)</f>
        <v>10</v>
      </c>
      <c r="T685" s="453" t="str">
        <f>MATCH($K685,Reference!$J$37:$J$39,0)</f>
        <v>3</v>
      </c>
      <c r="U685" s="454" t="str">
        <f t="shared" si="985"/>
        <v>0</v>
      </c>
      <c r="V685" s="454" t="str">
        <f t="shared" si="3"/>
        <v>0</v>
      </c>
      <c r="W685" s="454" t="str">
        <f t="shared" ref="W685:W686" si="1041">(MIN(G685,2)+H685-U685)*1600</f>
        <v>0</v>
      </c>
      <c r="X685" s="454" t="str">
        <f t="shared" si="987"/>
        <v>1</v>
      </c>
      <c r="Y685" s="456" t="str">
        <f t="shared" si="5"/>
        <v>TRUE</v>
      </c>
      <c r="Z685" s="456" t="str">
        <f t="shared" si="6"/>
        <v>TRUE</v>
      </c>
      <c r="AA685" s="457" t="str">
        <f t="shared" ref="AA685:AB685" si="1040">1-I685</f>
        <v>0%</v>
      </c>
      <c r="AB685" s="457" t="str">
        <f t="shared" si="1040"/>
        <v>100%</v>
      </c>
      <c r="AC685" s="456" t="str">
        <f t="shared" si="8"/>
        <v>1</v>
      </c>
      <c r="AD685" s="458" t="str">
        <f t="shared" si="989"/>
        <v>0</v>
      </c>
      <c r="AE685" s="458" t="str">
        <f t="shared" si="10"/>
        <v>0</v>
      </c>
      <c r="AF685" s="459" t="str">
        <f t="shared" si="990"/>
        <v>0</v>
      </c>
      <c r="AG685" s="460"/>
      <c r="AH685" s="14"/>
      <c r="AI685" s="14"/>
      <c r="AJ685" s="14"/>
      <c r="AK685" s="14"/>
      <c r="AL685" s="14"/>
      <c r="AM685" s="14"/>
      <c r="AN685" s="14"/>
      <c r="AO685" s="14"/>
      <c r="AP685" s="14"/>
      <c r="AQ685" s="14"/>
      <c r="AR685" s="14"/>
      <c r="AS685" s="14"/>
      <c r="AT685" s="14"/>
    </row>
    <row r="686">
      <c r="A686" s="509"/>
      <c r="B686" s="669">
        <v>8.0</v>
      </c>
      <c r="C686" s="670" t="s">
        <v>1489</v>
      </c>
      <c r="D686" s="671" t="s">
        <v>23</v>
      </c>
      <c r="E686" s="671" t="s">
        <v>33</v>
      </c>
      <c r="F686" s="672" t="s">
        <v>77</v>
      </c>
      <c r="G686" s="673">
        <v>0.0</v>
      </c>
      <c r="H686" s="673">
        <v>0.0</v>
      </c>
      <c r="I686" s="674">
        <v>1.0</v>
      </c>
      <c r="J686" s="674"/>
      <c r="K686" s="675" t="s">
        <v>188</v>
      </c>
      <c r="L686" s="675"/>
      <c r="M686" s="675">
        <v>7.0</v>
      </c>
      <c r="N686" s="675">
        <v>7.0</v>
      </c>
      <c r="O686" s="676" t="s">
        <v>1490</v>
      </c>
      <c r="P686" s="14"/>
      <c r="Q686" s="452" t="str">
        <f>MATCH($D686,Reference!$J$5:$J$9,0)</f>
        <v>5</v>
      </c>
      <c r="R686" s="452" t="str">
        <f>MATCH($E686,Reference!$J$26:$J$32,0)</f>
        <v>2</v>
      </c>
      <c r="S686" s="452" t="str">
        <f>MATCH($F686,Reference!$J$45:$J$54,0)</f>
        <v>10</v>
      </c>
      <c r="T686" s="453" t="str">
        <f>MATCH($K686,Reference!$J$37:$J$39,0)</f>
        <v>3</v>
      </c>
      <c r="U686" s="454" t="str">
        <f t="shared" si="985"/>
        <v>0</v>
      </c>
      <c r="V686" s="454" t="str">
        <f t="shared" si="3"/>
        <v>0</v>
      </c>
      <c r="W686" s="454" t="str">
        <f t="shared" si="1041"/>
        <v>0</v>
      </c>
      <c r="X686" s="454" t="str">
        <f t="shared" si="987"/>
        <v>1</v>
      </c>
      <c r="Y686" s="456" t="str">
        <f t="shared" si="5"/>
        <v>TRUE</v>
      </c>
      <c r="Z686" s="456" t="str">
        <f t="shared" si="6"/>
        <v>TRUE</v>
      </c>
      <c r="AA686" s="457" t="str">
        <f t="shared" ref="AA686:AB686" si="1042">1-I686</f>
        <v>0%</v>
      </c>
      <c r="AB686" s="457" t="str">
        <f t="shared" si="1042"/>
        <v>100%</v>
      </c>
      <c r="AC686" s="456" t="str">
        <f t="shared" si="8"/>
        <v>1</v>
      </c>
      <c r="AD686" s="458" t="str">
        <f t="shared" si="989"/>
        <v>0</v>
      </c>
      <c r="AE686" s="458" t="str">
        <f t="shared" si="10"/>
        <v>0</v>
      </c>
      <c r="AF686" s="459" t="str">
        <f t="shared" si="990"/>
        <v>0</v>
      </c>
      <c r="AG686" s="460"/>
      <c r="AH686" s="14"/>
      <c r="AI686" s="14"/>
      <c r="AJ686" s="14"/>
      <c r="AK686" s="14"/>
      <c r="AL686" s="14"/>
      <c r="AM686" s="14"/>
      <c r="AN686" s="14"/>
      <c r="AO686" s="14"/>
      <c r="AP686" s="14"/>
      <c r="AQ686" s="14"/>
      <c r="AR686" s="14"/>
      <c r="AS686" s="14"/>
      <c r="AT686" s="14"/>
    </row>
    <row r="687">
      <c r="A687" s="442"/>
      <c r="B687" s="778">
        <v>8.0</v>
      </c>
      <c r="C687" s="779" t="s">
        <v>1491</v>
      </c>
      <c r="D687" s="780" t="s">
        <v>23</v>
      </c>
      <c r="E687" s="780" t="s">
        <v>41</v>
      </c>
      <c r="F687" s="781" t="s">
        <v>77</v>
      </c>
      <c r="G687" s="782" t="str">
        <f>IF(Summary!$Y$25&gt;=VLOOKUP(C687,Reference!$N$41:$O$70,2,0),1,0)</f>
        <v>1</v>
      </c>
      <c r="H687" s="782">
        <v>0.0</v>
      </c>
      <c r="I687" s="783">
        <v>1.0</v>
      </c>
      <c r="J687" s="783"/>
      <c r="K687" s="784" t="s">
        <v>188</v>
      </c>
      <c r="L687" s="784"/>
      <c r="M687" s="784">
        <v>6.0</v>
      </c>
      <c r="N687" s="784">
        <v>8.0</v>
      </c>
      <c r="O687" s="785" t="s">
        <v>1492</v>
      </c>
      <c r="P687" s="14"/>
      <c r="Q687" s="452" t="str">
        <f>MATCH($D687,Reference!$J$5:$J$9,0)</f>
        <v>5</v>
      </c>
      <c r="R687" s="452" t="str">
        <f>MATCH($E687,Reference!$J$26:$J$32,0)</f>
        <v>4</v>
      </c>
      <c r="S687" s="452" t="str">
        <f>MATCH($F687,Reference!$J$45:$J$54,0)</f>
        <v>10</v>
      </c>
      <c r="T687" s="453" t="str">
        <f>MATCH($K687,Reference!$J$37:$J$39,0)</f>
        <v>3</v>
      </c>
      <c r="U687" s="454" t="str">
        <f t="shared" si="985"/>
        <v>1</v>
      </c>
      <c r="V687" s="454" t="str">
        <f t="shared" si="3"/>
        <v>1</v>
      </c>
      <c r="W687" s="455">
        <v>0.0</v>
      </c>
      <c r="X687" s="454" t="str">
        <f t="shared" si="987"/>
        <v>2</v>
      </c>
      <c r="Y687" s="456" t="str">
        <f t="shared" si="5"/>
        <v>FALSE</v>
      </c>
      <c r="Z687" s="456" t="str">
        <f t="shared" si="6"/>
        <v>TRUE</v>
      </c>
      <c r="AA687" s="457" t="str">
        <f t="shared" ref="AA687:AB687" si="1043">1-I687</f>
        <v>0%</v>
      </c>
      <c r="AB687" s="457" t="str">
        <f t="shared" si="1043"/>
        <v>100%</v>
      </c>
      <c r="AC687" s="456" t="str">
        <f t="shared" si="8"/>
        <v>2</v>
      </c>
      <c r="AD687" s="458" t="str">
        <f t="shared" si="989"/>
        <v>0</v>
      </c>
      <c r="AE687" s="458" t="str">
        <f t="shared" si="10"/>
        <v>1</v>
      </c>
      <c r="AF687" s="459" t="str">
        <f t="shared" si="990"/>
        <v>0</v>
      </c>
      <c r="AG687" s="460"/>
      <c r="AH687" s="14"/>
      <c r="AI687" s="14"/>
      <c r="AJ687" s="14"/>
      <c r="AK687" s="14"/>
      <c r="AL687" s="14"/>
      <c r="AM687" s="14"/>
      <c r="AN687" s="14"/>
      <c r="AO687" s="14"/>
      <c r="AP687" s="14"/>
      <c r="AQ687" s="14"/>
      <c r="AR687" s="14"/>
      <c r="AS687" s="14"/>
      <c r="AT687" s="14"/>
    </row>
    <row r="688">
      <c r="A688" s="442"/>
      <c r="B688" s="669">
        <v>8.0</v>
      </c>
      <c r="C688" s="670" t="s">
        <v>1493</v>
      </c>
      <c r="D688" s="671" t="s">
        <v>23</v>
      </c>
      <c r="E688" s="671" t="s">
        <v>33</v>
      </c>
      <c r="F688" s="672" t="s">
        <v>77</v>
      </c>
      <c r="G688" s="673">
        <v>1.0</v>
      </c>
      <c r="H688" s="673">
        <v>0.0</v>
      </c>
      <c r="I688" s="674">
        <v>1.0</v>
      </c>
      <c r="J688" s="674"/>
      <c r="K688" s="675" t="s">
        <v>188</v>
      </c>
      <c r="L688" s="675"/>
      <c r="M688" s="675">
        <v>8.0</v>
      </c>
      <c r="N688" s="675">
        <v>8.0</v>
      </c>
      <c r="O688" s="676" t="s">
        <v>1494</v>
      </c>
      <c r="P688" s="14"/>
      <c r="Q688" s="452" t="str">
        <f>MATCH($D688,Reference!$J$5:$J$9,0)</f>
        <v>5</v>
      </c>
      <c r="R688" s="452" t="str">
        <f>MATCH($E688,Reference!$J$26:$J$32,0)</f>
        <v>2</v>
      </c>
      <c r="S688" s="452" t="str">
        <f>MATCH($F688,Reference!$J$45:$J$54,0)</f>
        <v>10</v>
      </c>
      <c r="T688" s="453" t="str">
        <f>MATCH($K688,Reference!$J$37:$J$39,0)</f>
        <v>3</v>
      </c>
      <c r="U688" s="454" t="str">
        <f t="shared" si="985"/>
        <v>1</v>
      </c>
      <c r="V688" s="454" t="str">
        <f t="shared" si="3"/>
        <v>1</v>
      </c>
      <c r="W688" s="454" t="str">
        <f t="shared" ref="W688:W691" si="1045">(MIN(G688,2)+H688-U688)*1600</f>
        <v>0</v>
      </c>
      <c r="X688" s="454" t="str">
        <f t="shared" si="987"/>
        <v>2</v>
      </c>
      <c r="Y688" s="456" t="str">
        <f t="shared" si="5"/>
        <v>FALSE</v>
      </c>
      <c r="Z688" s="456" t="str">
        <f t="shared" si="6"/>
        <v>TRUE</v>
      </c>
      <c r="AA688" s="457" t="str">
        <f t="shared" ref="AA688:AB688" si="1044">1-I688</f>
        <v>0%</v>
      </c>
      <c r="AB688" s="457" t="str">
        <f t="shared" si="1044"/>
        <v>100%</v>
      </c>
      <c r="AC688" s="456" t="str">
        <f t="shared" si="8"/>
        <v>2</v>
      </c>
      <c r="AD688" s="458" t="str">
        <f t="shared" si="989"/>
        <v>0</v>
      </c>
      <c r="AE688" s="458" t="str">
        <f t="shared" si="10"/>
        <v>1</v>
      </c>
      <c r="AF688" s="459" t="str">
        <f t="shared" si="990"/>
        <v>0</v>
      </c>
      <c r="AG688" s="460"/>
      <c r="AH688" s="14"/>
      <c r="AI688" s="14"/>
      <c r="AJ688" s="14"/>
      <c r="AK688" s="14"/>
      <c r="AL688" s="14"/>
      <c r="AM688" s="14"/>
      <c r="AN688" s="14"/>
      <c r="AO688" s="14"/>
      <c r="AP688" s="14"/>
      <c r="AQ688" s="14"/>
      <c r="AR688" s="14"/>
      <c r="AS688" s="14"/>
      <c r="AT688" s="14"/>
    </row>
    <row r="689">
      <c r="A689" s="509"/>
      <c r="B689" s="648">
        <v>8.0</v>
      </c>
      <c r="C689" s="649" t="s">
        <v>1495</v>
      </c>
      <c r="D689" s="650" t="s">
        <v>23</v>
      </c>
      <c r="E689" s="650" t="s">
        <v>35</v>
      </c>
      <c r="F689" s="651" t="s">
        <v>77</v>
      </c>
      <c r="G689" s="652">
        <v>0.0</v>
      </c>
      <c r="H689" s="653">
        <v>0.0</v>
      </c>
      <c r="I689" s="654">
        <v>1.0</v>
      </c>
      <c r="J689" s="654"/>
      <c r="K689" s="703" t="s">
        <v>188</v>
      </c>
      <c r="L689" s="703" t="s">
        <v>198</v>
      </c>
      <c r="M689" s="703">
        <v>5.0</v>
      </c>
      <c r="N689" s="703">
        <v>7.0</v>
      </c>
      <c r="O689" s="655" t="s">
        <v>1496</v>
      </c>
      <c r="P689" s="14"/>
      <c r="Q689" s="452" t="str">
        <f>MATCH($D689,Reference!$J$5:$J$9,0)</f>
        <v>5</v>
      </c>
      <c r="R689" s="452" t="str">
        <f>MATCH($E689,Reference!$J$26:$J$32,0)</f>
        <v>5</v>
      </c>
      <c r="S689" s="452" t="str">
        <f>MATCH($F689,Reference!$J$45:$J$54,0)</f>
        <v>10</v>
      </c>
      <c r="T689" s="453" t="str">
        <f>MATCH($K689,Reference!$J$37:$J$39,0)</f>
        <v>3</v>
      </c>
      <c r="U689" s="454" t="str">
        <f t="shared" si="985"/>
        <v>0</v>
      </c>
      <c r="V689" s="454" t="str">
        <f t="shared" si="3"/>
        <v>0</v>
      </c>
      <c r="W689" s="454" t="str">
        <f t="shared" si="1045"/>
        <v>0</v>
      </c>
      <c r="X689" s="454" t="str">
        <f t="shared" si="987"/>
        <v>1</v>
      </c>
      <c r="Y689" s="456" t="str">
        <f t="shared" si="5"/>
        <v>TRUE</v>
      </c>
      <c r="Z689" s="456" t="str">
        <f t="shared" si="6"/>
        <v>TRUE</v>
      </c>
      <c r="AA689" s="457" t="str">
        <f t="shared" ref="AA689:AB689" si="1046">1-I689</f>
        <v>0%</v>
      </c>
      <c r="AB689" s="457" t="str">
        <f t="shared" si="1046"/>
        <v>100%</v>
      </c>
      <c r="AC689" s="456" t="str">
        <f t="shared" si="8"/>
        <v>1</v>
      </c>
      <c r="AD689" s="458" t="str">
        <f t="shared" si="989"/>
        <v>0</v>
      </c>
      <c r="AE689" s="458" t="str">
        <f t="shared" si="10"/>
        <v>0</v>
      </c>
      <c r="AF689" s="459" t="str">
        <f t="shared" si="990"/>
        <v>0</v>
      </c>
      <c r="AG689" s="460"/>
      <c r="AH689" s="14"/>
      <c r="AI689" s="14"/>
      <c r="AJ689" s="14"/>
      <c r="AK689" s="14"/>
      <c r="AL689" s="14"/>
      <c r="AM689" s="14"/>
      <c r="AN689" s="14"/>
      <c r="AO689" s="14"/>
      <c r="AP689" s="14"/>
      <c r="AQ689" s="14"/>
      <c r="AR689" s="14"/>
      <c r="AS689" s="14"/>
      <c r="AT689" s="14"/>
    </row>
    <row r="690">
      <c r="A690" s="442"/>
      <c r="B690" s="669">
        <v>9.0</v>
      </c>
      <c r="C690" s="670" t="s">
        <v>1497</v>
      </c>
      <c r="D690" s="671" t="s">
        <v>23</v>
      </c>
      <c r="E690" s="671" t="s">
        <v>33</v>
      </c>
      <c r="F690" s="672" t="s">
        <v>77</v>
      </c>
      <c r="G690" s="805">
        <v>1.0</v>
      </c>
      <c r="H690" s="673">
        <v>0.0</v>
      </c>
      <c r="I690" s="674">
        <v>1.0</v>
      </c>
      <c r="J690" s="674"/>
      <c r="K690" s="720" t="s">
        <v>188</v>
      </c>
      <c r="L690" s="675" t="s">
        <v>446</v>
      </c>
      <c r="M690" s="720">
        <v>8.0</v>
      </c>
      <c r="N690" s="720">
        <v>8.0</v>
      </c>
      <c r="O690" s="676" t="s">
        <v>1498</v>
      </c>
      <c r="P690" s="14"/>
      <c r="Q690" s="452" t="str">
        <f>MATCH($D690,Reference!$J$5:$J$9,0)</f>
        <v>5</v>
      </c>
      <c r="R690" s="452" t="str">
        <f>MATCH($E690,Reference!$J$26:$J$32,0)</f>
        <v>2</v>
      </c>
      <c r="S690" s="452" t="str">
        <f>MATCH($F690,Reference!$J$45:$J$54,0)</f>
        <v>10</v>
      </c>
      <c r="T690" s="453" t="str">
        <f>MATCH($K690,Reference!$J$37:$J$39,0)</f>
        <v>3</v>
      </c>
      <c r="U690" s="454" t="str">
        <f t="shared" si="985"/>
        <v>1</v>
      </c>
      <c r="V690" s="454" t="str">
        <f t="shared" si="3"/>
        <v>1</v>
      </c>
      <c r="W690" s="454" t="str">
        <f t="shared" si="1045"/>
        <v>0</v>
      </c>
      <c r="X690" s="454" t="str">
        <f t="shared" si="987"/>
        <v>2</v>
      </c>
      <c r="Y690" s="456" t="str">
        <f t="shared" si="5"/>
        <v>FALSE</v>
      </c>
      <c r="Z690" s="456" t="str">
        <f t="shared" si="6"/>
        <v>TRUE</v>
      </c>
      <c r="AA690" s="457" t="str">
        <f t="shared" ref="AA690:AB690" si="1047">1-I690</f>
        <v>0%</v>
      </c>
      <c r="AB690" s="457" t="str">
        <f t="shared" si="1047"/>
        <v>100%</v>
      </c>
      <c r="AC690" s="456" t="str">
        <f t="shared" si="8"/>
        <v>2</v>
      </c>
      <c r="AD690" s="458" t="str">
        <f t="shared" si="989"/>
        <v>0</v>
      </c>
      <c r="AE690" s="458" t="str">
        <f t="shared" si="10"/>
        <v>1</v>
      </c>
      <c r="AF690" s="459" t="str">
        <f t="shared" si="990"/>
        <v>0</v>
      </c>
      <c r="AG690" s="460"/>
      <c r="AH690" s="14"/>
      <c r="AI690" s="14"/>
      <c r="AJ690" s="14"/>
      <c r="AK690" s="14"/>
      <c r="AL690" s="14"/>
      <c r="AM690" s="14"/>
      <c r="AN690" s="14"/>
      <c r="AO690" s="14"/>
      <c r="AP690" s="14"/>
      <c r="AQ690" s="14"/>
      <c r="AR690" s="14"/>
      <c r="AS690" s="14"/>
      <c r="AT690" s="14"/>
    </row>
    <row r="691">
      <c r="A691" s="442"/>
      <c r="B691" s="659">
        <v>9.0</v>
      </c>
      <c r="C691" s="660" t="s">
        <v>1499</v>
      </c>
      <c r="D691" s="661" t="s">
        <v>23</v>
      </c>
      <c r="E691" s="662" t="s">
        <v>36</v>
      </c>
      <c r="F691" s="662" t="s">
        <v>77</v>
      </c>
      <c r="G691" s="663">
        <v>1.0</v>
      </c>
      <c r="H691" s="663">
        <v>0.0</v>
      </c>
      <c r="I691" s="664">
        <v>1.0</v>
      </c>
      <c r="J691" s="664">
        <v>1.0</v>
      </c>
      <c r="K691" s="662" t="s">
        <v>188</v>
      </c>
      <c r="L691" s="662"/>
      <c r="M691" s="662">
        <v>10.0</v>
      </c>
      <c r="N691" s="662">
        <v>10.0</v>
      </c>
      <c r="O691" s="665" t="s">
        <v>1500</v>
      </c>
      <c r="P691" s="14"/>
      <c r="Q691" s="452" t="str">
        <f>MATCH($D691,Reference!$J$5:$J$9,0)</f>
        <v>5</v>
      </c>
      <c r="R691" s="452" t="str">
        <f>MATCH($E691,Reference!$J$26:$J$32,0)</f>
        <v>7</v>
      </c>
      <c r="S691" s="452" t="str">
        <f>MATCH($F691,Reference!$J$45:$J$54,0)</f>
        <v>10</v>
      </c>
      <c r="T691" s="453" t="str">
        <f>MATCH($K691,Reference!$J$37:$J$39,0)</f>
        <v>3</v>
      </c>
      <c r="U691" s="454" t="str">
        <f t="shared" si="985"/>
        <v>1</v>
      </c>
      <c r="V691" s="454" t="str">
        <f t="shared" si="3"/>
        <v>1</v>
      </c>
      <c r="W691" s="454" t="str">
        <f t="shared" si="1045"/>
        <v>0</v>
      </c>
      <c r="X691" s="454" t="str">
        <f t="shared" si="987"/>
        <v>2</v>
      </c>
      <c r="Y691" s="456" t="str">
        <f t="shared" si="5"/>
        <v>FALSE</v>
      </c>
      <c r="Z691" s="456" t="str">
        <f t="shared" si="6"/>
        <v>TRUE</v>
      </c>
      <c r="AA691" s="457" t="str">
        <f t="shared" ref="AA691:AB691" si="1048">1-I691</f>
        <v>0%</v>
      </c>
      <c r="AB691" s="457" t="str">
        <f t="shared" si="1048"/>
        <v>0%</v>
      </c>
      <c r="AC691" s="456" t="str">
        <f t="shared" si="8"/>
        <v>1</v>
      </c>
      <c r="AD691" s="458" t="str">
        <f t="shared" si="989"/>
        <v>0</v>
      </c>
      <c r="AE691" s="458" t="str">
        <f t="shared" si="10"/>
        <v>1</v>
      </c>
      <c r="AF691" s="459" t="str">
        <f t="shared" si="990"/>
        <v>0</v>
      </c>
      <c r="AG691" s="460"/>
      <c r="AH691" s="14"/>
      <c r="AI691" s="14"/>
      <c r="AJ691" s="14"/>
      <c r="AK691" s="14"/>
      <c r="AL691" s="14"/>
      <c r="AM691" s="14"/>
      <c r="AN691" s="14"/>
      <c r="AO691" s="14"/>
      <c r="AP691" s="14"/>
      <c r="AQ691" s="14"/>
      <c r="AR691" s="14"/>
      <c r="AS691" s="14"/>
      <c r="AT691" s="14"/>
    </row>
    <row r="692">
      <c r="A692" s="509"/>
      <c r="B692" s="796">
        <v>9.0</v>
      </c>
      <c r="C692" s="797" t="s">
        <v>1501</v>
      </c>
      <c r="D692" s="798" t="s">
        <v>23</v>
      </c>
      <c r="E692" s="798" t="s">
        <v>47</v>
      </c>
      <c r="F692" s="799" t="s">
        <v>77</v>
      </c>
      <c r="G692" s="800" t="str">
        <f>IF(Summary!$Y$27&gt;=VLOOKUP(C692,Reference!$N$6:$O$36,2,0),1,0)</f>
        <v>1</v>
      </c>
      <c r="H692" s="800">
        <v>0.0</v>
      </c>
      <c r="I692" s="801">
        <v>1.0</v>
      </c>
      <c r="J692" s="801"/>
      <c r="K692" s="798" t="s">
        <v>188</v>
      </c>
      <c r="L692" s="798"/>
      <c r="M692" s="799">
        <v>9.0</v>
      </c>
      <c r="N692" s="800">
        <v>7.0</v>
      </c>
      <c r="O692" s="803" t="s">
        <v>1502</v>
      </c>
      <c r="P692" s="14"/>
      <c r="Q692" s="452" t="str">
        <f>MATCH($D692,Reference!$J$5:$J$9,0)</f>
        <v>5</v>
      </c>
      <c r="R692" s="452" t="str">
        <f>MATCH($E692,Reference!$J$26:$J$32,0)</f>
        <v>6</v>
      </c>
      <c r="S692" s="452" t="str">
        <f>MATCH($F692,Reference!$J$45:$J$54,0)</f>
        <v>10</v>
      </c>
      <c r="T692" s="453" t="str">
        <f>MATCH($K692,Reference!$J$37:$J$39,0)</f>
        <v>3</v>
      </c>
      <c r="U692" s="454" t="str">
        <f t="shared" si="985"/>
        <v>1</v>
      </c>
      <c r="V692" s="454" t="str">
        <f t="shared" si="3"/>
        <v>1</v>
      </c>
      <c r="W692" s="455">
        <v>0.0</v>
      </c>
      <c r="X692" s="454" t="str">
        <f t="shared" si="987"/>
        <v>2</v>
      </c>
      <c r="Y692" s="456" t="str">
        <f t="shared" si="5"/>
        <v>FALSE</v>
      </c>
      <c r="Z692" s="456" t="str">
        <f t="shared" si="6"/>
        <v>TRUE</v>
      </c>
      <c r="AA692" s="457" t="str">
        <f t="shared" ref="AA692:AB692" si="1049">1-I692</f>
        <v>0%</v>
      </c>
      <c r="AB692" s="457" t="str">
        <f t="shared" si="1049"/>
        <v>100%</v>
      </c>
      <c r="AC692" s="456" t="str">
        <f t="shared" si="8"/>
        <v>2</v>
      </c>
      <c r="AD692" s="458" t="str">
        <f t="shared" si="989"/>
        <v>0</v>
      </c>
      <c r="AE692" s="458" t="str">
        <f t="shared" si="10"/>
        <v>1</v>
      </c>
      <c r="AF692" s="459" t="str">
        <f t="shared" si="990"/>
        <v>0</v>
      </c>
      <c r="AG692" s="460"/>
      <c r="AH692" s="14"/>
      <c r="AI692" s="14"/>
      <c r="AJ692" s="14"/>
      <c r="AK692" s="14"/>
      <c r="AL692" s="14"/>
      <c r="AM692" s="14"/>
      <c r="AN692" s="14"/>
      <c r="AO692" s="14"/>
      <c r="AP692" s="14"/>
      <c r="AQ692" s="14"/>
      <c r="AR692" s="14"/>
      <c r="AS692" s="14"/>
      <c r="AT692" s="14"/>
    </row>
    <row r="693">
      <c r="A693" s="442"/>
      <c r="B693" s="669">
        <v>9.0</v>
      </c>
      <c r="C693" s="670" t="s">
        <v>1503</v>
      </c>
      <c r="D693" s="671" t="s">
        <v>23</v>
      </c>
      <c r="E693" s="671" t="s">
        <v>33</v>
      </c>
      <c r="F693" s="672" t="s">
        <v>77</v>
      </c>
      <c r="G693" s="673">
        <v>1.0</v>
      </c>
      <c r="H693" s="673">
        <v>0.0</v>
      </c>
      <c r="I693" s="674">
        <v>1.0</v>
      </c>
      <c r="J693" s="674"/>
      <c r="K693" s="671" t="s">
        <v>188</v>
      </c>
      <c r="L693" s="671" t="s">
        <v>446</v>
      </c>
      <c r="M693" s="672">
        <v>4.0</v>
      </c>
      <c r="N693" s="673">
        <v>12.0</v>
      </c>
      <c r="O693" s="676" t="s">
        <v>1504</v>
      </c>
      <c r="P693" s="14"/>
      <c r="Q693" s="452" t="str">
        <f>MATCH($D693,Reference!$J$5:$J$9,0)</f>
        <v>5</v>
      </c>
      <c r="R693" s="452" t="str">
        <f>MATCH($E693,Reference!$J$26:$J$32,0)</f>
        <v>2</v>
      </c>
      <c r="S693" s="452" t="str">
        <f>MATCH($F693,Reference!$J$45:$J$54,0)</f>
        <v>10</v>
      </c>
      <c r="T693" s="453" t="str">
        <f>MATCH($K693,Reference!$J$37:$J$39,0)</f>
        <v>3</v>
      </c>
      <c r="U693" s="454" t="str">
        <f t="shared" si="985"/>
        <v>1</v>
      </c>
      <c r="V693" s="454" t="str">
        <f t="shared" si="3"/>
        <v>1</v>
      </c>
      <c r="W693" s="454" t="str">
        <f t="shared" ref="W693:W694" si="1051">(MIN(G693,2)+H693-U693)*1600</f>
        <v>0</v>
      </c>
      <c r="X693" s="454" t="str">
        <f t="shared" si="987"/>
        <v>2</v>
      </c>
      <c r="Y693" s="456" t="str">
        <f t="shared" si="5"/>
        <v>FALSE</v>
      </c>
      <c r="Z693" s="456" t="str">
        <f t="shared" si="6"/>
        <v>TRUE</v>
      </c>
      <c r="AA693" s="457" t="str">
        <f t="shared" ref="AA693:AB693" si="1050">1-I693</f>
        <v>0%</v>
      </c>
      <c r="AB693" s="457" t="str">
        <f t="shared" si="1050"/>
        <v>100%</v>
      </c>
      <c r="AC693" s="456" t="str">
        <f t="shared" si="8"/>
        <v>2</v>
      </c>
      <c r="AD693" s="458" t="str">
        <f t="shared" si="989"/>
        <v>0</v>
      </c>
      <c r="AE693" s="458" t="str">
        <f t="shared" si="10"/>
        <v>1</v>
      </c>
      <c r="AF693" s="459" t="str">
        <f t="shared" si="990"/>
        <v>0</v>
      </c>
      <c r="AG693" s="460"/>
      <c r="AH693" s="14"/>
      <c r="AI693" s="14"/>
      <c r="AJ693" s="14"/>
      <c r="AK693" s="14"/>
      <c r="AL693" s="14"/>
      <c r="AM693" s="14"/>
      <c r="AN693" s="14"/>
      <c r="AO693" s="14"/>
      <c r="AP693" s="14"/>
      <c r="AQ693" s="14"/>
      <c r="AR693" s="14"/>
      <c r="AS693" s="14"/>
      <c r="AT693" s="14"/>
    </row>
    <row r="694">
      <c r="A694" s="442"/>
      <c r="B694" s="648">
        <v>9.0</v>
      </c>
      <c r="C694" s="649" t="s">
        <v>1505</v>
      </c>
      <c r="D694" s="650" t="s">
        <v>23</v>
      </c>
      <c r="E694" s="650" t="s">
        <v>35</v>
      </c>
      <c r="F694" s="651" t="s">
        <v>77</v>
      </c>
      <c r="G694" s="653">
        <v>0.0</v>
      </c>
      <c r="H694" s="653">
        <v>0.0</v>
      </c>
      <c r="I694" s="654">
        <v>1.0</v>
      </c>
      <c r="J694" s="654"/>
      <c r="K694" s="650" t="s">
        <v>188</v>
      </c>
      <c r="L694" s="650" t="s">
        <v>198</v>
      </c>
      <c r="M694" s="651">
        <v>9.0</v>
      </c>
      <c r="N694" s="653">
        <v>7.0</v>
      </c>
      <c r="O694" s="655" t="s">
        <v>1506</v>
      </c>
      <c r="P694" s="14"/>
      <c r="Q694" s="452" t="str">
        <f>MATCH($D694,Reference!$J$5:$J$9,0)</f>
        <v>5</v>
      </c>
      <c r="R694" s="452" t="str">
        <f>MATCH($E694,Reference!$J$26:$J$32,0)</f>
        <v>5</v>
      </c>
      <c r="S694" s="452" t="str">
        <f>MATCH($F694,Reference!$J$45:$J$54,0)</f>
        <v>10</v>
      </c>
      <c r="T694" s="453" t="str">
        <f>MATCH($K694,Reference!$J$37:$J$39,0)</f>
        <v>3</v>
      </c>
      <c r="U694" s="454" t="str">
        <f t="shared" si="985"/>
        <v>0</v>
      </c>
      <c r="V694" s="454" t="str">
        <f t="shared" si="3"/>
        <v>0</v>
      </c>
      <c r="W694" s="454" t="str">
        <f t="shared" si="1051"/>
        <v>0</v>
      </c>
      <c r="X694" s="454" t="str">
        <f t="shared" si="987"/>
        <v>1</v>
      </c>
      <c r="Y694" s="456" t="str">
        <f t="shared" si="5"/>
        <v>TRUE</v>
      </c>
      <c r="Z694" s="456" t="str">
        <f t="shared" si="6"/>
        <v>TRUE</v>
      </c>
      <c r="AA694" s="457" t="str">
        <f t="shared" ref="AA694:AB694" si="1052">1-I694</f>
        <v>0%</v>
      </c>
      <c r="AB694" s="457" t="str">
        <f t="shared" si="1052"/>
        <v>100%</v>
      </c>
      <c r="AC694" s="456" t="str">
        <f t="shared" si="8"/>
        <v>1</v>
      </c>
      <c r="AD694" s="458" t="str">
        <f t="shared" si="989"/>
        <v>0</v>
      </c>
      <c r="AE694" s="458" t="str">
        <f t="shared" si="10"/>
        <v>0</v>
      </c>
      <c r="AF694" s="459" t="str">
        <f t="shared" si="990"/>
        <v>0</v>
      </c>
      <c r="AG694" s="460"/>
      <c r="AH694" s="14"/>
      <c r="AI694" s="14"/>
      <c r="AJ694" s="14"/>
      <c r="AK694" s="14"/>
      <c r="AL694" s="14"/>
      <c r="AM694" s="14"/>
      <c r="AN694" s="14"/>
      <c r="AO694" s="14"/>
      <c r="AP694" s="14"/>
      <c r="AQ694" s="14"/>
      <c r="AR694" s="14"/>
      <c r="AS694" s="14"/>
      <c r="AT694" s="14"/>
    </row>
    <row r="695">
      <c r="A695" s="509"/>
      <c r="B695" s="796">
        <v>9.0</v>
      </c>
      <c r="C695" s="797" t="s">
        <v>1507</v>
      </c>
      <c r="D695" s="798" t="s">
        <v>23</v>
      </c>
      <c r="E695" s="798" t="s">
        <v>47</v>
      </c>
      <c r="F695" s="799" t="s">
        <v>77</v>
      </c>
      <c r="G695" s="800" t="str">
        <f>IF(Summary!$Y$27&gt;=VLOOKUP(C695,Reference!$N$6:$O$36,2,0),1,0)</f>
        <v>1</v>
      </c>
      <c r="H695" s="800">
        <v>0.0</v>
      </c>
      <c r="I695" s="801">
        <v>1.0</v>
      </c>
      <c r="J695" s="801"/>
      <c r="K695" s="798" t="s">
        <v>188</v>
      </c>
      <c r="L695" s="798" t="s">
        <v>446</v>
      </c>
      <c r="M695" s="799">
        <v>8.0</v>
      </c>
      <c r="N695" s="800">
        <v>8.0</v>
      </c>
      <c r="O695" s="803" t="s">
        <v>1508</v>
      </c>
      <c r="P695" s="14"/>
      <c r="Q695" s="452" t="str">
        <f>MATCH($D695,Reference!$J$5:$J$9,0)</f>
        <v>5</v>
      </c>
      <c r="R695" s="452" t="str">
        <f>MATCH($E695,Reference!$J$26:$J$32,0)</f>
        <v>6</v>
      </c>
      <c r="S695" s="452" t="str">
        <f>MATCH($F695,Reference!$J$45:$J$54,0)</f>
        <v>10</v>
      </c>
      <c r="T695" s="453" t="str">
        <f>MATCH($K695,Reference!$J$37:$J$39,0)</f>
        <v>3</v>
      </c>
      <c r="U695" s="454" t="str">
        <f t="shared" si="985"/>
        <v>1</v>
      </c>
      <c r="V695" s="454" t="str">
        <f t="shared" si="3"/>
        <v>1</v>
      </c>
      <c r="W695" s="455">
        <v>0.0</v>
      </c>
      <c r="X695" s="454" t="str">
        <f t="shared" si="987"/>
        <v>2</v>
      </c>
      <c r="Y695" s="456" t="str">
        <f t="shared" si="5"/>
        <v>FALSE</v>
      </c>
      <c r="Z695" s="456" t="str">
        <f t="shared" si="6"/>
        <v>TRUE</v>
      </c>
      <c r="AA695" s="457" t="str">
        <f t="shared" ref="AA695:AB695" si="1053">1-I695</f>
        <v>0%</v>
      </c>
      <c r="AB695" s="457" t="str">
        <f t="shared" si="1053"/>
        <v>100%</v>
      </c>
      <c r="AC695" s="456" t="str">
        <f t="shared" si="8"/>
        <v>2</v>
      </c>
      <c r="AD695" s="458" t="str">
        <f t="shared" si="989"/>
        <v>0</v>
      </c>
      <c r="AE695" s="458" t="str">
        <f t="shared" si="10"/>
        <v>1</v>
      </c>
      <c r="AF695" s="459" t="str">
        <f t="shared" si="990"/>
        <v>0</v>
      </c>
      <c r="AG695" s="460"/>
      <c r="AH695" s="14"/>
      <c r="AI695" s="14"/>
      <c r="AJ695" s="14"/>
      <c r="AK695" s="14"/>
      <c r="AL695" s="14"/>
      <c r="AM695" s="14"/>
      <c r="AN695" s="14"/>
      <c r="AO695" s="14"/>
      <c r="AP695" s="14"/>
      <c r="AQ695" s="14"/>
      <c r="AR695" s="14"/>
      <c r="AS695" s="14"/>
      <c r="AT695" s="14"/>
    </row>
    <row r="696">
      <c r="A696" s="442"/>
      <c r="B696" s="669">
        <v>9.0</v>
      </c>
      <c r="C696" s="670" t="s">
        <v>1509</v>
      </c>
      <c r="D696" s="671" t="s">
        <v>23</v>
      </c>
      <c r="E696" s="671" t="s">
        <v>33</v>
      </c>
      <c r="F696" s="672" t="s">
        <v>77</v>
      </c>
      <c r="G696" s="673">
        <v>0.0</v>
      </c>
      <c r="H696" s="673">
        <v>0.0</v>
      </c>
      <c r="I696" s="674">
        <v>1.0</v>
      </c>
      <c r="J696" s="674"/>
      <c r="K696" s="675" t="s">
        <v>188</v>
      </c>
      <c r="L696" s="675" t="s">
        <v>446</v>
      </c>
      <c r="M696" s="675">
        <v>8.0</v>
      </c>
      <c r="N696" s="675">
        <v>8.0</v>
      </c>
      <c r="O696" s="676" t="s">
        <v>1510</v>
      </c>
      <c r="P696" s="14"/>
      <c r="Q696" s="452" t="str">
        <f>MATCH($D696,Reference!$J$5:$J$9,0)</f>
        <v>5</v>
      </c>
      <c r="R696" s="452" t="str">
        <f>MATCH($E696,Reference!$J$26:$J$32,0)</f>
        <v>2</v>
      </c>
      <c r="S696" s="452" t="str">
        <f>MATCH($F696,Reference!$J$45:$J$54,0)</f>
        <v>10</v>
      </c>
      <c r="T696" s="453" t="str">
        <f>MATCH($K696,Reference!$J$37:$J$39,0)</f>
        <v>3</v>
      </c>
      <c r="U696" s="454" t="str">
        <f t="shared" si="985"/>
        <v>0</v>
      </c>
      <c r="V696" s="454" t="str">
        <f t="shared" si="3"/>
        <v>0</v>
      </c>
      <c r="W696" s="454" t="str">
        <f t="shared" ref="W696:W699" si="1055">(MIN(G696,2)+H696-U696)*1600</f>
        <v>0</v>
      </c>
      <c r="X696" s="454" t="str">
        <f t="shared" si="987"/>
        <v>1</v>
      </c>
      <c r="Y696" s="456" t="str">
        <f t="shared" si="5"/>
        <v>TRUE</v>
      </c>
      <c r="Z696" s="456" t="str">
        <f t="shared" si="6"/>
        <v>TRUE</v>
      </c>
      <c r="AA696" s="457" t="str">
        <f t="shared" ref="AA696:AB696" si="1054">1-I696</f>
        <v>0%</v>
      </c>
      <c r="AB696" s="457" t="str">
        <f t="shared" si="1054"/>
        <v>100%</v>
      </c>
      <c r="AC696" s="456" t="str">
        <f t="shared" si="8"/>
        <v>1</v>
      </c>
      <c r="AD696" s="458" t="str">
        <f t="shared" si="989"/>
        <v>0</v>
      </c>
      <c r="AE696" s="458" t="str">
        <f t="shared" si="10"/>
        <v>0</v>
      </c>
      <c r="AF696" s="459" t="str">
        <f t="shared" si="990"/>
        <v>0</v>
      </c>
      <c r="AG696" s="460"/>
      <c r="AH696" s="14"/>
      <c r="AI696" s="14"/>
      <c r="AJ696" s="14"/>
      <c r="AK696" s="14"/>
      <c r="AL696" s="14"/>
      <c r="AM696" s="14"/>
      <c r="AN696" s="14"/>
      <c r="AO696" s="14"/>
      <c r="AP696" s="14"/>
      <c r="AQ696" s="14"/>
      <c r="AR696" s="14"/>
      <c r="AS696" s="14"/>
      <c r="AT696" s="14"/>
    </row>
    <row r="697">
      <c r="A697" s="509"/>
      <c r="B697" s="669">
        <v>9.0</v>
      </c>
      <c r="C697" s="670" t="s">
        <v>1511</v>
      </c>
      <c r="D697" s="671" t="s">
        <v>23</v>
      </c>
      <c r="E697" s="671" t="s">
        <v>33</v>
      </c>
      <c r="F697" s="672" t="s">
        <v>77</v>
      </c>
      <c r="G697" s="707">
        <v>1.0</v>
      </c>
      <c r="H697" s="673">
        <v>0.0</v>
      </c>
      <c r="I697" s="674">
        <v>1.0</v>
      </c>
      <c r="J697" s="674"/>
      <c r="K697" s="675" t="s">
        <v>188</v>
      </c>
      <c r="L697" s="675" t="s">
        <v>446</v>
      </c>
      <c r="M697" s="675">
        <v>8.0</v>
      </c>
      <c r="N697" s="675">
        <v>8.0</v>
      </c>
      <c r="O697" s="676" t="s">
        <v>1512</v>
      </c>
      <c r="P697" s="14"/>
      <c r="Q697" s="452" t="str">
        <f>MATCH($D697,Reference!$J$5:$J$9,0)</f>
        <v>5</v>
      </c>
      <c r="R697" s="452" t="str">
        <f>MATCH($E697,Reference!$J$26:$J$32,0)</f>
        <v>2</v>
      </c>
      <c r="S697" s="452" t="str">
        <f>MATCH($F697,Reference!$J$45:$J$54,0)</f>
        <v>10</v>
      </c>
      <c r="T697" s="453" t="str">
        <f>MATCH($K697,Reference!$J$37:$J$39,0)</f>
        <v>3</v>
      </c>
      <c r="U697" s="454" t="str">
        <f t="shared" si="985"/>
        <v>1</v>
      </c>
      <c r="V697" s="454" t="str">
        <f t="shared" si="3"/>
        <v>1</v>
      </c>
      <c r="W697" s="454" t="str">
        <f t="shared" si="1055"/>
        <v>0</v>
      </c>
      <c r="X697" s="454" t="str">
        <f t="shared" si="987"/>
        <v>2</v>
      </c>
      <c r="Y697" s="456" t="str">
        <f t="shared" si="5"/>
        <v>FALSE</v>
      </c>
      <c r="Z697" s="456" t="str">
        <f t="shared" si="6"/>
        <v>TRUE</v>
      </c>
      <c r="AA697" s="457" t="str">
        <f t="shared" ref="AA697:AB697" si="1056">1-I697</f>
        <v>0%</v>
      </c>
      <c r="AB697" s="457" t="str">
        <f t="shared" si="1056"/>
        <v>100%</v>
      </c>
      <c r="AC697" s="456" t="str">
        <f t="shared" si="8"/>
        <v>2</v>
      </c>
      <c r="AD697" s="458" t="str">
        <f t="shared" si="989"/>
        <v>0</v>
      </c>
      <c r="AE697" s="458" t="str">
        <f t="shared" si="10"/>
        <v>1</v>
      </c>
      <c r="AF697" s="459" t="str">
        <f t="shared" si="990"/>
        <v>0</v>
      </c>
      <c r="AG697" s="460"/>
      <c r="AH697" s="14"/>
      <c r="AI697" s="14"/>
      <c r="AJ697" s="14"/>
      <c r="AK697" s="14"/>
      <c r="AL697" s="14"/>
      <c r="AM697" s="14"/>
      <c r="AN697" s="14"/>
      <c r="AO697" s="14"/>
      <c r="AP697" s="14"/>
      <c r="AQ697" s="14"/>
      <c r="AR697" s="14"/>
      <c r="AS697" s="14"/>
      <c r="AT697" s="14"/>
    </row>
    <row r="698">
      <c r="A698" s="472"/>
      <c r="B698" s="669">
        <v>9.0</v>
      </c>
      <c r="C698" s="670" t="s">
        <v>1513</v>
      </c>
      <c r="D698" s="671" t="s">
        <v>23</v>
      </c>
      <c r="E698" s="671" t="s">
        <v>33</v>
      </c>
      <c r="F698" s="672" t="s">
        <v>77</v>
      </c>
      <c r="G698" s="707">
        <v>1.0</v>
      </c>
      <c r="H698" s="673">
        <v>0.0</v>
      </c>
      <c r="I698" s="674">
        <v>1.0</v>
      </c>
      <c r="J698" s="674"/>
      <c r="K698" s="675" t="s">
        <v>188</v>
      </c>
      <c r="L698" s="675" t="s">
        <v>446</v>
      </c>
      <c r="M698" s="675">
        <v>4.0</v>
      </c>
      <c r="N698" s="675">
        <v>12.0</v>
      </c>
      <c r="O698" s="676" t="s">
        <v>1514</v>
      </c>
      <c r="P698" s="14"/>
      <c r="Q698" s="452" t="str">
        <f>MATCH($D698,Reference!$J$5:$J$9,0)</f>
        <v>5</v>
      </c>
      <c r="R698" s="452" t="str">
        <f>MATCH($E698,Reference!$J$26:$J$32,0)</f>
        <v>2</v>
      </c>
      <c r="S698" s="452" t="str">
        <f>MATCH($F698,Reference!$J$45:$J$54,0)</f>
        <v>10</v>
      </c>
      <c r="T698" s="453" t="str">
        <f>MATCH($K698,Reference!$J$37:$J$39,0)</f>
        <v>3</v>
      </c>
      <c r="U698" s="454" t="str">
        <f t="shared" si="985"/>
        <v>1</v>
      </c>
      <c r="V698" s="454" t="str">
        <f t="shared" si="3"/>
        <v>1</v>
      </c>
      <c r="W698" s="454" t="str">
        <f t="shared" si="1055"/>
        <v>0</v>
      </c>
      <c r="X698" s="454" t="str">
        <f t="shared" si="987"/>
        <v>2</v>
      </c>
      <c r="Y698" s="456" t="str">
        <f t="shared" si="5"/>
        <v>FALSE</v>
      </c>
      <c r="Z698" s="456" t="str">
        <f t="shared" si="6"/>
        <v>TRUE</v>
      </c>
      <c r="AA698" s="457" t="str">
        <f t="shared" ref="AA698:AB698" si="1057">1-I698</f>
        <v>0%</v>
      </c>
      <c r="AB698" s="457" t="str">
        <f t="shared" si="1057"/>
        <v>100%</v>
      </c>
      <c r="AC698" s="456" t="str">
        <f t="shared" si="8"/>
        <v>2</v>
      </c>
      <c r="AD698" s="458" t="str">
        <f t="shared" si="989"/>
        <v>0</v>
      </c>
      <c r="AE698" s="458" t="str">
        <f t="shared" si="10"/>
        <v>1</v>
      </c>
      <c r="AF698" s="459" t="str">
        <f t="shared" si="990"/>
        <v>0</v>
      </c>
      <c r="AG698" s="460"/>
      <c r="AH698" s="14"/>
      <c r="AI698" s="14"/>
      <c r="AJ698" s="14"/>
      <c r="AK698" s="14"/>
      <c r="AL698" s="14"/>
      <c r="AM698" s="14"/>
      <c r="AN698" s="14"/>
      <c r="AO698" s="14"/>
      <c r="AP698" s="14"/>
      <c r="AQ698" s="14"/>
      <c r="AR698" s="14"/>
      <c r="AS698" s="14"/>
      <c r="AT698" s="14"/>
    </row>
    <row r="699">
      <c r="A699" s="463"/>
      <c r="B699" s="669">
        <v>10.0</v>
      </c>
      <c r="C699" s="670" t="s">
        <v>1515</v>
      </c>
      <c r="D699" s="671" t="s">
        <v>23</v>
      </c>
      <c r="E699" s="671" t="s">
        <v>33</v>
      </c>
      <c r="F699" s="672" t="s">
        <v>77</v>
      </c>
      <c r="G699" s="673">
        <v>0.0</v>
      </c>
      <c r="H699" s="673">
        <v>0.0</v>
      </c>
      <c r="I699" s="728">
        <v>1.33</v>
      </c>
      <c r="J699" s="674"/>
      <c r="K699" s="675" t="s">
        <v>188</v>
      </c>
      <c r="L699" s="675" t="s">
        <v>446</v>
      </c>
      <c r="M699" s="675">
        <v>12.0</v>
      </c>
      <c r="N699" s="675">
        <v>12.0</v>
      </c>
      <c r="O699" s="676" t="s">
        <v>1516</v>
      </c>
      <c r="P699" s="14"/>
      <c r="Q699" s="452" t="str">
        <f>MATCH($D699,Reference!$J$5:$J$9,0)</f>
        <v>5</v>
      </c>
      <c r="R699" s="452" t="str">
        <f>MATCH($E699,Reference!$J$26:$J$32,0)</f>
        <v>2</v>
      </c>
      <c r="S699" s="452" t="str">
        <f>MATCH($F699,Reference!$J$45:$J$54,0)</f>
        <v>10</v>
      </c>
      <c r="T699" s="453" t="str">
        <f>MATCH($K699,Reference!$J$37:$J$39,0)</f>
        <v>3</v>
      </c>
      <c r="U699" s="454" t="str">
        <f t="shared" si="985"/>
        <v>0</v>
      </c>
      <c r="V699" s="454" t="str">
        <f t="shared" si="3"/>
        <v>0</v>
      </c>
      <c r="W699" s="454" t="str">
        <f t="shared" si="1055"/>
        <v>0</v>
      </c>
      <c r="X699" s="454" t="str">
        <f t="shared" si="987"/>
        <v>1</v>
      </c>
      <c r="Y699" s="456" t="str">
        <f t="shared" si="5"/>
        <v>TRUE</v>
      </c>
      <c r="Z699" s="456" t="str">
        <f t="shared" si="6"/>
        <v>TRUE</v>
      </c>
      <c r="AA699" s="457" t="str">
        <f t="shared" ref="AA699:AB699" si="1058">1-I699</f>
        <v>-33%</v>
      </c>
      <c r="AB699" s="457" t="str">
        <f t="shared" si="1058"/>
        <v>100%</v>
      </c>
      <c r="AC699" s="456" t="str">
        <f t="shared" si="8"/>
        <v>0.67</v>
      </c>
      <c r="AD699" s="458" t="str">
        <f t="shared" si="989"/>
        <v>0</v>
      </c>
      <c r="AE699" s="458" t="str">
        <f t="shared" si="10"/>
        <v>0</v>
      </c>
      <c r="AF699" s="459" t="str">
        <f t="shared" si="990"/>
        <v>0</v>
      </c>
      <c r="AG699" s="460"/>
      <c r="AH699" s="14"/>
      <c r="AI699" s="14"/>
      <c r="AJ699" s="14"/>
      <c r="AK699" s="14"/>
      <c r="AL699" s="14"/>
      <c r="AM699" s="14"/>
      <c r="AN699" s="14"/>
      <c r="AO699" s="14"/>
      <c r="AP699" s="14"/>
      <c r="AQ699" s="14"/>
      <c r="AR699" s="14"/>
      <c r="AS699" s="14"/>
      <c r="AT699" s="14"/>
    </row>
    <row r="700">
      <c r="A700" s="806"/>
      <c r="B700" s="806"/>
      <c r="C700" s="807"/>
      <c r="D700" s="808"/>
      <c r="E700" s="808"/>
      <c r="F700" s="808"/>
      <c r="G700" s="806"/>
      <c r="H700" s="806"/>
      <c r="I700" s="809"/>
      <c r="J700" s="809"/>
      <c r="K700" s="810"/>
      <c r="L700" s="810"/>
      <c r="M700" s="810"/>
      <c r="N700" s="810"/>
      <c r="O700" s="811"/>
      <c r="P700" s="14"/>
      <c r="Q700" s="812"/>
      <c r="R700" s="812"/>
      <c r="S700" s="812"/>
      <c r="T700" s="812"/>
      <c r="U700" s="808"/>
      <c r="V700" s="808"/>
      <c r="W700" s="808"/>
      <c r="X700" s="808"/>
      <c r="Y700" s="808"/>
      <c r="Z700" s="808"/>
      <c r="AA700" s="808"/>
      <c r="AB700" s="808"/>
      <c r="AC700" s="808"/>
      <c r="AD700" s="808"/>
      <c r="AE700" s="808"/>
      <c r="AF700" s="808"/>
      <c r="AG700" s="808"/>
      <c r="AH700" s="14"/>
      <c r="AI700" s="14"/>
      <c r="AJ700" s="14"/>
      <c r="AK700" s="14"/>
      <c r="AL700" s="14"/>
      <c r="AM700" s="14"/>
      <c r="AN700" s="14"/>
      <c r="AO700" s="14"/>
      <c r="AP700" s="14"/>
      <c r="AQ700" s="14"/>
      <c r="AR700" s="14"/>
      <c r="AS700" s="14"/>
      <c r="AT700" s="14"/>
    </row>
  </sheetData>
  <mergeCells count="345">
    <mergeCell ref="AK272:AL272"/>
    <mergeCell ref="AK271:AL271"/>
    <mergeCell ref="AK276:AL276"/>
    <mergeCell ref="AM276:AN276"/>
    <mergeCell ref="AI276:AJ276"/>
    <mergeCell ref="AI275:AJ275"/>
    <mergeCell ref="AM274:AN274"/>
    <mergeCell ref="AM272:AN272"/>
    <mergeCell ref="AM273:AN273"/>
    <mergeCell ref="AM269:AN269"/>
    <mergeCell ref="AK269:AL269"/>
    <mergeCell ref="AM270:AN270"/>
    <mergeCell ref="AM271:AN271"/>
    <mergeCell ref="AI269:AJ269"/>
    <mergeCell ref="AI270:AJ270"/>
    <mergeCell ref="AK275:AL275"/>
    <mergeCell ref="AK274:AL274"/>
    <mergeCell ref="AK273:AL273"/>
    <mergeCell ref="AM275:AN275"/>
    <mergeCell ref="AK270:AL270"/>
    <mergeCell ref="AO282:AP282"/>
    <mergeCell ref="AO280:AP280"/>
    <mergeCell ref="AO281:AP281"/>
    <mergeCell ref="AQ287:AR287"/>
    <mergeCell ref="AS287:AT287"/>
    <mergeCell ref="AO283:AP283"/>
    <mergeCell ref="AO287:AP287"/>
    <mergeCell ref="AO284:AP284"/>
    <mergeCell ref="AI282:AJ282"/>
    <mergeCell ref="AI283:AJ283"/>
    <mergeCell ref="AI284:AJ284"/>
    <mergeCell ref="AI281:AJ281"/>
    <mergeCell ref="AK281:AL281"/>
    <mergeCell ref="AM281:AN281"/>
    <mergeCell ref="AK280:AL280"/>
    <mergeCell ref="AK279:AL279"/>
    <mergeCell ref="AK278:AL278"/>
    <mergeCell ref="AM278:AN278"/>
    <mergeCell ref="AK283:AL283"/>
    <mergeCell ref="AM283:AN283"/>
    <mergeCell ref="AK287:AL287"/>
    <mergeCell ref="AM287:AN287"/>
    <mergeCell ref="AH286:AX286"/>
    <mergeCell ref="AW287:AX287"/>
    <mergeCell ref="AU287:AV287"/>
    <mergeCell ref="AI287:AJ287"/>
    <mergeCell ref="AM279:AN279"/>
    <mergeCell ref="AM280:AN280"/>
    <mergeCell ref="AM277:AN277"/>
    <mergeCell ref="AM282:AN282"/>
    <mergeCell ref="AK282:AL282"/>
    <mergeCell ref="AK284:AL284"/>
    <mergeCell ref="AM284:AN284"/>
    <mergeCell ref="AI260:AJ260"/>
    <mergeCell ref="AI259:AJ259"/>
    <mergeCell ref="AI258:AJ258"/>
    <mergeCell ref="AK258:AL258"/>
    <mergeCell ref="AO270:AP270"/>
    <mergeCell ref="AO271:AP271"/>
    <mergeCell ref="AO273:AP273"/>
    <mergeCell ref="AO274:AP274"/>
    <mergeCell ref="AO272:AP272"/>
    <mergeCell ref="AO275:AP275"/>
    <mergeCell ref="AO262:AP262"/>
    <mergeCell ref="AO261:AP261"/>
    <mergeCell ref="AO256:AP256"/>
    <mergeCell ref="AO260:AP260"/>
    <mergeCell ref="AO259:AP259"/>
    <mergeCell ref="AO258:AP258"/>
    <mergeCell ref="AO257:AP257"/>
    <mergeCell ref="AM256:AN256"/>
    <mergeCell ref="AM259:AN259"/>
    <mergeCell ref="AM258:AN258"/>
    <mergeCell ref="AM257:AN257"/>
    <mergeCell ref="AM260:AN260"/>
    <mergeCell ref="AM261:AN261"/>
    <mergeCell ref="AM262:AN262"/>
    <mergeCell ref="AI277:AJ277"/>
    <mergeCell ref="AK277:AL277"/>
    <mergeCell ref="AO278:AP278"/>
    <mergeCell ref="AO279:AP279"/>
    <mergeCell ref="AO277:AP277"/>
    <mergeCell ref="AO276:AP276"/>
    <mergeCell ref="AK257:AL257"/>
    <mergeCell ref="AK259:AL259"/>
    <mergeCell ref="AI256:AJ256"/>
    <mergeCell ref="AI257:AJ257"/>
    <mergeCell ref="AI267:AJ267"/>
    <mergeCell ref="AI266:AJ266"/>
    <mergeCell ref="AI263:AJ263"/>
    <mergeCell ref="AK267:AL267"/>
    <mergeCell ref="AK262:AL262"/>
    <mergeCell ref="AO247:AP247"/>
    <mergeCell ref="AO245:AP245"/>
    <mergeCell ref="AO246:AP246"/>
    <mergeCell ref="AO234:AP234"/>
    <mergeCell ref="AO231:AP231"/>
    <mergeCell ref="AO264:AP264"/>
    <mergeCell ref="AO263:AP263"/>
    <mergeCell ref="AU229:AV229"/>
    <mergeCell ref="AS229:AT229"/>
    <mergeCell ref="AO236:AP236"/>
    <mergeCell ref="AO248:AP248"/>
    <mergeCell ref="AO237:AP237"/>
    <mergeCell ref="AQ229:AR229"/>
    <mergeCell ref="AK265:AL265"/>
    <mergeCell ref="AK268:AL268"/>
    <mergeCell ref="AK264:AL264"/>
    <mergeCell ref="AK266:AL266"/>
    <mergeCell ref="AK263:AL263"/>
    <mergeCell ref="AI265:AJ265"/>
    <mergeCell ref="AI264:AJ264"/>
    <mergeCell ref="AM263:AN263"/>
    <mergeCell ref="AM264:AN264"/>
    <mergeCell ref="AM267:AN267"/>
    <mergeCell ref="AM268:AN268"/>
    <mergeCell ref="AM265:AN265"/>
    <mergeCell ref="AO267:AP267"/>
    <mergeCell ref="AO266:AP266"/>
    <mergeCell ref="AO269:AP269"/>
    <mergeCell ref="AO265:AP265"/>
    <mergeCell ref="AO268:AP268"/>
    <mergeCell ref="AM266:AN266"/>
    <mergeCell ref="AO233:AP233"/>
    <mergeCell ref="AO230:AP230"/>
    <mergeCell ref="AH229:AP229"/>
    <mergeCell ref="AO232:AP232"/>
    <mergeCell ref="AO244:AP244"/>
    <mergeCell ref="AO243:AP243"/>
    <mergeCell ref="AH15:AX17"/>
    <mergeCell ref="AH14:AX14"/>
    <mergeCell ref="AW40:AX40"/>
    <mergeCell ref="AU40:AV40"/>
    <mergeCell ref="AQ40:AR40"/>
    <mergeCell ref="AM40:AN40"/>
    <mergeCell ref="AH8:AX8"/>
    <mergeCell ref="AH7:AX7"/>
    <mergeCell ref="AH6:AX6"/>
    <mergeCell ref="AH5:AX5"/>
    <mergeCell ref="AH4:AX4"/>
    <mergeCell ref="AH3:AX3"/>
    <mergeCell ref="AS40:AT40"/>
    <mergeCell ref="AU154:AV154"/>
    <mergeCell ref="AH153:AX153"/>
    <mergeCell ref="AW154:AX154"/>
    <mergeCell ref="AO154:AP154"/>
    <mergeCell ref="AQ154:AR154"/>
    <mergeCell ref="AK116:AL116"/>
    <mergeCell ref="AH115:AX115"/>
    <mergeCell ref="AI116:AJ116"/>
    <mergeCell ref="AU116:AV116"/>
    <mergeCell ref="AU135:AV135"/>
    <mergeCell ref="AW135:AX135"/>
    <mergeCell ref="AQ135:AR135"/>
    <mergeCell ref="AS135:AT135"/>
    <mergeCell ref="AH134:AX134"/>
    <mergeCell ref="AU97:AV97"/>
    <mergeCell ref="AQ97:AR97"/>
    <mergeCell ref="AW116:AX116"/>
    <mergeCell ref="AQ116:AR116"/>
    <mergeCell ref="AS116:AT116"/>
    <mergeCell ref="AS154:AT154"/>
    <mergeCell ref="AS97:AT97"/>
    <mergeCell ref="AS192:AT192"/>
    <mergeCell ref="AH210:AX210"/>
    <mergeCell ref="AQ211:AR211"/>
    <mergeCell ref="AS211:AT211"/>
    <mergeCell ref="AW211:AX211"/>
    <mergeCell ref="AU211:AV211"/>
    <mergeCell ref="AO211:AP211"/>
    <mergeCell ref="AO192:AP192"/>
    <mergeCell ref="AS173:AT173"/>
    <mergeCell ref="AO173:AP173"/>
    <mergeCell ref="AQ173:AR173"/>
    <mergeCell ref="AW173:AX173"/>
    <mergeCell ref="AU173:AV173"/>
    <mergeCell ref="AU192:AV192"/>
    <mergeCell ref="AQ192:AR192"/>
    <mergeCell ref="AW192:AX192"/>
    <mergeCell ref="AH191:AX191"/>
    <mergeCell ref="AH172:AX172"/>
    <mergeCell ref="AH13:AX13"/>
    <mergeCell ref="AH11:AX11"/>
    <mergeCell ref="AH12:AX12"/>
    <mergeCell ref="AH10:AX10"/>
    <mergeCell ref="AH9:AX9"/>
    <mergeCell ref="AK21:AL21"/>
    <mergeCell ref="AI21:AJ21"/>
    <mergeCell ref="AH20:AX20"/>
    <mergeCell ref="AS21:AT21"/>
    <mergeCell ref="AU21:AV21"/>
    <mergeCell ref="AO21:AP21"/>
    <mergeCell ref="AQ21:AR21"/>
    <mergeCell ref="AM21:AN21"/>
    <mergeCell ref="AW21:AX21"/>
    <mergeCell ref="AO40:AP40"/>
    <mergeCell ref="AW59:AX59"/>
    <mergeCell ref="AH58:AX58"/>
    <mergeCell ref="AS59:AT59"/>
    <mergeCell ref="AQ59:AR59"/>
    <mergeCell ref="AO59:AP59"/>
    <mergeCell ref="AU59:AV59"/>
    <mergeCell ref="AI40:AJ40"/>
    <mergeCell ref="AH39:AX39"/>
    <mergeCell ref="AW97:AX97"/>
    <mergeCell ref="AH96:AX96"/>
    <mergeCell ref="AI59:AJ59"/>
    <mergeCell ref="AK59:AL59"/>
    <mergeCell ref="AU78:AV78"/>
    <mergeCell ref="AS78:AT78"/>
    <mergeCell ref="AW78:AX78"/>
    <mergeCell ref="AH77:AX77"/>
    <mergeCell ref="AQ78:AR78"/>
    <mergeCell ref="AI192:AJ192"/>
    <mergeCell ref="AI211:AJ211"/>
    <mergeCell ref="AK211:AL211"/>
    <mergeCell ref="AK192:AL192"/>
    <mergeCell ref="AK236:AL236"/>
    <mergeCell ref="AK235:AL235"/>
    <mergeCell ref="AK230:AL230"/>
    <mergeCell ref="AI230:AJ230"/>
    <mergeCell ref="AK97:AL97"/>
    <mergeCell ref="AK135:AL135"/>
    <mergeCell ref="AI236:AJ236"/>
    <mergeCell ref="AI235:AJ235"/>
    <mergeCell ref="AK232:AL232"/>
    <mergeCell ref="AI97:AJ97"/>
    <mergeCell ref="AK231:AL231"/>
    <mergeCell ref="AK233:AL233"/>
    <mergeCell ref="AI232:AJ232"/>
    <mergeCell ref="AI135:AJ135"/>
    <mergeCell ref="AK240:AL240"/>
    <mergeCell ref="AK239:AL239"/>
    <mergeCell ref="AK238:AL238"/>
    <mergeCell ref="AK242:AL242"/>
    <mergeCell ref="AK241:AL241"/>
    <mergeCell ref="AK245:AL245"/>
    <mergeCell ref="AK243:AL243"/>
    <mergeCell ref="AK244:AL244"/>
    <mergeCell ref="AK248:AL248"/>
    <mergeCell ref="AK251:AL251"/>
    <mergeCell ref="AK250:AL250"/>
    <mergeCell ref="AK249:AL249"/>
    <mergeCell ref="AK246:AL246"/>
    <mergeCell ref="AK247:AL247"/>
    <mergeCell ref="AK234:AL234"/>
    <mergeCell ref="AK260:AL260"/>
    <mergeCell ref="AK261:AL261"/>
    <mergeCell ref="AK255:AL255"/>
    <mergeCell ref="AK256:AL256"/>
    <mergeCell ref="AK237:AL237"/>
    <mergeCell ref="AK252:AL252"/>
    <mergeCell ref="AM231:AN231"/>
    <mergeCell ref="AM230:AN230"/>
    <mergeCell ref="AM235:AN235"/>
    <mergeCell ref="AO235:AP235"/>
    <mergeCell ref="AI233:AJ233"/>
    <mergeCell ref="AI234:AJ234"/>
    <mergeCell ref="AM236:AN236"/>
    <mergeCell ref="AM234:AN234"/>
    <mergeCell ref="AM232:AN232"/>
    <mergeCell ref="AM233:AN233"/>
    <mergeCell ref="AO239:AP239"/>
    <mergeCell ref="AO238:AP238"/>
    <mergeCell ref="AM192:AN192"/>
    <mergeCell ref="AO116:AP116"/>
    <mergeCell ref="AO78:AP78"/>
    <mergeCell ref="AO97:AP97"/>
    <mergeCell ref="AO135:AP135"/>
    <mergeCell ref="AM237:AN237"/>
    <mergeCell ref="AM238:AN238"/>
    <mergeCell ref="AM245:AN245"/>
    <mergeCell ref="AM243:AN243"/>
    <mergeCell ref="AM242:AN242"/>
    <mergeCell ref="AM211:AN211"/>
    <mergeCell ref="AM241:AN241"/>
    <mergeCell ref="AM244:AN244"/>
    <mergeCell ref="AO250:AP250"/>
    <mergeCell ref="AO251:AP251"/>
    <mergeCell ref="AO254:AP254"/>
    <mergeCell ref="AO255:AP255"/>
    <mergeCell ref="AM240:AN240"/>
    <mergeCell ref="AM246:AN246"/>
    <mergeCell ref="AM253:AN253"/>
    <mergeCell ref="AM250:AN250"/>
    <mergeCell ref="AM252:AN252"/>
    <mergeCell ref="AM251:AN251"/>
    <mergeCell ref="AO249:AP249"/>
    <mergeCell ref="AM249:AN249"/>
    <mergeCell ref="AM239:AN239"/>
    <mergeCell ref="AO253:AP253"/>
    <mergeCell ref="AO241:AP241"/>
    <mergeCell ref="AO240:AP240"/>
    <mergeCell ref="AO252:AP252"/>
    <mergeCell ref="AO242:AP242"/>
    <mergeCell ref="AM247:AN247"/>
    <mergeCell ref="AM248:AN248"/>
    <mergeCell ref="AI273:AJ273"/>
    <mergeCell ref="AI271:AJ271"/>
    <mergeCell ref="AI272:AJ272"/>
    <mergeCell ref="AI262:AJ262"/>
    <mergeCell ref="AI261:AJ261"/>
    <mergeCell ref="AI274:AJ274"/>
    <mergeCell ref="AI279:AJ279"/>
    <mergeCell ref="AI278:AJ278"/>
    <mergeCell ref="AI280:AJ280"/>
    <mergeCell ref="AI268:AJ268"/>
    <mergeCell ref="AI249:AJ249"/>
    <mergeCell ref="AI248:AJ248"/>
    <mergeCell ref="AI255:AJ255"/>
    <mergeCell ref="AI254:AJ254"/>
    <mergeCell ref="AI250:AJ250"/>
    <mergeCell ref="AI251:AJ251"/>
    <mergeCell ref="AI252:AJ252"/>
    <mergeCell ref="AI253:AJ253"/>
    <mergeCell ref="AI247:AJ247"/>
    <mergeCell ref="AM78:AN78"/>
    <mergeCell ref="AK78:AL78"/>
    <mergeCell ref="AI78:AJ78"/>
    <mergeCell ref="AI154:AJ154"/>
    <mergeCell ref="AI173:AJ173"/>
    <mergeCell ref="AI237:AJ237"/>
    <mergeCell ref="AI238:AJ238"/>
    <mergeCell ref="AI239:AJ239"/>
    <mergeCell ref="AI240:AJ240"/>
    <mergeCell ref="AI241:AJ241"/>
    <mergeCell ref="AI242:AJ242"/>
    <mergeCell ref="AI231:AJ231"/>
    <mergeCell ref="AK254:AL254"/>
    <mergeCell ref="AK253:AL253"/>
    <mergeCell ref="AM255:AN255"/>
    <mergeCell ref="AM254:AN254"/>
    <mergeCell ref="AK173:AL173"/>
    <mergeCell ref="AM173:AN173"/>
    <mergeCell ref="AI243:AJ243"/>
    <mergeCell ref="AI244:AJ244"/>
    <mergeCell ref="AI246:AJ246"/>
    <mergeCell ref="AI245:AJ245"/>
    <mergeCell ref="AK154:AL154"/>
    <mergeCell ref="AM154:AN154"/>
    <mergeCell ref="AM116:AN116"/>
    <mergeCell ref="AM135:AN135"/>
    <mergeCell ref="AM59:AN59"/>
    <mergeCell ref="AM97:AN97"/>
    <mergeCell ref="AK40:AL40"/>
  </mergeCells>
  <conditionalFormatting sqref="AH110">
    <cfRule type="cellIs" dxfId="0" priority="1" operator="equal">
      <formula>"Neutral"</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13"/>
      <c r="B1" s="813"/>
      <c r="C1" s="813"/>
      <c r="D1" s="813"/>
      <c r="E1" s="813"/>
      <c r="F1" s="813"/>
      <c r="G1" s="813"/>
      <c r="H1" s="813"/>
      <c r="I1" s="808"/>
      <c r="J1" s="808"/>
      <c r="K1" s="808"/>
      <c r="L1" s="808"/>
      <c r="M1" s="807"/>
      <c r="N1" s="808"/>
      <c r="O1" s="807"/>
      <c r="P1" s="808"/>
      <c r="Q1" s="808"/>
      <c r="R1" s="808"/>
      <c r="S1" s="808"/>
      <c r="T1" s="808"/>
      <c r="U1" s="808"/>
      <c r="V1" s="808"/>
    </row>
    <row r="2">
      <c r="A2" s="814"/>
      <c r="B2" s="815" t="s">
        <v>1517</v>
      </c>
      <c r="C2" s="106"/>
      <c r="D2" s="106"/>
      <c r="E2" s="106"/>
      <c r="F2" s="106"/>
      <c r="G2" s="106"/>
      <c r="H2" s="106"/>
      <c r="I2" s="106"/>
      <c r="J2" s="106"/>
      <c r="K2" s="106"/>
      <c r="L2" s="106"/>
      <c r="M2" s="106"/>
      <c r="N2" s="106"/>
      <c r="O2" s="107"/>
      <c r="P2" s="816"/>
      <c r="Q2" s="816"/>
      <c r="R2" s="816"/>
      <c r="S2" s="816"/>
      <c r="T2" s="816"/>
      <c r="U2" s="816"/>
      <c r="V2" s="816"/>
      <c r="W2" s="816"/>
      <c r="X2" s="816"/>
      <c r="Y2" s="816"/>
      <c r="Z2" s="816"/>
      <c r="AA2" s="816"/>
      <c r="AB2" s="816"/>
      <c r="AC2" s="816"/>
      <c r="AD2" s="816"/>
      <c r="AE2" s="816"/>
      <c r="AF2" s="816"/>
      <c r="AG2" s="816"/>
      <c r="AH2" s="816"/>
      <c r="AI2" s="816"/>
      <c r="AJ2" s="816"/>
      <c r="AK2" s="816"/>
      <c r="AL2" s="816"/>
    </row>
    <row r="3">
      <c r="A3" s="814" t="str">
        <f t="array" ref="A3:AG146">query('Card List'!A1:AG1002, " select * where A is not null and X&lt;=1 ",1)</f>
        <v>a</v>
      </c>
      <c r="B3" s="817" t="s">
        <v>136</v>
      </c>
      <c r="C3" s="818" t="s">
        <v>137</v>
      </c>
      <c r="D3" s="818" t="s">
        <v>5</v>
      </c>
      <c r="E3" s="818" t="s">
        <v>138</v>
      </c>
      <c r="F3" s="818" t="s">
        <v>59</v>
      </c>
      <c r="G3" s="818" t="s">
        <v>31</v>
      </c>
      <c r="H3" s="818" t="s">
        <v>32</v>
      </c>
      <c r="I3" s="818" t="s">
        <v>139</v>
      </c>
      <c r="J3" s="818" t="s">
        <v>140</v>
      </c>
      <c r="K3" s="818" t="s">
        <v>141</v>
      </c>
      <c r="L3" s="818" t="s">
        <v>142</v>
      </c>
      <c r="M3" s="818" t="s">
        <v>143</v>
      </c>
      <c r="N3" s="818" t="s">
        <v>144</v>
      </c>
      <c r="O3" s="819" t="s">
        <v>145</v>
      </c>
      <c r="P3" s="808" t="s">
        <v>1</v>
      </c>
      <c r="Q3" s="808" t="s">
        <v>146</v>
      </c>
      <c r="R3" s="808" t="s">
        <v>147</v>
      </c>
      <c r="S3" s="808" t="s">
        <v>148</v>
      </c>
      <c r="T3" s="808" t="s">
        <v>149</v>
      </c>
      <c r="U3" s="808" t="s">
        <v>150</v>
      </c>
      <c r="V3" s="808" t="s">
        <v>151</v>
      </c>
      <c r="W3" s="808" t="s">
        <v>152</v>
      </c>
      <c r="X3" s="808" t="s">
        <v>106</v>
      </c>
      <c r="Y3" s="808" t="s">
        <v>153</v>
      </c>
      <c r="Z3" s="808" t="s">
        <v>154</v>
      </c>
      <c r="AA3" t="s">
        <v>155</v>
      </c>
      <c r="AB3" t="s">
        <v>156</v>
      </c>
      <c r="AC3" t="s">
        <v>157</v>
      </c>
      <c r="AD3" t="s">
        <v>158</v>
      </c>
      <c r="AE3" t="s">
        <v>159</v>
      </c>
      <c r="AF3" t="s">
        <v>160</v>
      </c>
      <c r="AG3" t="s">
        <v>1</v>
      </c>
    </row>
    <row r="4">
      <c r="A4" s="820" t="s">
        <v>1</v>
      </c>
      <c r="B4" s="821">
        <v>6.0</v>
      </c>
      <c r="C4" s="822" t="s">
        <v>244</v>
      </c>
      <c r="D4" s="823" t="s">
        <v>21</v>
      </c>
      <c r="E4" s="823" t="s">
        <v>35</v>
      </c>
      <c r="F4" s="823" t="s">
        <v>60</v>
      </c>
      <c r="G4" s="823">
        <v>1.0</v>
      </c>
      <c r="H4" s="823">
        <v>0.0</v>
      </c>
      <c r="I4" s="823">
        <v>1.0</v>
      </c>
      <c r="J4" s="823">
        <v>1.0</v>
      </c>
      <c r="K4" s="823" t="s">
        <v>188</v>
      </c>
      <c r="L4" s="823" t="s">
        <v>198</v>
      </c>
      <c r="M4" s="822">
        <v>7.0</v>
      </c>
      <c r="N4" s="823">
        <v>6.0</v>
      </c>
      <c r="O4" s="824" t="s">
        <v>245</v>
      </c>
      <c r="P4" s="808" t="s">
        <v>1</v>
      </c>
      <c r="Q4" s="808">
        <v>3.0</v>
      </c>
      <c r="R4" s="808">
        <v>5.0</v>
      </c>
      <c r="S4" s="808">
        <v>1.0</v>
      </c>
      <c r="T4" s="808">
        <v>3.0</v>
      </c>
      <c r="U4" s="808">
        <v>1.0</v>
      </c>
      <c r="V4" s="808">
        <v>1.0</v>
      </c>
      <c r="W4">
        <v>0.0</v>
      </c>
      <c r="X4">
        <v>1.0</v>
      </c>
      <c r="Y4" t="b">
        <v>0</v>
      </c>
      <c r="Z4" t="b">
        <v>1</v>
      </c>
      <c r="AA4">
        <v>0.0</v>
      </c>
      <c r="AB4">
        <v>0.0</v>
      </c>
      <c r="AC4">
        <v>1.0</v>
      </c>
      <c r="AD4">
        <v>0.0</v>
      </c>
      <c r="AE4">
        <v>1.0</v>
      </c>
      <c r="AF4">
        <v>0.0</v>
      </c>
      <c r="AG4" t="s">
        <v>1</v>
      </c>
    </row>
    <row r="5">
      <c r="A5" s="820" t="s">
        <v>1</v>
      </c>
      <c r="B5" s="821">
        <v>3.0</v>
      </c>
      <c r="C5" s="822" t="s">
        <v>252</v>
      </c>
      <c r="D5" s="823" t="s">
        <v>22</v>
      </c>
      <c r="E5" s="823" t="s">
        <v>36</v>
      </c>
      <c r="F5" s="823" t="s">
        <v>60</v>
      </c>
      <c r="G5" s="823">
        <v>1.0</v>
      </c>
      <c r="H5" s="823">
        <v>0.0</v>
      </c>
      <c r="I5" s="823">
        <v>1.0</v>
      </c>
      <c r="J5" s="823">
        <v>1.0</v>
      </c>
      <c r="K5" s="823" t="s">
        <v>162</v>
      </c>
      <c r="L5" s="823" t="s">
        <v>1</v>
      </c>
      <c r="M5" s="822"/>
      <c r="N5" s="823"/>
      <c r="O5" s="824" t="s">
        <v>253</v>
      </c>
      <c r="P5" s="808" t="s">
        <v>1</v>
      </c>
      <c r="Q5" s="808">
        <v>4.0</v>
      </c>
      <c r="R5" s="808">
        <v>7.0</v>
      </c>
      <c r="S5" s="808">
        <v>1.0</v>
      </c>
      <c r="T5" s="808">
        <v>2.0</v>
      </c>
      <c r="U5" s="808">
        <v>1.0</v>
      </c>
      <c r="V5" s="808">
        <v>1.0</v>
      </c>
      <c r="W5">
        <v>0.0</v>
      </c>
      <c r="X5">
        <v>1.0</v>
      </c>
      <c r="Y5" t="b">
        <v>0</v>
      </c>
      <c r="Z5" t="b">
        <v>0</v>
      </c>
      <c r="AA5">
        <v>0.0</v>
      </c>
      <c r="AB5">
        <v>0.0</v>
      </c>
      <c r="AC5">
        <v>1.0</v>
      </c>
      <c r="AD5">
        <v>0.0</v>
      </c>
      <c r="AE5">
        <v>1.0</v>
      </c>
      <c r="AF5">
        <v>0.0</v>
      </c>
      <c r="AG5" t="s">
        <v>1</v>
      </c>
    </row>
    <row r="6">
      <c r="A6" s="820" t="s">
        <v>1</v>
      </c>
      <c r="B6" s="821">
        <v>4.0</v>
      </c>
      <c r="C6" s="822" t="s">
        <v>254</v>
      </c>
      <c r="D6" s="823" t="s">
        <v>22</v>
      </c>
      <c r="E6" s="823" t="s">
        <v>36</v>
      </c>
      <c r="F6" s="823" t="s">
        <v>60</v>
      </c>
      <c r="G6" s="823">
        <v>1.0</v>
      </c>
      <c r="H6" s="823">
        <v>0.0</v>
      </c>
      <c r="I6" s="823">
        <v>1.0</v>
      </c>
      <c r="J6" s="823">
        <v>0.0</v>
      </c>
      <c r="K6" s="823" t="s">
        <v>162</v>
      </c>
      <c r="L6" s="823" t="s">
        <v>1</v>
      </c>
      <c r="M6" s="822"/>
      <c r="N6" s="823"/>
      <c r="O6" s="824" t="s">
        <v>255</v>
      </c>
      <c r="P6" s="808" t="s">
        <v>1</v>
      </c>
      <c r="Q6" s="808">
        <v>4.0</v>
      </c>
      <c r="R6" s="808">
        <v>7.0</v>
      </c>
      <c r="S6" s="808">
        <v>1.0</v>
      </c>
      <c r="T6" s="808">
        <v>2.0</v>
      </c>
      <c r="U6" s="808">
        <v>1.0</v>
      </c>
      <c r="V6" s="808">
        <v>1.0</v>
      </c>
      <c r="W6">
        <v>0.0</v>
      </c>
      <c r="X6">
        <v>1.0</v>
      </c>
      <c r="Y6" t="b">
        <v>0</v>
      </c>
      <c r="Z6" t="b">
        <v>0</v>
      </c>
      <c r="AA6">
        <v>0.0</v>
      </c>
      <c r="AB6">
        <v>1.0</v>
      </c>
      <c r="AC6">
        <v>1.0</v>
      </c>
      <c r="AD6">
        <v>0.0</v>
      </c>
      <c r="AE6">
        <v>1.0</v>
      </c>
      <c r="AF6">
        <v>0.0</v>
      </c>
      <c r="AG6" t="s">
        <v>1</v>
      </c>
    </row>
    <row r="7">
      <c r="A7" s="820" t="s">
        <v>1</v>
      </c>
      <c r="B7" s="821">
        <v>6.0</v>
      </c>
      <c r="C7" s="822" t="s">
        <v>256</v>
      </c>
      <c r="D7" s="823" t="s">
        <v>22</v>
      </c>
      <c r="E7" s="823" t="s">
        <v>35</v>
      </c>
      <c r="F7" s="823" t="s">
        <v>60</v>
      </c>
      <c r="G7" s="823">
        <v>1.0</v>
      </c>
      <c r="H7" s="823">
        <v>0.0</v>
      </c>
      <c r="I7" s="823">
        <v>1.0</v>
      </c>
      <c r="J7" s="823">
        <v>1.0</v>
      </c>
      <c r="K7" s="823" t="s">
        <v>162</v>
      </c>
      <c r="L7" s="823" t="s">
        <v>1</v>
      </c>
      <c r="M7" s="822"/>
      <c r="N7" s="823"/>
      <c r="O7" s="824" t="s">
        <v>257</v>
      </c>
      <c r="P7" s="808" t="s">
        <v>1</v>
      </c>
      <c r="Q7" s="808">
        <v>4.0</v>
      </c>
      <c r="R7" s="808">
        <v>5.0</v>
      </c>
      <c r="S7" s="808">
        <v>1.0</v>
      </c>
      <c r="T7" s="808">
        <v>2.0</v>
      </c>
      <c r="U7" s="808">
        <v>1.0</v>
      </c>
      <c r="V7" s="808">
        <v>1.0</v>
      </c>
      <c r="W7">
        <v>0.0</v>
      </c>
      <c r="X7">
        <v>1.0</v>
      </c>
      <c r="Y7" t="b">
        <v>0</v>
      </c>
      <c r="Z7" t="b">
        <v>0</v>
      </c>
      <c r="AA7">
        <v>0.0</v>
      </c>
      <c r="AB7">
        <v>0.0</v>
      </c>
      <c r="AC7">
        <v>1.0</v>
      </c>
      <c r="AD7">
        <v>0.0</v>
      </c>
      <c r="AE7">
        <v>1.0</v>
      </c>
      <c r="AF7">
        <v>0.0</v>
      </c>
      <c r="AG7" t="s">
        <v>1</v>
      </c>
    </row>
    <row r="8">
      <c r="A8" s="820" t="s">
        <v>1</v>
      </c>
      <c r="B8" s="821">
        <v>9.0</v>
      </c>
      <c r="C8" s="822" t="s">
        <v>264</v>
      </c>
      <c r="D8" s="823" t="s">
        <v>22</v>
      </c>
      <c r="E8" s="823" t="s">
        <v>35</v>
      </c>
      <c r="F8" s="823" t="s">
        <v>60</v>
      </c>
      <c r="G8" s="823">
        <v>1.0</v>
      </c>
      <c r="H8" s="823">
        <v>0.0</v>
      </c>
      <c r="I8" s="823">
        <v>1.0</v>
      </c>
      <c r="J8" s="823">
        <v>1.0</v>
      </c>
      <c r="K8" s="823" t="s">
        <v>162</v>
      </c>
      <c r="L8" s="823" t="s">
        <v>1</v>
      </c>
      <c r="M8" s="822"/>
      <c r="N8" s="823"/>
      <c r="O8" s="824" t="s">
        <v>265</v>
      </c>
      <c r="P8" s="808" t="s">
        <v>1</v>
      </c>
      <c r="Q8" s="808">
        <v>4.0</v>
      </c>
      <c r="R8" s="808">
        <v>5.0</v>
      </c>
      <c r="S8" s="808">
        <v>1.0</v>
      </c>
      <c r="T8" s="808">
        <v>2.0</v>
      </c>
      <c r="U8" s="808">
        <v>1.0</v>
      </c>
      <c r="V8" s="808">
        <v>1.0</v>
      </c>
      <c r="W8">
        <v>0.0</v>
      </c>
      <c r="X8">
        <v>1.0</v>
      </c>
      <c r="Y8" t="b">
        <v>0</v>
      </c>
      <c r="Z8" t="b">
        <v>0</v>
      </c>
      <c r="AA8">
        <v>0.0</v>
      </c>
      <c r="AB8">
        <v>0.0</v>
      </c>
      <c r="AC8">
        <v>1.0</v>
      </c>
      <c r="AD8">
        <v>0.0</v>
      </c>
      <c r="AE8">
        <v>1.0</v>
      </c>
      <c r="AF8">
        <v>0.0</v>
      </c>
      <c r="AG8" t="s">
        <v>1</v>
      </c>
    </row>
    <row r="9">
      <c r="A9" s="820" t="s">
        <v>1</v>
      </c>
      <c r="B9" s="821">
        <v>7.0</v>
      </c>
      <c r="C9" s="822" t="s">
        <v>266</v>
      </c>
      <c r="D9" s="823" t="s">
        <v>23</v>
      </c>
      <c r="E9" s="823" t="s">
        <v>35</v>
      </c>
      <c r="F9" s="823" t="s">
        <v>60</v>
      </c>
      <c r="G9" s="823">
        <v>0.0</v>
      </c>
      <c r="H9" s="823">
        <v>0.0</v>
      </c>
      <c r="I9" s="823">
        <v>1.0</v>
      </c>
      <c r="J9" s="823"/>
      <c r="K9" s="823" t="s">
        <v>188</v>
      </c>
      <c r="L9" s="823" t="s">
        <v>238</v>
      </c>
      <c r="M9" s="822">
        <v>9.0</v>
      </c>
      <c r="N9" s="823">
        <v>7.0</v>
      </c>
      <c r="O9" s="824" t="s">
        <v>267</v>
      </c>
      <c r="P9" s="808" t="s">
        <v>1</v>
      </c>
      <c r="Q9" s="808">
        <v>5.0</v>
      </c>
      <c r="R9" s="808">
        <v>5.0</v>
      </c>
      <c r="S9" s="808">
        <v>1.0</v>
      </c>
      <c r="T9" s="808">
        <v>3.0</v>
      </c>
      <c r="U9" s="808">
        <v>0.0</v>
      </c>
      <c r="V9" s="808">
        <v>0.0</v>
      </c>
      <c r="W9">
        <v>0.0</v>
      </c>
      <c r="X9">
        <v>1.0</v>
      </c>
      <c r="Y9" t="b">
        <v>1</v>
      </c>
      <c r="Z9" t="b">
        <v>1</v>
      </c>
      <c r="AA9">
        <v>0.0</v>
      </c>
      <c r="AB9">
        <v>1.0</v>
      </c>
      <c r="AC9">
        <v>1.0</v>
      </c>
      <c r="AD9">
        <v>0.0</v>
      </c>
      <c r="AE9">
        <v>0.0</v>
      </c>
      <c r="AF9">
        <v>0.0</v>
      </c>
      <c r="AG9" t="s">
        <v>1</v>
      </c>
    </row>
    <row r="10">
      <c r="A10" s="820" t="s">
        <v>1</v>
      </c>
      <c r="B10" s="821">
        <v>9.0</v>
      </c>
      <c r="C10" s="822" t="s">
        <v>268</v>
      </c>
      <c r="D10" s="823" t="s">
        <v>23</v>
      </c>
      <c r="E10" s="823" t="s">
        <v>36</v>
      </c>
      <c r="F10" s="823" t="s">
        <v>60</v>
      </c>
      <c r="G10" s="823">
        <v>0.0</v>
      </c>
      <c r="H10" s="823">
        <v>0.0</v>
      </c>
      <c r="I10" s="823">
        <v>1.0</v>
      </c>
      <c r="J10" s="823">
        <v>1.0</v>
      </c>
      <c r="K10" s="823" t="s">
        <v>188</v>
      </c>
      <c r="L10" s="823" t="s">
        <v>1</v>
      </c>
      <c r="M10" s="822">
        <v>5.0</v>
      </c>
      <c r="N10" s="823">
        <v>5.0</v>
      </c>
      <c r="O10" s="824" t="s">
        <v>269</v>
      </c>
      <c r="P10" s="808" t="s">
        <v>1</v>
      </c>
      <c r="Q10" s="808">
        <v>5.0</v>
      </c>
      <c r="R10" s="808">
        <v>7.0</v>
      </c>
      <c r="S10" s="808">
        <v>1.0</v>
      </c>
      <c r="T10" s="808">
        <v>3.0</v>
      </c>
      <c r="U10" s="808">
        <v>0.0</v>
      </c>
      <c r="V10" s="808">
        <v>0.0</v>
      </c>
      <c r="W10">
        <v>0.0</v>
      </c>
      <c r="X10">
        <v>1.0</v>
      </c>
      <c r="Y10" t="b">
        <v>1</v>
      </c>
      <c r="Z10" t="b">
        <v>1</v>
      </c>
      <c r="AA10">
        <v>0.0</v>
      </c>
      <c r="AB10">
        <v>0.0</v>
      </c>
      <c r="AC10">
        <v>0.0</v>
      </c>
      <c r="AD10">
        <v>0.0</v>
      </c>
      <c r="AE10">
        <v>0.0</v>
      </c>
      <c r="AF10">
        <v>0.0</v>
      </c>
      <c r="AG10" t="s">
        <v>1</v>
      </c>
    </row>
    <row r="11">
      <c r="A11" s="820" t="s">
        <v>1</v>
      </c>
      <c r="B11" s="821">
        <v>2.0</v>
      </c>
      <c r="C11" s="822" t="s">
        <v>322</v>
      </c>
      <c r="D11" s="823" t="s">
        <v>21</v>
      </c>
      <c r="E11" s="823" t="s">
        <v>33</v>
      </c>
      <c r="F11" s="823" t="s">
        <v>63</v>
      </c>
      <c r="G11" s="823">
        <v>1.0</v>
      </c>
      <c r="H11" s="823">
        <v>0.0</v>
      </c>
      <c r="I11" s="823">
        <v>1.0</v>
      </c>
      <c r="J11" s="823">
        <v>1.0</v>
      </c>
      <c r="K11" s="823" t="s">
        <v>162</v>
      </c>
      <c r="L11" s="823" t="s">
        <v>1</v>
      </c>
      <c r="M11" s="822"/>
      <c r="N11" s="823"/>
      <c r="O11" s="824" t="s">
        <v>323</v>
      </c>
      <c r="P11" s="808" t="s">
        <v>1</v>
      </c>
      <c r="Q11" s="808">
        <v>3.0</v>
      </c>
      <c r="R11" s="808">
        <v>2.0</v>
      </c>
      <c r="S11" s="808">
        <v>2.0</v>
      </c>
      <c r="T11" s="808">
        <v>2.0</v>
      </c>
      <c r="U11" s="808">
        <v>1.0</v>
      </c>
      <c r="V11" s="808">
        <v>1.0</v>
      </c>
      <c r="W11">
        <v>0.0</v>
      </c>
      <c r="X11">
        <v>1.0</v>
      </c>
      <c r="Y11" t="b">
        <v>0</v>
      </c>
      <c r="Z11" t="b">
        <v>1</v>
      </c>
      <c r="AA11">
        <v>0.0</v>
      </c>
      <c r="AB11">
        <v>0.0</v>
      </c>
      <c r="AC11">
        <v>1.0</v>
      </c>
      <c r="AD11">
        <v>0.0</v>
      </c>
      <c r="AE11">
        <v>1.0</v>
      </c>
      <c r="AF11">
        <v>0.0</v>
      </c>
      <c r="AG11" t="s">
        <v>1</v>
      </c>
    </row>
    <row r="12">
      <c r="A12" s="820" t="s">
        <v>1</v>
      </c>
      <c r="B12" s="821">
        <v>5.0</v>
      </c>
      <c r="C12" s="822" t="s">
        <v>336</v>
      </c>
      <c r="D12" s="823" t="s">
        <v>21</v>
      </c>
      <c r="E12" s="823" t="s">
        <v>35</v>
      </c>
      <c r="F12" s="823" t="s">
        <v>63</v>
      </c>
      <c r="G12" s="823">
        <v>1.0</v>
      </c>
      <c r="H12" s="823">
        <v>0.0</v>
      </c>
      <c r="I12" s="823">
        <v>1.0</v>
      </c>
      <c r="J12" s="823">
        <v>1.0</v>
      </c>
      <c r="K12" s="823" t="s">
        <v>188</v>
      </c>
      <c r="L12" s="823" t="s">
        <v>238</v>
      </c>
      <c r="M12" s="822">
        <v>2.0</v>
      </c>
      <c r="N12" s="823">
        <v>6.0</v>
      </c>
      <c r="O12" s="824" t="s">
        <v>337</v>
      </c>
      <c r="P12" s="808" t="s">
        <v>1</v>
      </c>
      <c r="Q12" s="808">
        <v>3.0</v>
      </c>
      <c r="R12" s="808">
        <v>5.0</v>
      </c>
      <c r="S12" s="808">
        <v>2.0</v>
      </c>
      <c r="T12" s="808">
        <v>3.0</v>
      </c>
      <c r="U12" s="808">
        <v>1.0</v>
      </c>
      <c r="V12" s="808">
        <v>1.0</v>
      </c>
      <c r="W12">
        <v>0.0</v>
      </c>
      <c r="X12">
        <v>1.0</v>
      </c>
      <c r="Y12" t="b">
        <v>0</v>
      </c>
      <c r="Z12" t="b">
        <v>1</v>
      </c>
      <c r="AA12">
        <v>0.0</v>
      </c>
      <c r="AB12">
        <v>0.0</v>
      </c>
      <c r="AC12">
        <v>1.0</v>
      </c>
      <c r="AD12">
        <v>0.0</v>
      </c>
      <c r="AE12">
        <v>1.0</v>
      </c>
      <c r="AF12">
        <v>0.0</v>
      </c>
      <c r="AG12" t="s">
        <v>1</v>
      </c>
    </row>
    <row r="13">
      <c r="A13" s="820" t="s">
        <v>1</v>
      </c>
      <c r="B13" s="821">
        <v>1.0</v>
      </c>
      <c r="C13" s="822" t="s">
        <v>344</v>
      </c>
      <c r="D13" s="823" t="s">
        <v>22</v>
      </c>
      <c r="E13" s="823" t="s">
        <v>33</v>
      </c>
      <c r="F13" s="823" t="s">
        <v>63</v>
      </c>
      <c r="G13" s="823">
        <v>0.0</v>
      </c>
      <c r="H13" s="823">
        <v>0.0</v>
      </c>
      <c r="I13" s="823">
        <v>1.0</v>
      </c>
      <c r="J13" s="823">
        <v>1.0</v>
      </c>
      <c r="K13" s="823" t="s">
        <v>162</v>
      </c>
      <c r="L13" s="823" t="s">
        <v>1</v>
      </c>
      <c r="M13" s="822"/>
      <c r="N13" s="823"/>
      <c r="O13" s="824" t="s">
        <v>345</v>
      </c>
      <c r="P13" s="808" t="s">
        <v>1</v>
      </c>
      <c r="Q13" s="808">
        <v>4.0</v>
      </c>
      <c r="R13" s="808">
        <v>2.0</v>
      </c>
      <c r="S13" s="808">
        <v>2.0</v>
      </c>
      <c r="T13" s="808">
        <v>2.0</v>
      </c>
      <c r="U13" s="808">
        <v>0.0</v>
      </c>
      <c r="V13" s="808">
        <v>0.0</v>
      </c>
      <c r="W13">
        <v>0.0</v>
      </c>
      <c r="X13">
        <v>0.0</v>
      </c>
      <c r="Y13" t="b">
        <v>1</v>
      </c>
      <c r="Z13" t="b">
        <v>0</v>
      </c>
      <c r="AA13">
        <v>0.0</v>
      </c>
      <c r="AB13">
        <v>0.0</v>
      </c>
      <c r="AC13">
        <v>0.0</v>
      </c>
      <c r="AD13">
        <v>0.0</v>
      </c>
      <c r="AE13">
        <v>0.0</v>
      </c>
      <c r="AF13">
        <v>0.0</v>
      </c>
      <c r="AG13" t="s">
        <v>1</v>
      </c>
    </row>
    <row r="14">
      <c r="A14" s="820" t="s">
        <v>1</v>
      </c>
      <c r="B14" s="821">
        <v>2.0</v>
      </c>
      <c r="C14" s="822" t="s">
        <v>350</v>
      </c>
      <c r="D14" s="823" t="s">
        <v>22</v>
      </c>
      <c r="E14" s="823" t="s">
        <v>33</v>
      </c>
      <c r="F14" s="823" t="s">
        <v>63</v>
      </c>
      <c r="G14" s="823">
        <v>1.0</v>
      </c>
      <c r="H14" s="823">
        <v>0.0</v>
      </c>
      <c r="I14" s="823">
        <v>1.0</v>
      </c>
      <c r="J14" s="823">
        <v>1.0</v>
      </c>
      <c r="K14" s="823" t="s">
        <v>162</v>
      </c>
      <c r="L14" s="823" t="s">
        <v>299</v>
      </c>
      <c r="M14" s="822"/>
      <c r="N14" s="823"/>
      <c r="O14" s="824" t="s">
        <v>351</v>
      </c>
      <c r="P14" s="808" t="s">
        <v>1</v>
      </c>
      <c r="Q14" s="808">
        <v>4.0</v>
      </c>
      <c r="R14" s="808">
        <v>2.0</v>
      </c>
      <c r="S14" s="808">
        <v>2.0</v>
      </c>
      <c r="T14" s="808">
        <v>2.0</v>
      </c>
      <c r="U14" s="808">
        <v>1.0</v>
      </c>
      <c r="V14" s="808">
        <v>1.0</v>
      </c>
      <c r="W14">
        <v>0.0</v>
      </c>
      <c r="X14">
        <v>1.0</v>
      </c>
      <c r="Y14" t="b">
        <v>0</v>
      </c>
      <c r="Z14" t="b">
        <v>0</v>
      </c>
      <c r="AA14">
        <v>0.0</v>
      </c>
      <c r="AB14">
        <v>0.0</v>
      </c>
      <c r="AC14">
        <v>1.0</v>
      </c>
      <c r="AD14">
        <v>0.0</v>
      </c>
      <c r="AE14">
        <v>1.0</v>
      </c>
      <c r="AF14">
        <v>0.0</v>
      </c>
      <c r="AG14" t="s">
        <v>1</v>
      </c>
    </row>
    <row r="15">
      <c r="A15" s="820" t="s">
        <v>1</v>
      </c>
      <c r="B15" s="821">
        <v>2.0</v>
      </c>
      <c r="C15" s="822" t="s">
        <v>352</v>
      </c>
      <c r="D15" s="823" t="s">
        <v>22</v>
      </c>
      <c r="E15" s="823" t="s">
        <v>35</v>
      </c>
      <c r="F15" s="823" t="s">
        <v>63</v>
      </c>
      <c r="G15" s="823">
        <v>1.0</v>
      </c>
      <c r="H15" s="823">
        <v>0.0</v>
      </c>
      <c r="I15" s="823">
        <v>1.0</v>
      </c>
      <c r="J15" s="823">
        <v>1.0</v>
      </c>
      <c r="K15" s="823" t="s">
        <v>188</v>
      </c>
      <c r="L15" s="823" t="s">
        <v>1</v>
      </c>
      <c r="M15" s="822">
        <v>2.0</v>
      </c>
      <c r="N15" s="823">
        <v>3.0</v>
      </c>
      <c r="O15" s="824" t="s">
        <v>353</v>
      </c>
      <c r="P15" s="808" t="s">
        <v>1</v>
      </c>
      <c r="Q15" s="808">
        <v>4.0</v>
      </c>
      <c r="R15" s="808">
        <v>5.0</v>
      </c>
      <c r="S15" s="808">
        <v>2.0</v>
      </c>
      <c r="T15" s="808">
        <v>3.0</v>
      </c>
      <c r="U15" s="808">
        <v>1.0</v>
      </c>
      <c r="V15" s="808">
        <v>1.0</v>
      </c>
      <c r="W15">
        <v>0.0</v>
      </c>
      <c r="X15">
        <v>1.0</v>
      </c>
      <c r="Y15" t="b">
        <v>0</v>
      </c>
      <c r="Z15" t="b">
        <v>0</v>
      </c>
      <c r="AA15">
        <v>0.0</v>
      </c>
      <c r="AB15">
        <v>0.0</v>
      </c>
      <c r="AC15">
        <v>1.0</v>
      </c>
      <c r="AD15">
        <v>0.0</v>
      </c>
      <c r="AE15">
        <v>1.0</v>
      </c>
      <c r="AF15">
        <v>0.0</v>
      </c>
      <c r="AG15" t="s">
        <v>1</v>
      </c>
    </row>
    <row r="16">
      <c r="A16" s="820" t="s">
        <v>1</v>
      </c>
      <c r="B16" s="821">
        <v>7.0</v>
      </c>
      <c r="C16" s="822" t="s">
        <v>356</v>
      </c>
      <c r="D16" s="823" t="s">
        <v>22</v>
      </c>
      <c r="E16" s="823" t="s">
        <v>33</v>
      </c>
      <c r="F16" s="823" t="s">
        <v>63</v>
      </c>
      <c r="G16" s="823">
        <v>0.0</v>
      </c>
      <c r="H16" s="823">
        <v>0.0</v>
      </c>
      <c r="I16" s="823">
        <v>1.0</v>
      </c>
      <c r="J16" s="823">
        <v>1.0</v>
      </c>
      <c r="K16" s="823" t="s">
        <v>304</v>
      </c>
      <c r="L16" s="823" t="s">
        <v>1</v>
      </c>
      <c r="M16" s="822">
        <v>5.0</v>
      </c>
      <c r="N16" s="823">
        <v>2.0</v>
      </c>
      <c r="O16" s="824" t="s">
        <v>357</v>
      </c>
      <c r="P16" s="808" t="s">
        <v>1</v>
      </c>
      <c r="Q16" s="808">
        <v>4.0</v>
      </c>
      <c r="R16" s="808">
        <v>2.0</v>
      </c>
      <c r="S16" s="808">
        <v>2.0</v>
      </c>
      <c r="T16" s="808">
        <v>1.0</v>
      </c>
      <c r="U16" s="808">
        <v>0.0</v>
      </c>
      <c r="V16" s="808">
        <v>0.0</v>
      </c>
      <c r="W16">
        <v>0.0</v>
      </c>
      <c r="X16">
        <v>0.0</v>
      </c>
      <c r="Y16" t="b">
        <v>1</v>
      </c>
      <c r="Z16" t="b">
        <v>0</v>
      </c>
      <c r="AA16">
        <v>0.0</v>
      </c>
      <c r="AB16">
        <v>0.0</v>
      </c>
      <c r="AC16">
        <v>0.0</v>
      </c>
      <c r="AD16">
        <v>0.0</v>
      </c>
      <c r="AE16">
        <v>0.0</v>
      </c>
      <c r="AF16">
        <v>0.0</v>
      </c>
      <c r="AG16" t="s">
        <v>1</v>
      </c>
    </row>
    <row r="17">
      <c r="A17" s="820" t="s">
        <v>1</v>
      </c>
      <c r="B17" s="821">
        <v>7.0</v>
      </c>
      <c r="C17" s="822" t="s">
        <v>360</v>
      </c>
      <c r="D17" s="823" t="s">
        <v>23</v>
      </c>
      <c r="E17" s="823" t="s">
        <v>36</v>
      </c>
      <c r="F17" s="823" t="s">
        <v>63</v>
      </c>
      <c r="G17" s="823">
        <v>0.0</v>
      </c>
      <c r="H17" s="823">
        <v>0.0</v>
      </c>
      <c r="I17" s="823">
        <v>1.0</v>
      </c>
      <c r="J17" s="823">
        <v>1.0</v>
      </c>
      <c r="K17" s="823" t="s">
        <v>188</v>
      </c>
      <c r="L17" s="823" t="s">
        <v>238</v>
      </c>
      <c r="M17" s="822">
        <v>4.0</v>
      </c>
      <c r="N17" s="823">
        <v>2.0</v>
      </c>
      <c r="O17" s="824" t="s">
        <v>361</v>
      </c>
      <c r="P17" s="808" t="s">
        <v>1</v>
      </c>
      <c r="Q17" s="808">
        <v>5.0</v>
      </c>
      <c r="R17" s="808">
        <v>7.0</v>
      </c>
      <c r="S17" s="808">
        <v>2.0</v>
      </c>
      <c r="T17" s="808">
        <v>3.0</v>
      </c>
      <c r="U17" s="808">
        <v>0.0</v>
      </c>
      <c r="V17" s="808">
        <v>0.0</v>
      </c>
      <c r="W17">
        <v>0.0</v>
      </c>
      <c r="X17">
        <v>1.0</v>
      </c>
      <c r="Y17" t="b">
        <v>1</v>
      </c>
      <c r="Z17" t="b">
        <v>1</v>
      </c>
      <c r="AA17">
        <v>0.0</v>
      </c>
      <c r="AB17">
        <v>0.0</v>
      </c>
      <c r="AC17">
        <v>0.0</v>
      </c>
      <c r="AD17">
        <v>0.0</v>
      </c>
      <c r="AE17">
        <v>0.0</v>
      </c>
      <c r="AF17">
        <v>0.0</v>
      </c>
      <c r="AG17" t="s">
        <v>1</v>
      </c>
    </row>
    <row r="18">
      <c r="A18" s="820" t="s">
        <v>1</v>
      </c>
      <c r="B18" s="821">
        <v>7.0</v>
      </c>
      <c r="C18" s="822" t="s">
        <v>362</v>
      </c>
      <c r="D18" s="823" t="s">
        <v>23</v>
      </c>
      <c r="E18" s="823" t="s">
        <v>35</v>
      </c>
      <c r="F18" s="823" t="s">
        <v>63</v>
      </c>
      <c r="G18" s="823">
        <v>0.0</v>
      </c>
      <c r="H18" s="823">
        <v>0.0</v>
      </c>
      <c r="I18" s="823">
        <v>1.0</v>
      </c>
      <c r="J18" s="823"/>
      <c r="K18" s="823" t="s">
        <v>188</v>
      </c>
      <c r="L18" s="823" t="s">
        <v>238</v>
      </c>
      <c r="M18" s="822">
        <v>6.0</v>
      </c>
      <c r="N18" s="823">
        <v>9.0</v>
      </c>
      <c r="O18" s="824" t="s">
        <v>363</v>
      </c>
      <c r="P18" s="808" t="s">
        <v>1</v>
      </c>
      <c r="Q18" s="808">
        <v>5.0</v>
      </c>
      <c r="R18" s="808">
        <v>5.0</v>
      </c>
      <c r="S18" s="808">
        <v>2.0</v>
      </c>
      <c r="T18" s="808">
        <v>3.0</v>
      </c>
      <c r="U18" s="808">
        <v>0.0</v>
      </c>
      <c r="V18" s="808">
        <v>0.0</v>
      </c>
      <c r="W18">
        <v>0.0</v>
      </c>
      <c r="X18">
        <v>1.0</v>
      </c>
      <c r="Y18" t="b">
        <v>1</v>
      </c>
      <c r="Z18" t="b">
        <v>1</v>
      </c>
      <c r="AA18">
        <v>0.0</v>
      </c>
      <c r="AB18">
        <v>1.0</v>
      </c>
      <c r="AC18">
        <v>1.0</v>
      </c>
      <c r="AD18">
        <v>0.0</v>
      </c>
      <c r="AE18">
        <v>0.0</v>
      </c>
      <c r="AF18">
        <v>0.0</v>
      </c>
      <c r="AG18" t="s">
        <v>1</v>
      </c>
    </row>
    <row r="19">
      <c r="A19" s="820" t="s">
        <v>1</v>
      </c>
      <c r="B19" s="821">
        <v>8.0</v>
      </c>
      <c r="C19" s="822" t="s">
        <v>364</v>
      </c>
      <c r="D19" s="823" t="s">
        <v>23</v>
      </c>
      <c r="E19" s="823" t="s">
        <v>33</v>
      </c>
      <c r="F19" s="823" t="s">
        <v>63</v>
      </c>
      <c r="G19" s="823">
        <v>0.0</v>
      </c>
      <c r="H19" s="823">
        <v>0.0</v>
      </c>
      <c r="I19" s="823">
        <v>1.0</v>
      </c>
      <c r="J19" s="823"/>
      <c r="K19" s="823" t="s">
        <v>188</v>
      </c>
      <c r="L19" s="823" t="s">
        <v>238</v>
      </c>
      <c r="M19" s="822">
        <v>8.0</v>
      </c>
      <c r="N19" s="823">
        <v>8.0</v>
      </c>
      <c r="O19" s="824" t="s">
        <v>365</v>
      </c>
      <c r="P19" s="808" t="s">
        <v>1</v>
      </c>
      <c r="Q19" s="808">
        <v>5.0</v>
      </c>
      <c r="R19" s="808">
        <v>2.0</v>
      </c>
      <c r="S19" s="808">
        <v>2.0</v>
      </c>
      <c r="T19" s="808">
        <v>3.0</v>
      </c>
      <c r="U19" s="808">
        <v>0.0</v>
      </c>
      <c r="V19" s="808">
        <v>0.0</v>
      </c>
      <c r="W19">
        <v>0.0</v>
      </c>
      <c r="X19">
        <v>1.0</v>
      </c>
      <c r="Y19" t="b">
        <v>1</v>
      </c>
      <c r="Z19" t="b">
        <v>1</v>
      </c>
      <c r="AA19">
        <v>0.0</v>
      </c>
      <c r="AB19">
        <v>1.0</v>
      </c>
      <c r="AC19">
        <v>1.0</v>
      </c>
      <c r="AD19">
        <v>0.0</v>
      </c>
      <c r="AE19">
        <v>0.0</v>
      </c>
      <c r="AF19">
        <v>0.0</v>
      </c>
      <c r="AG19" t="s">
        <v>1</v>
      </c>
    </row>
    <row r="20">
      <c r="A20" s="820" t="s">
        <v>1</v>
      </c>
      <c r="B20" s="821">
        <v>3.0</v>
      </c>
      <c r="C20" s="822" t="s">
        <v>425</v>
      </c>
      <c r="D20" s="823" t="s">
        <v>21</v>
      </c>
      <c r="E20" s="823" t="s">
        <v>35</v>
      </c>
      <c r="F20" s="823" t="s">
        <v>65</v>
      </c>
      <c r="G20" s="823">
        <v>1.0</v>
      </c>
      <c r="H20" s="823">
        <v>0.0</v>
      </c>
      <c r="I20" s="823">
        <v>1.0</v>
      </c>
      <c r="J20" s="823">
        <v>1.0</v>
      </c>
      <c r="K20" s="823" t="s">
        <v>188</v>
      </c>
      <c r="L20" s="823" t="s">
        <v>198</v>
      </c>
      <c r="M20" s="822">
        <v>3.0</v>
      </c>
      <c r="N20" s="823">
        <v>3.0</v>
      </c>
      <c r="O20" s="824" t="s">
        <v>426</v>
      </c>
      <c r="P20" s="808" t="s">
        <v>1</v>
      </c>
      <c r="Q20" s="808">
        <v>3.0</v>
      </c>
      <c r="R20" s="808">
        <v>5.0</v>
      </c>
      <c r="S20" s="808">
        <v>3.0</v>
      </c>
      <c r="T20" s="808">
        <v>3.0</v>
      </c>
      <c r="U20" s="808">
        <v>1.0</v>
      </c>
      <c r="V20" s="808">
        <v>1.0</v>
      </c>
      <c r="W20">
        <v>0.0</v>
      </c>
      <c r="X20">
        <v>1.0</v>
      </c>
      <c r="Y20" t="b">
        <v>0</v>
      </c>
      <c r="Z20" t="b">
        <v>1</v>
      </c>
      <c r="AA20">
        <v>0.0</v>
      </c>
      <c r="AB20">
        <v>0.0</v>
      </c>
      <c r="AC20">
        <v>1.0</v>
      </c>
      <c r="AD20">
        <v>0.0</v>
      </c>
      <c r="AE20">
        <v>1.0</v>
      </c>
      <c r="AF20">
        <v>0.0</v>
      </c>
      <c r="AG20" t="s">
        <v>1</v>
      </c>
    </row>
    <row r="21">
      <c r="A21" s="820" t="s">
        <v>1</v>
      </c>
      <c r="B21" s="821">
        <v>1.0</v>
      </c>
      <c r="C21" s="822" t="s">
        <v>435</v>
      </c>
      <c r="D21" s="823" t="s">
        <v>22</v>
      </c>
      <c r="E21" s="823" t="s">
        <v>36</v>
      </c>
      <c r="F21" s="823" t="s">
        <v>65</v>
      </c>
      <c r="G21" s="823">
        <v>1.0</v>
      </c>
      <c r="H21" s="823">
        <v>0.0</v>
      </c>
      <c r="I21" s="823">
        <v>1.0</v>
      </c>
      <c r="J21" s="823">
        <v>1.0</v>
      </c>
      <c r="K21" s="823" t="s">
        <v>162</v>
      </c>
      <c r="L21" s="823" t="s">
        <v>1</v>
      </c>
      <c r="M21" s="822"/>
      <c r="N21" s="823"/>
      <c r="O21" s="824" t="s">
        <v>436</v>
      </c>
      <c r="P21" s="808" t="s">
        <v>1</v>
      </c>
      <c r="Q21" s="808">
        <v>4.0</v>
      </c>
      <c r="R21" s="808">
        <v>7.0</v>
      </c>
      <c r="S21" s="808">
        <v>3.0</v>
      </c>
      <c r="T21" s="808">
        <v>2.0</v>
      </c>
      <c r="U21" s="808">
        <v>1.0</v>
      </c>
      <c r="V21" s="808">
        <v>1.0</v>
      </c>
      <c r="W21">
        <v>0.0</v>
      </c>
      <c r="X21">
        <v>1.0</v>
      </c>
      <c r="Y21" t="b">
        <v>0</v>
      </c>
      <c r="Z21" t="b">
        <v>0</v>
      </c>
      <c r="AA21">
        <v>0.0</v>
      </c>
      <c r="AB21">
        <v>0.0</v>
      </c>
      <c r="AC21">
        <v>1.0</v>
      </c>
      <c r="AD21">
        <v>0.0</v>
      </c>
      <c r="AE21">
        <v>1.0</v>
      </c>
      <c r="AF21">
        <v>0.0</v>
      </c>
      <c r="AG21" t="s">
        <v>1</v>
      </c>
    </row>
    <row r="22">
      <c r="A22" s="820" t="s">
        <v>1</v>
      </c>
      <c r="B22" s="821">
        <v>4.0</v>
      </c>
      <c r="C22" s="822" t="s">
        <v>441</v>
      </c>
      <c r="D22" s="823" t="s">
        <v>22</v>
      </c>
      <c r="E22" s="823" t="s">
        <v>35</v>
      </c>
      <c r="F22" s="823" t="s">
        <v>65</v>
      </c>
      <c r="G22" s="823">
        <v>1.0</v>
      </c>
      <c r="H22" s="823">
        <v>0.0</v>
      </c>
      <c r="I22" s="823">
        <v>1.0</v>
      </c>
      <c r="J22" s="823">
        <v>1.0</v>
      </c>
      <c r="K22" s="823" t="s">
        <v>162</v>
      </c>
      <c r="L22" s="823" t="s">
        <v>1</v>
      </c>
      <c r="M22" s="822"/>
      <c r="N22" s="823"/>
      <c r="O22" s="824" t="s">
        <v>442</v>
      </c>
      <c r="P22" s="808" t="s">
        <v>1</v>
      </c>
      <c r="Q22" s="808">
        <v>4.0</v>
      </c>
      <c r="R22" s="808">
        <v>5.0</v>
      </c>
      <c r="S22" s="808">
        <v>3.0</v>
      </c>
      <c r="T22" s="808">
        <v>2.0</v>
      </c>
      <c r="U22" s="808">
        <v>1.0</v>
      </c>
      <c r="V22" s="808">
        <v>1.0</v>
      </c>
      <c r="W22">
        <v>0.0</v>
      </c>
      <c r="X22">
        <v>1.0</v>
      </c>
      <c r="Y22" t="b">
        <v>0</v>
      </c>
      <c r="Z22" t="b">
        <v>0</v>
      </c>
      <c r="AA22">
        <v>0.0</v>
      </c>
      <c r="AB22">
        <v>0.0</v>
      </c>
      <c r="AC22">
        <v>1.0</v>
      </c>
      <c r="AD22">
        <v>0.0</v>
      </c>
      <c r="AE22">
        <v>1.0</v>
      </c>
      <c r="AF22">
        <v>0.0</v>
      </c>
      <c r="AG22" t="s">
        <v>1</v>
      </c>
    </row>
    <row r="23">
      <c r="A23" s="820" t="s">
        <v>1</v>
      </c>
      <c r="B23" s="821">
        <v>4.0</v>
      </c>
      <c r="C23" s="822" t="s">
        <v>443</v>
      </c>
      <c r="D23" s="823" t="s">
        <v>22</v>
      </c>
      <c r="E23" s="823" t="s">
        <v>35</v>
      </c>
      <c r="F23" s="823" t="s">
        <v>65</v>
      </c>
      <c r="G23" s="823">
        <v>0.0</v>
      </c>
      <c r="H23" s="823">
        <v>0.0</v>
      </c>
      <c r="I23" s="823">
        <v>1.0</v>
      </c>
      <c r="J23" s="823">
        <v>1.0</v>
      </c>
      <c r="K23" s="823" t="s">
        <v>188</v>
      </c>
      <c r="L23" s="823" t="s">
        <v>1</v>
      </c>
      <c r="M23" s="822">
        <v>2.0</v>
      </c>
      <c r="N23" s="823">
        <v>5.0</v>
      </c>
      <c r="O23" s="824" t="s">
        <v>444</v>
      </c>
      <c r="P23" s="808" t="s">
        <v>1</v>
      </c>
      <c r="Q23" s="808">
        <v>4.0</v>
      </c>
      <c r="R23" s="808">
        <v>5.0</v>
      </c>
      <c r="S23" s="808">
        <v>3.0</v>
      </c>
      <c r="T23" s="808">
        <v>3.0</v>
      </c>
      <c r="U23" s="808">
        <v>0.0</v>
      </c>
      <c r="V23" s="808">
        <v>0.0</v>
      </c>
      <c r="W23">
        <v>0.0</v>
      </c>
      <c r="X23">
        <v>0.0</v>
      </c>
      <c r="Y23" t="b">
        <v>1</v>
      </c>
      <c r="Z23" t="b">
        <v>0</v>
      </c>
      <c r="AA23">
        <v>0.0</v>
      </c>
      <c r="AB23">
        <v>0.0</v>
      </c>
      <c r="AC23">
        <v>0.0</v>
      </c>
      <c r="AD23">
        <v>0.0</v>
      </c>
      <c r="AE23">
        <v>0.0</v>
      </c>
      <c r="AF23">
        <v>0.0</v>
      </c>
      <c r="AG23" t="s">
        <v>1</v>
      </c>
    </row>
    <row r="24">
      <c r="A24" s="820" t="s">
        <v>1</v>
      </c>
      <c r="B24" s="821">
        <v>6.0</v>
      </c>
      <c r="C24" s="822" t="s">
        <v>445</v>
      </c>
      <c r="D24" s="823" t="s">
        <v>22</v>
      </c>
      <c r="E24" s="823" t="s">
        <v>36</v>
      </c>
      <c r="F24" s="823" t="s">
        <v>65</v>
      </c>
      <c r="G24" s="823">
        <v>1.0</v>
      </c>
      <c r="H24" s="823">
        <v>0.0</v>
      </c>
      <c r="I24" s="823">
        <v>1.33</v>
      </c>
      <c r="J24" s="823">
        <v>1.33</v>
      </c>
      <c r="K24" s="823" t="s">
        <v>188</v>
      </c>
      <c r="L24" s="823" t="s">
        <v>446</v>
      </c>
      <c r="M24" s="822">
        <v>6.0</v>
      </c>
      <c r="N24" s="823">
        <v>6.0</v>
      </c>
      <c r="O24" s="824" t="s">
        <v>447</v>
      </c>
      <c r="P24" s="808" t="s">
        <v>1</v>
      </c>
      <c r="Q24" s="808">
        <v>4.0</v>
      </c>
      <c r="R24" s="808">
        <v>7.0</v>
      </c>
      <c r="S24" s="808">
        <v>3.0</v>
      </c>
      <c r="T24" s="808">
        <v>3.0</v>
      </c>
      <c r="U24" s="808">
        <v>1.0</v>
      </c>
      <c r="V24" s="808">
        <v>1.0</v>
      </c>
      <c r="W24">
        <v>0.0</v>
      </c>
      <c r="X24">
        <v>1.0</v>
      </c>
      <c r="Y24" t="b">
        <v>0</v>
      </c>
      <c r="Z24" t="b">
        <v>0</v>
      </c>
      <c r="AA24">
        <v>-0.33000000000000007</v>
      </c>
      <c r="AB24">
        <v>-0.33000000000000007</v>
      </c>
      <c r="AC24">
        <v>1.0</v>
      </c>
      <c r="AD24">
        <v>0.0</v>
      </c>
      <c r="AE24">
        <v>1.0</v>
      </c>
      <c r="AF24">
        <v>0.0</v>
      </c>
      <c r="AG24" t="s">
        <v>1</v>
      </c>
    </row>
    <row r="25">
      <c r="A25" s="820" t="s">
        <v>1</v>
      </c>
      <c r="B25" s="821">
        <v>7.0</v>
      </c>
      <c r="C25" s="822" t="s">
        <v>452</v>
      </c>
      <c r="D25" s="823" t="s">
        <v>23</v>
      </c>
      <c r="E25" s="823" t="s">
        <v>35</v>
      </c>
      <c r="F25" s="823" t="s">
        <v>65</v>
      </c>
      <c r="G25" s="823">
        <v>0.0</v>
      </c>
      <c r="H25" s="823">
        <v>0.0</v>
      </c>
      <c r="I25" s="823">
        <v>1.0</v>
      </c>
      <c r="J25" s="823"/>
      <c r="K25" s="823" t="s">
        <v>188</v>
      </c>
      <c r="L25" s="823" t="s">
        <v>198</v>
      </c>
      <c r="M25" s="822">
        <v>7.0</v>
      </c>
      <c r="N25" s="823">
        <v>7.0</v>
      </c>
      <c r="O25" s="824" t="s">
        <v>453</v>
      </c>
      <c r="P25" s="808" t="s">
        <v>1</v>
      </c>
      <c r="Q25" s="808">
        <v>5.0</v>
      </c>
      <c r="R25" s="808">
        <v>5.0</v>
      </c>
      <c r="S25" s="808">
        <v>3.0</v>
      </c>
      <c r="T25" s="808">
        <v>3.0</v>
      </c>
      <c r="U25" s="808">
        <v>0.0</v>
      </c>
      <c r="V25" s="808">
        <v>0.0</v>
      </c>
      <c r="W25">
        <v>0.0</v>
      </c>
      <c r="X25">
        <v>1.0</v>
      </c>
      <c r="Y25" t="b">
        <v>1</v>
      </c>
      <c r="Z25" t="b">
        <v>1</v>
      </c>
      <c r="AA25">
        <v>0.0</v>
      </c>
      <c r="AB25">
        <v>1.0</v>
      </c>
      <c r="AC25">
        <v>1.0</v>
      </c>
      <c r="AD25">
        <v>0.0</v>
      </c>
      <c r="AE25">
        <v>0.0</v>
      </c>
      <c r="AF25">
        <v>0.0</v>
      </c>
      <c r="AG25" t="s">
        <v>1</v>
      </c>
    </row>
    <row r="26">
      <c r="A26" s="820" t="s">
        <v>1</v>
      </c>
      <c r="B26" s="821">
        <v>3.0</v>
      </c>
      <c r="C26" s="822" t="s">
        <v>514</v>
      </c>
      <c r="D26" s="823" t="s">
        <v>21</v>
      </c>
      <c r="E26" s="823" t="s">
        <v>35</v>
      </c>
      <c r="F26" s="823" t="s">
        <v>68</v>
      </c>
      <c r="G26" s="823">
        <v>1.0</v>
      </c>
      <c r="H26" s="823">
        <v>0.0</v>
      </c>
      <c r="I26" s="823">
        <v>1.0</v>
      </c>
      <c r="J26" s="823">
        <v>1.0</v>
      </c>
      <c r="K26" s="823" t="s">
        <v>188</v>
      </c>
      <c r="L26" s="823" t="s">
        <v>1</v>
      </c>
      <c r="M26" s="822">
        <v>4.0</v>
      </c>
      <c r="N26" s="823">
        <v>3.0</v>
      </c>
      <c r="O26" s="824" t="s">
        <v>515</v>
      </c>
      <c r="P26" s="808" t="s">
        <v>1</v>
      </c>
      <c r="Q26" s="808">
        <v>3.0</v>
      </c>
      <c r="R26" s="808">
        <v>5.0</v>
      </c>
      <c r="S26" s="808">
        <v>4.0</v>
      </c>
      <c r="T26" s="808">
        <v>3.0</v>
      </c>
      <c r="U26" s="808">
        <v>1.0</v>
      </c>
      <c r="V26" s="808">
        <v>1.0</v>
      </c>
      <c r="W26">
        <v>0.0</v>
      </c>
      <c r="X26">
        <v>1.0</v>
      </c>
      <c r="Y26" t="b">
        <v>0</v>
      </c>
      <c r="Z26" t="b">
        <v>1</v>
      </c>
      <c r="AA26">
        <v>0.0</v>
      </c>
      <c r="AB26">
        <v>0.0</v>
      </c>
      <c r="AC26">
        <v>1.0</v>
      </c>
      <c r="AD26">
        <v>0.0</v>
      </c>
      <c r="AE26">
        <v>1.0</v>
      </c>
      <c r="AF26">
        <v>0.0</v>
      </c>
      <c r="AG26" t="s">
        <v>1</v>
      </c>
    </row>
    <row r="27">
      <c r="A27" s="820" t="s">
        <v>1</v>
      </c>
      <c r="B27" s="821">
        <v>5.0</v>
      </c>
      <c r="C27" s="822" t="s">
        <v>516</v>
      </c>
      <c r="D27" s="823" t="s">
        <v>21</v>
      </c>
      <c r="E27" s="823" t="s">
        <v>33</v>
      </c>
      <c r="F27" s="823" t="s">
        <v>68</v>
      </c>
      <c r="G27" s="823">
        <v>0.0</v>
      </c>
      <c r="H27" s="823">
        <v>0.0</v>
      </c>
      <c r="I27" s="823">
        <v>1.0</v>
      </c>
      <c r="J27" s="823">
        <v>1.0</v>
      </c>
      <c r="K27" s="823" t="s">
        <v>162</v>
      </c>
      <c r="L27" s="823" t="s">
        <v>1</v>
      </c>
      <c r="M27" s="822"/>
      <c r="N27" s="823"/>
      <c r="O27" s="824" t="s">
        <v>517</v>
      </c>
      <c r="P27" s="808" t="s">
        <v>1</v>
      </c>
      <c r="Q27" s="808">
        <v>3.0</v>
      </c>
      <c r="R27" s="808">
        <v>2.0</v>
      </c>
      <c r="S27" s="808">
        <v>4.0</v>
      </c>
      <c r="T27" s="808">
        <v>2.0</v>
      </c>
      <c r="U27" s="808">
        <v>0.0</v>
      </c>
      <c r="V27" s="808">
        <v>0.0</v>
      </c>
      <c r="W27">
        <v>0.0</v>
      </c>
      <c r="X27">
        <v>0.0</v>
      </c>
      <c r="Y27" t="b">
        <v>1</v>
      </c>
      <c r="Z27" t="b">
        <v>1</v>
      </c>
      <c r="AA27">
        <v>0.0</v>
      </c>
      <c r="AB27">
        <v>0.0</v>
      </c>
      <c r="AC27">
        <v>0.0</v>
      </c>
      <c r="AD27">
        <v>0.0</v>
      </c>
      <c r="AE27">
        <v>0.0</v>
      </c>
      <c r="AF27">
        <v>0.0</v>
      </c>
      <c r="AG27" t="s">
        <v>1</v>
      </c>
    </row>
    <row r="28">
      <c r="A28" s="820" t="s">
        <v>1</v>
      </c>
      <c r="B28" s="821">
        <v>5.0</v>
      </c>
      <c r="C28" s="822" t="s">
        <v>522</v>
      </c>
      <c r="D28" s="823" t="s">
        <v>21</v>
      </c>
      <c r="E28" s="823" t="s">
        <v>33</v>
      </c>
      <c r="F28" s="823" t="s">
        <v>68</v>
      </c>
      <c r="G28" s="823">
        <v>1.0</v>
      </c>
      <c r="H28" s="823">
        <v>0.0</v>
      </c>
      <c r="I28" s="823">
        <v>1.0</v>
      </c>
      <c r="J28" s="823">
        <v>1.0</v>
      </c>
      <c r="K28" s="823" t="s">
        <v>162</v>
      </c>
      <c r="L28" s="823" t="s">
        <v>1</v>
      </c>
      <c r="M28" s="822"/>
      <c r="N28" s="823"/>
      <c r="O28" s="824" t="s">
        <v>523</v>
      </c>
      <c r="P28" s="808" t="s">
        <v>1</v>
      </c>
      <c r="Q28" s="808">
        <v>3.0</v>
      </c>
      <c r="R28" s="808">
        <v>2.0</v>
      </c>
      <c r="S28" s="808">
        <v>4.0</v>
      </c>
      <c r="T28" s="808">
        <v>2.0</v>
      </c>
      <c r="U28" s="808">
        <v>1.0</v>
      </c>
      <c r="V28" s="808">
        <v>1.0</v>
      </c>
      <c r="W28">
        <v>0.0</v>
      </c>
      <c r="X28">
        <v>1.0</v>
      </c>
      <c r="Y28" t="b">
        <v>0</v>
      </c>
      <c r="Z28" t="b">
        <v>1</v>
      </c>
      <c r="AA28">
        <v>0.0</v>
      </c>
      <c r="AB28">
        <v>0.0</v>
      </c>
      <c r="AC28">
        <v>1.0</v>
      </c>
      <c r="AD28">
        <v>0.0</v>
      </c>
      <c r="AE28">
        <v>1.0</v>
      </c>
      <c r="AF28">
        <v>0.0</v>
      </c>
      <c r="AG28" t="s">
        <v>1</v>
      </c>
    </row>
    <row r="29">
      <c r="A29" s="820" t="s">
        <v>1</v>
      </c>
      <c r="B29" s="821">
        <v>3.0</v>
      </c>
      <c r="C29" s="822" t="s">
        <v>528</v>
      </c>
      <c r="D29" s="823" t="s">
        <v>22</v>
      </c>
      <c r="E29" s="823" t="s">
        <v>33</v>
      </c>
      <c r="F29" s="823" t="s">
        <v>68</v>
      </c>
      <c r="G29" s="823">
        <v>0.0</v>
      </c>
      <c r="H29" s="823">
        <v>0.0</v>
      </c>
      <c r="I29" s="823">
        <v>1.0</v>
      </c>
      <c r="J29" s="823">
        <v>1.0</v>
      </c>
      <c r="K29" s="823" t="s">
        <v>304</v>
      </c>
      <c r="L29" s="823" t="s">
        <v>1</v>
      </c>
      <c r="M29" s="822">
        <v>1.0</v>
      </c>
      <c r="N29" s="823">
        <v>5.0</v>
      </c>
      <c r="O29" s="824" t="s">
        <v>529</v>
      </c>
      <c r="P29" s="808" t="s">
        <v>1</v>
      </c>
      <c r="Q29" s="808">
        <v>4.0</v>
      </c>
      <c r="R29" s="808">
        <v>2.0</v>
      </c>
      <c r="S29" s="808">
        <v>4.0</v>
      </c>
      <c r="T29" s="808">
        <v>1.0</v>
      </c>
      <c r="U29" s="808">
        <v>0.0</v>
      </c>
      <c r="V29" s="808">
        <v>0.0</v>
      </c>
      <c r="W29">
        <v>0.0</v>
      </c>
      <c r="X29">
        <v>0.0</v>
      </c>
      <c r="Y29" t="b">
        <v>1</v>
      </c>
      <c r="Z29" t="b">
        <v>0</v>
      </c>
      <c r="AA29">
        <v>0.0</v>
      </c>
      <c r="AB29">
        <v>0.0</v>
      </c>
      <c r="AC29">
        <v>0.0</v>
      </c>
      <c r="AD29">
        <v>0.0</v>
      </c>
      <c r="AE29">
        <v>0.0</v>
      </c>
      <c r="AF29">
        <v>0.0</v>
      </c>
      <c r="AG29" t="s">
        <v>1</v>
      </c>
    </row>
    <row r="30">
      <c r="A30" s="820" t="s">
        <v>1</v>
      </c>
      <c r="B30" s="821">
        <v>6.0</v>
      </c>
      <c r="C30" s="822" t="s">
        <v>532</v>
      </c>
      <c r="D30" s="823" t="s">
        <v>22</v>
      </c>
      <c r="E30" s="823" t="s">
        <v>33</v>
      </c>
      <c r="F30" s="823" t="s">
        <v>68</v>
      </c>
      <c r="G30" s="823">
        <v>0.0</v>
      </c>
      <c r="H30" s="823">
        <v>0.0</v>
      </c>
      <c r="I30" s="823">
        <v>1.0</v>
      </c>
      <c r="J30" s="823">
        <v>1.0</v>
      </c>
      <c r="K30" s="823" t="s">
        <v>162</v>
      </c>
      <c r="L30" s="823" t="s">
        <v>1</v>
      </c>
      <c r="M30" s="822"/>
      <c r="N30" s="823"/>
      <c r="O30" s="824" t="s">
        <v>533</v>
      </c>
      <c r="P30" s="808" t="s">
        <v>1</v>
      </c>
      <c r="Q30" s="808">
        <v>4.0</v>
      </c>
      <c r="R30" s="808">
        <v>2.0</v>
      </c>
      <c r="S30" s="808">
        <v>4.0</v>
      </c>
      <c r="T30" s="808">
        <v>2.0</v>
      </c>
      <c r="U30" s="808">
        <v>0.0</v>
      </c>
      <c r="V30" s="808">
        <v>0.0</v>
      </c>
      <c r="W30">
        <v>0.0</v>
      </c>
      <c r="X30">
        <v>0.0</v>
      </c>
      <c r="Y30" t="b">
        <v>1</v>
      </c>
      <c r="Z30" t="b">
        <v>0</v>
      </c>
      <c r="AA30">
        <v>0.0</v>
      </c>
      <c r="AB30">
        <v>0.0</v>
      </c>
      <c r="AC30">
        <v>0.0</v>
      </c>
      <c r="AD30">
        <v>0.0</v>
      </c>
      <c r="AE30">
        <v>0.0</v>
      </c>
      <c r="AF30">
        <v>0.0</v>
      </c>
      <c r="AG30" t="s">
        <v>1</v>
      </c>
    </row>
    <row r="31">
      <c r="A31" s="820" t="s">
        <v>1</v>
      </c>
      <c r="B31" s="821">
        <v>8.0</v>
      </c>
      <c r="C31" s="822" t="s">
        <v>538</v>
      </c>
      <c r="D31" s="823" t="s">
        <v>22</v>
      </c>
      <c r="E31" s="823" t="s">
        <v>33</v>
      </c>
      <c r="F31" s="823" t="s">
        <v>68</v>
      </c>
      <c r="G31" s="823">
        <v>1.0</v>
      </c>
      <c r="H31" s="823">
        <v>0.0</v>
      </c>
      <c r="I31" s="823">
        <v>1.0</v>
      </c>
      <c r="J31" s="823">
        <v>1.0</v>
      </c>
      <c r="K31" s="823" t="s">
        <v>162</v>
      </c>
      <c r="L31" s="823" t="s">
        <v>1</v>
      </c>
      <c r="M31" s="822"/>
      <c r="N31" s="823"/>
      <c r="O31" s="824" t="s">
        <v>539</v>
      </c>
      <c r="P31" s="808" t="s">
        <v>1</v>
      </c>
      <c r="Q31" s="808">
        <v>4.0</v>
      </c>
      <c r="R31" s="808">
        <v>2.0</v>
      </c>
      <c r="S31" s="808">
        <v>4.0</v>
      </c>
      <c r="T31" s="808">
        <v>2.0</v>
      </c>
      <c r="U31" s="808">
        <v>1.0</v>
      </c>
      <c r="V31" s="808">
        <v>1.0</v>
      </c>
      <c r="W31">
        <v>0.0</v>
      </c>
      <c r="X31">
        <v>1.0</v>
      </c>
      <c r="Y31" t="b">
        <v>0</v>
      </c>
      <c r="Z31" t="b">
        <v>0</v>
      </c>
      <c r="AA31">
        <v>0.0</v>
      </c>
      <c r="AB31">
        <v>0.0</v>
      </c>
      <c r="AC31">
        <v>1.0</v>
      </c>
      <c r="AD31">
        <v>0.0</v>
      </c>
      <c r="AE31">
        <v>1.0</v>
      </c>
      <c r="AF31">
        <v>0.0</v>
      </c>
      <c r="AG31" t="s">
        <v>1</v>
      </c>
    </row>
    <row r="32">
      <c r="A32" s="820" t="s">
        <v>1</v>
      </c>
      <c r="B32" s="821">
        <v>5.0</v>
      </c>
      <c r="C32" s="822" t="s">
        <v>540</v>
      </c>
      <c r="D32" s="823" t="s">
        <v>23</v>
      </c>
      <c r="E32" s="823" t="s">
        <v>35</v>
      </c>
      <c r="F32" s="823" t="s">
        <v>68</v>
      </c>
      <c r="G32" s="823">
        <v>0.0</v>
      </c>
      <c r="H32" s="823">
        <v>0.0</v>
      </c>
      <c r="I32" s="823">
        <v>1.0</v>
      </c>
      <c r="J32" s="823"/>
      <c r="K32" s="823" t="s">
        <v>188</v>
      </c>
      <c r="L32" s="823" t="s">
        <v>1</v>
      </c>
      <c r="M32" s="822">
        <v>1.0</v>
      </c>
      <c r="N32" s="823">
        <v>7.0</v>
      </c>
      <c r="O32" s="824" t="s">
        <v>541</v>
      </c>
      <c r="P32" s="808" t="s">
        <v>1</v>
      </c>
      <c r="Q32" s="808">
        <v>5.0</v>
      </c>
      <c r="R32" s="808">
        <v>5.0</v>
      </c>
      <c r="S32" s="808">
        <v>4.0</v>
      </c>
      <c r="T32" s="808">
        <v>3.0</v>
      </c>
      <c r="U32" s="808">
        <v>0.0</v>
      </c>
      <c r="V32" s="808">
        <v>0.0</v>
      </c>
      <c r="W32">
        <v>0.0</v>
      </c>
      <c r="X32">
        <v>1.0</v>
      </c>
      <c r="Y32" t="b">
        <v>1</v>
      </c>
      <c r="Z32" t="b">
        <v>1</v>
      </c>
      <c r="AA32">
        <v>0.0</v>
      </c>
      <c r="AB32">
        <v>1.0</v>
      </c>
      <c r="AC32">
        <v>1.0</v>
      </c>
      <c r="AD32">
        <v>0.0</v>
      </c>
      <c r="AE32">
        <v>0.0</v>
      </c>
      <c r="AF32">
        <v>0.0</v>
      </c>
      <c r="AG32" t="s">
        <v>1</v>
      </c>
    </row>
    <row r="33">
      <c r="A33" s="820" t="s">
        <v>1</v>
      </c>
      <c r="B33" s="821">
        <v>1.0</v>
      </c>
      <c r="C33" s="822" t="s">
        <v>616</v>
      </c>
      <c r="D33" s="823" t="s">
        <v>22</v>
      </c>
      <c r="E33" s="823" t="s">
        <v>35</v>
      </c>
      <c r="F33" s="823" t="s">
        <v>69</v>
      </c>
      <c r="G33" s="823">
        <v>0.0</v>
      </c>
      <c r="H33" s="823">
        <v>0.0</v>
      </c>
      <c r="I33" s="823">
        <v>1.0</v>
      </c>
      <c r="J33" s="823">
        <v>1.0</v>
      </c>
      <c r="K33" s="823" t="s">
        <v>188</v>
      </c>
      <c r="L33" s="823" t="s">
        <v>1</v>
      </c>
      <c r="M33" s="822">
        <v>2.0</v>
      </c>
      <c r="N33" s="823">
        <v>1.0</v>
      </c>
      <c r="O33" s="824" t="s">
        <v>617</v>
      </c>
      <c r="P33" s="808" t="s">
        <v>1</v>
      </c>
      <c r="Q33" s="808">
        <v>4.0</v>
      </c>
      <c r="R33" s="808">
        <v>5.0</v>
      </c>
      <c r="S33" s="808">
        <v>5.0</v>
      </c>
      <c r="T33" s="808">
        <v>3.0</v>
      </c>
      <c r="U33" s="808">
        <v>0.0</v>
      </c>
      <c r="V33" s="808">
        <v>0.0</v>
      </c>
      <c r="W33">
        <v>0.0</v>
      </c>
      <c r="X33">
        <v>0.0</v>
      </c>
      <c r="Y33" t="b">
        <v>1</v>
      </c>
      <c r="Z33" t="b">
        <v>0</v>
      </c>
      <c r="AA33">
        <v>0.0</v>
      </c>
      <c r="AB33">
        <v>0.0</v>
      </c>
      <c r="AC33">
        <v>0.0</v>
      </c>
      <c r="AD33">
        <v>0.0</v>
      </c>
      <c r="AE33">
        <v>0.0</v>
      </c>
      <c r="AF33">
        <v>0.0</v>
      </c>
      <c r="AG33" t="s">
        <v>1</v>
      </c>
    </row>
    <row r="34">
      <c r="A34" s="820" t="s">
        <v>1</v>
      </c>
      <c r="B34" s="821">
        <v>2.0</v>
      </c>
      <c r="C34" s="822" t="s">
        <v>618</v>
      </c>
      <c r="D34" s="823" t="s">
        <v>22</v>
      </c>
      <c r="E34" s="823" t="s">
        <v>36</v>
      </c>
      <c r="F34" s="823" t="s">
        <v>69</v>
      </c>
      <c r="G34" s="823">
        <v>1.0</v>
      </c>
      <c r="H34" s="823">
        <v>0.0</v>
      </c>
      <c r="I34" s="823">
        <v>1.0</v>
      </c>
      <c r="J34" s="823">
        <v>1.0</v>
      </c>
      <c r="K34" s="823" t="s">
        <v>162</v>
      </c>
      <c r="L34" s="823" t="s">
        <v>1</v>
      </c>
      <c r="M34" s="822"/>
      <c r="N34" s="823"/>
      <c r="O34" s="824" t="s">
        <v>619</v>
      </c>
      <c r="P34" s="808" t="s">
        <v>1</v>
      </c>
      <c r="Q34" s="808">
        <v>4.0</v>
      </c>
      <c r="R34" s="808">
        <v>7.0</v>
      </c>
      <c r="S34" s="808">
        <v>5.0</v>
      </c>
      <c r="T34" s="808">
        <v>2.0</v>
      </c>
      <c r="U34" s="808">
        <v>1.0</v>
      </c>
      <c r="V34" s="808">
        <v>1.0</v>
      </c>
      <c r="W34">
        <v>0.0</v>
      </c>
      <c r="X34">
        <v>1.0</v>
      </c>
      <c r="Y34" t="b">
        <v>0</v>
      </c>
      <c r="Z34" t="b">
        <v>0</v>
      </c>
      <c r="AA34">
        <v>0.0</v>
      </c>
      <c r="AB34">
        <v>0.0</v>
      </c>
      <c r="AC34">
        <v>1.0</v>
      </c>
      <c r="AD34">
        <v>0.0</v>
      </c>
      <c r="AE34">
        <v>1.0</v>
      </c>
      <c r="AF34">
        <v>0.0</v>
      </c>
      <c r="AG34" t="s">
        <v>1</v>
      </c>
    </row>
    <row r="35">
      <c r="A35" s="820" t="s">
        <v>1</v>
      </c>
      <c r="B35" s="821">
        <v>3.0</v>
      </c>
      <c r="C35" s="822" t="s">
        <v>620</v>
      </c>
      <c r="D35" s="823" t="s">
        <v>22</v>
      </c>
      <c r="E35" s="823" t="s">
        <v>36</v>
      </c>
      <c r="F35" s="823" t="s">
        <v>69</v>
      </c>
      <c r="G35" s="823">
        <v>1.0</v>
      </c>
      <c r="H35" s="823">
        <v>0.0</v>
      </c>
      <c r="I35" s="823">
        <v>1.0</v>
      </c>
      <c r="J35" s="823">
        <v>1.0</v>
      </c>
      <c r="K35" s="823" t="s">
        <v>188</v>
      </c>
      <c r="L35" s="823" t="s">
        <v>1</v>
      </c>
      <c r="M35" s="822">
        <v>3.0</v>
      </c>
      <c r="N35" s="823">
        <v>3.0</v>
      </c>
      <c r="O35" s="824" t="s">
        <v>621</v>
      </c>
      <c r="P35" s="808" t="s">
        <v>1</v>
      </c>
      <c r="Q35" s="808">
        <v>4.0</v>
      </c>
      <c r="R35" s="808">
        <v>7.0</v>
      </c>
      <c r="S35" s="808">
        <v>5.0</v>
      </c>
      <c r="T35" s="808">
        <v>3.0</v>
      </c>
      <c r="U35" s="808">
        <v>1.0</v>
      </c>
      <c r="V35" s="808">
        <v>1.0</v>
      </c>
      <c r="W35">
        <v>0.0</v>
      </c>
      <c r="X35">
        <v>1.0</v>
      </c>
      <c r="Y35" t="b">
        <v>0</v>
      </c>
      <c r="Z35" t="b">
        <v>0</v>
      </c>
      <c r="AA35">
        <v>0.0</v>
      </c>
      <c r="AB35">
        <v>0.0</v>
      </c>
      <c r="AC35">
        <v>1.0</v>
      </c>
      <c r="AD35">
        <v>0.0</v>
      </c>
      <c r="AE35">
        <v>1.0</v>
      </c>
      <c r="AF35">
        <v>0.0</v>
      </c>
      <c r="AG35" t="s">
        <v>1</v>
      </c>
    </row>
    <row r="36">
      <c r="A36" s="820" t="s">
        <v>1</v>
      </c>
      <c r="B36" s="821">
        <v>3.0</v>
      </c>
      <c r="C36" s="822" t="s">
        <v>622</v>
      </c>
      <c r="D36" s="823" t="s">
        <v>22</v>
      </c>
      <c r="E36" s="823" t="s">
        <v>33</v>
      </c>
      <c r="F36" s="823" t="s">
        <v>69</v>
      </c>
      <c r="G36" s="823">
        <v>1.0</v>
      </c>
      <c r="H36" s="823">
        <v>0.0</v>
      </c>
      <c r="I36" s="823">
        <v>1.0</v>
      </c>
      <c r="J36" s="823">
        <v>1.0</v>
      </c>
      <c r="K36" s="823" t="s">
        <v>162</v>
      </c>
      <c r="L36" s="823" t="s">
        <v>1</v>
      </c>
      <c r="M36" s="822"/>
      <c r="N36" s="823"/>
      <c r="O36" s="824" t="s">
        <v>623</v>
      </c>
      <c r="P36" s="808" t="s">
        <v>1</v>
      </c>
      <c r="Q36" s="808">
        <v>4.0</v>
      </c>
      <c r="R36" s="808">
        <v>2.0</v>
      </c>
      <c r="S36" s="808">
        <v>5.0</v>
      </c>
      <c r="T36" s="808">
        <v>2.0</v>
      </c>
      <c r="U36" s="808">
        <v>1.0</v>
      </c>
      <c r="V36" s="808">
        <v>1.0</v>
      </c>
      <c r="W36">
        <v>0.0</v>
      </c>
      <c r="X36">
        <v>1.0</v>
      </c>
      <c r="Y36" t="b">
        <v>0</v>
      </c>
      <c r="Z36" t="b">
        <v>0</v>
      </c>
      <c r="AA36">
        <v>0.0</v>
      </c>
      <c r="AB36">
        <v>0.0</v>
      </c>
      <c r="AC36">
        <v>1.0</v>
      </c>
      <c r="AD36">
        <v>0.0</v>
      </c>
      <c r="AE36">
        <v>1.0</v>
      </c>
      <c r="AF36">
        <v>0.0</v>
      </c>
      <c r="AG36" t="s">
        <v>1</v>
      </c>
    </row>
    <row r="37">
      <c r="A37" s="820" t="s">
        <v>1</v>
      </c>
      <c r="B37" s="821">
        <v>6.0</v>
      </c>
      <c r="C37" s="822" t="s">
        <v>628</v>
      </c>
      <c r="D37" s="823" t="s">
        <v>22</v>
      </c>
      <c r="E37" s="823" t="s">
        <v>35</v>
      </c>
      <c r="F37" s="823" t="s">
        <v>69</v>
      </c>
      <c r="G37" s="823">
        <v>1.0</v>
      </c>
      <c r="H37" s="823">
        <v>0.0</v>
      </c>
      <c r="I37" s="823">
        <v>1.0</v>
      </c>
      <c r="J37" s="823">
        <v>1.66</v>
      </c>
      <c r="K37" s="823" t="s">
        <v>162</v>
      </c>
      <c r="L37" s="823" t="s">
        <v>1</v>
      </c>
      <c r="M37" s="822"/>
      <c r="N37" s="823"/>
      <c r="O37" s="824" t="s">
        <v>629</v>
      </c>
      <c r="P37" s="808" t="s">
        <v>1</v>
      </c>
      <c r="Q37" s="808">
        <v>4.0</v>
      </c>
      <c r="R37" s="808">
        <v>5.0</v>
      </c>
      <c r="S37" s="808">
        <v>5.0</v>
      </c>
      <c r="T37" s="808">
        <v>2.0</v>
      </c>
      <c r="U37" s="808">
        <v>1.0</v>
      </c>
      <c r="V37" s="808">
        <v>1.0</v>
      </c>
      <c r="W37">
        <v>0.0</v>
      </c>
      <c r="X37">
        <v>1.0</v>
      </c>
      <c r="Y37" t="b">
        <v>0</v>
      </c>
      <c r="Z37" t="b">
        <v>0</v>
      </c>
      <c r="AA37">
        <v>0.0</v>
      </c>
      <c r="AB37">
        <v>-0.6599999999999999</v>
      </c>
      <c r="AC37">
        <v>1.0</v>
      </c>
      <c r="AD37">
        <v>0.0</v>
      </c>
      <c r="AE37">
        <v>1.0</v>
      </c>
      <c r="AF37">
        <v>0.0</v>
      </c>
      <c r="AG37" t="s">
        <v>1</v>
      </c>
    </row>
    <row r="38">
      <c r="A38" s="820" t="s">
        <v>1</v>
      </c>
      <c r="B38" s="821">
        <v>7.0</v>
      </c>
      <c r="C38" s="822" t="s">
        <v>634</v>
      </c>
      <c r="D38" s="823" t="s">
        <v>23</v>
      </c>
      <c r="E38" s="823" t="s">
        <v>33</v>
      </c>
      <c r="F38" s="823" t="s">
        <v>69</v>
      </c>
      <c r="G38" s="823">
        <v>0.0</v>
      </c>
      <c r="H38" s="823">
        <v>0.0</v>
      </c>
      <c r="I38" s="823">
        <v>1.0</v>
      </c>
      <c r="J38" s="823"/>
      <c r="K38" s="823" t="s">
        <v>188</v>
      </c>
      <c r="L38" s="823" t="s">
        <v>1</v>
      </c>
      <c r="M38" s="822">
        <v>7.0</v>
      </c>
      <c r="N38" s="823">
        <v>7.0</v>
      </c>
      <c r="O38" s="824" t="s">
        <v>635</v>
      </c>
      <c r="P38" s="808" t="s">
        <v>1</v>
      </c>
      <c r="Q38" s="808">
        <v>5.0</v>
      </c>
      <c r="R38" s="808">
        <v>2.0</v>
      </c>
      <c r="S38" s="808">
        <v>5.0</v>
      </c>
      <c r="T38" s="808">
        <v>3.0</v>
      </c>
      <c r="U38" s="808">
        <v>0.0</v>
      </c>
      <c r="V38" s="808">
        <v>0.0</v>
      </c>
      <c r="W38">
        <v>0.0</v>
      </c>
      <c r="X38">
        <v>1.0</v>
      </c>
      <c r="Y38" t="b">
        <v>1</v>
      </c>
      <c r="Z38" t="b">
        <v>1</v>
      </c>
      <c r="AA38">
        <v>0.0</v>
      </c>
      <c r="AB38">
        <v>1.0</v>
      </c>
      <c r="AC38">
        <v>1.0</v>
      </c>
      <c r="AD38">
        <v>0.0</v>
      </c>
      <c r="AE38">
        <v>0.0</v>
      </c>
      <c r="AF38">
        <v>0.0</v>
      </c>
      <c r="AG38" t="s">
        <v>1</v>
      </c>
    </row>
    <row r="39">
      <c r="A39" s="820" t="s">
        <v>1</v>
      </c>
      <c r="B39" s="821">
        <v>3.0</v>
      </c>
      <c r="C39" s="822" t="s">
        <v>694</v>
      </c>
      <c r="D39" s="823" t="s">
        <v>21</v>
      </c>
      <c r="E39" s="823" t="s">
        <v>35</v>
      </c>
      <c r="F39" s="823" t="s">
        <v>70</v>
      </c>
      <c r="G39" s="823">
        <v>1.0</v>
      </c>
      <c r="H39" s="823">
        <v>0.0</v>
      </c>
      <c r="I39" s="823">
        <v>1.0</v>
      </c>
      <c r="J39" s="823">
        <v>1.0</v>
      </c>
      <c r="K39" s="823" t="s">
        <v>188</v>
      </c>
      <c r="L39" s="823" t="s">
        <v>198</v>
      </c>
      <c r="M39" s="822">
        <v>2.0</v>
      </c>
      <c r="N39" s="823">
        <v>2.0</v>
      </c>
      <c r="O39" s="824" t="s">
        <v>695</v>
      </c>
      <c r="P39" s="808" t="s">
        <v>1</v>
      </c>
      <c r="Q39" s="808">
        <v>3.0</v>
      </c>
      <c r="R39" s="808">
        <v>5.0</v>
      </c>
      <c r="S39" s="808">
        <v>6.0</v>
      </c>
      <c r="T39" s="808">
        <v>3.0</v>
      </c>
      <c r="U39" s="808">
        <v>1.0</v>
      </c>
      <c r="V39" s="808">
        <v>1.0</v>
      </c>
      <c r="W39">
        <v>0.0</v>
      </c>
      <c r="X39">
        <v>1.0</v>
      </c>
      <c r="Y39" t="b">
        <v>0</v>
      </c>
      <c r="Z39" t="b">
        <v>1</v>
      </c>
      <c r="AA39">
        <v>0.0</v>
      </c>
      <c r="AB39">
        <v>0.0</v>
      </c>
      <c r="AC39">
        <v>1.0</v>
      </c>
      <c r="AD39">
        <v>0.0</v>
      </c>
      <c r="AE39">
        <v>1.0</v>
      </c>
      <c r="AF39">
        <v>0.0</v>
      </c>
      <c r="AG39" t="s">
        <v>1</v>
      </c>
    </row>
    <row r="40">
      <c r="A40" s="820" t="s">
        <v>1</v>
      </c>
      <c r="B40" s="821">
        <v>2.0</v>
      </c>
      <c r="C40" s="822" t="s">
        <v>710</v>
      </c>
      <c r="D40" s="823" t="s">
        <v>22</v>
      </c>
      <c r="E40" s="823" t="s">
        <v>33</v>
      </c>
      <c r="F40" s="823" t="s">
        <v>70</v>
      </c>
      <c r="G40" s="823">
        <v>0.0</v>
      </c>
      <c r="H40" s="823">
        <v>0.0</v>
      </c>
      <c r="I40" s="823">
        <v>1.0</v>
      </c>
      <c r="J40" s="823">
        <v>1.0</v>
      </c>
      <c r="K40" s="823" t="s">
        <v>188</v>
      </c>
      <c r="L40" s="823" t="s">
        <v>1</v>
      </c>
      <c r="M40" s="822">
        <v>1.0</v>
      </c>
      <c r="N40" s="823">
        <v>1.0</v>
      </c>
      <c r="O40" s="824" t="s">
        <v>711</v>
      </c>
      <c r="P40" s="808" t="s">
        <v>1</v>
      </c>
      <c r="Q40" s="808">
        <v>4.0</v>
      </c>
      <c r="R40" s="808">
        <v>2.0</v>
      </c>
      <c r="S40" s="808">
        <v>6.0</v>
      </c>
      <c r="T40" s="808">
        <v>3.0</v>
      </c>
      <c r="U40" s="808">
        <v>0.0</v>
      </c>
      <c r="V40" s="808">
        <v>0.0</v>
      </c>
      <c r="W40">
        <v>0.0</v>
      </c>
      <c r="X40">
        <v>0.0</v>
      </c>
      <c r="Y40" t="b">
        <v>1</v>
      </c>
      <c r="Z40" t="b">
        <v>0</v>
      </c>
      <c r="AA40">
        <v>0.0</v>
      </c>
      <c r="AB40">
        <v>0.0</v>
      </c>
      <c r="AC40">
        <v>0.0</v>
      </c>
      <c r="AD40">
        <v>0.0</v>
      </c>
      <c r="AE40">
        <v>0.0</v>
      </c>
      <c r="AF40">
        <v>0.0</v>
      </c>
      <c r="AG40" t="s">
        <v>1</v>
      </c>
    </row>
    <row r="41">
      <c r="A41" s="820" t="s">
        <v>1</v>
      </c>
      <c r="B41" s="821">
        <v>3.0</v>
      </c>
      <c r="C41" s="822" t="s">
        <v>714</v>
      </c>
      <c r="D41" s="823" t="s">
        <v>22</v>
      </c>
      <c r="E41" s="823" t="s">
        <v>35</v>
      </c>
      <c r="F41" s="823" t="s">
        <v>70</v>
      </c>
      <c r="G41" s="823">
        <v>1.0</v>
      </c>
      <c r="H41" s="823">
        <v>0.0</v>
      </c>
      <c r="I41" s="823">
        <v>1.0</v>
      </c>
      <c r="J41" s="823">
        <v>1.0</v>
      </c>
      <c r="K41" s="823" t="s">
        <v>304</v>
      </c>
      <c r="L41" s="823" t="s">
        <v>1</v>
      </c>
      <c r="M41" s="822">
        <v>1.0</v>
      </c>
      <c r="N41" s="823">
        <v>3.0</v>
      </c>
      <c r="O41" s="824" t="s">
        <v>715</v>
      </c>
      <c r="P41" s="808" t="s">
        <v>1</v>
      </c>
      <c r="Q41" s="808">
        <v>4.0</v>
      </c>
      <c r="R41" s="808">
        <v>5.0</v>
      </c>
      <c r="S41" s="808">
        <v>6.0</v>
      </c>
      <c r="T41" s="808">
        <v>1.0</v>
      </c>
      <c r="U41" s="808">
        <v>1.0</v>
      </c>
      <c r="V41" s="808">
        <v>1.0</v>
      </c>
      <c r="W41">
        <v>0.0</v>
      </c>
      <c r="X41">
        <v>1.0</v>
      </c>
      <c r="Y41" t="b">
        <v>0</v>
      </c>
      <c r="Z41" t="b">
        <v>0</v>
      </c>
      <c r="AA41">
        <v>0.0</v>
      </c>
      <c r="AB41">
        <v>0.0</v>
      </c>
      <c r="AC41">
        <v>1.0</v>
      </c>
      <c r="AD41">
        <v>0.0</v>
      </c>
      <c r="AE41">
        <v>1.0</v>
      </c>
      <c r="AF41">
        <v>0.0</v>
      </c>
      <c r="AG41" t="s">
        <v>1</v>
      </c>
    </row>
    <row r="42">
      <c r="A42" s="820" t="s">
        <v>1</v>
      </c>
      <c r="B42" s="821">
        <v>4.0</v>
      </c>
      <c r="C42" s="822" t="s">
        <v>716</v>
      </c>
      <c r="D42" s="823" t="s">
        <v>22</v>
      </c>
      <c r="E42" s="823" t="s">
        <v>36</v>
      </c>
      <c r="F42" s="823" t="s">
        <v>70</v>
      </c>
      <c r="G42" s="823">
        <v>0.0</v>
      </c>
      <c r="H42" s="823">
        <v>0.0</v>
      </c>
      <c r="I42" s="823">
        <v>1.0</v>
      </c>
      <c r="J42" s="823">
        <v>1.0</v>
      </c>
      <c r="K42" s="823" t="s">
        <v>304</v>
      </c>
      <c r="L42" s="823" t="s">
        <v>1</v>
      </c>
      <c r="M42" s="822">
        <v>1.0</v>
      </c>
      <c r="N42" s="823">
        <v>3.0</v>
      </c>
      <c r="O42" s="824" t="s">
        <v>717</v>
      </c>
      <c r="P42" s="808" t="s">
        <v>1</v>
      </c>
      <c r="Q42" s="808">
        <v>4.0</v>
      </c>
      <c r="R42" s="808">
        <v>7.0</v>
      </c>
      <c r="S42" s="808">
        <v>6.0</v>
      </c>
      <c r="T42" s="808">
        <v>1.0</v>
      </c>
      <c r="U42" s="808">
        <v>0.0</v>
      </c>
      <c r="V42" s="808">
        <v>0.0</v>
      </c>
      <c r="W42">
        <v>0.0</v>
      </c>
      <c r="X42">
        <v>0.0</v>
      </c>
      <c r="Y42" t="b">
        <v>1</v>
      </c>
      <c r="Z42" t="b">
        <v>0</v>
      </c>
      <c r="AA42">
        <v>0.0</v>
      </c>
      <c r="AB42">
        <v>0.0</v>
      </c>
      <c r="AC42">
        <v>0.0</v>
      </c>
      <c r="AD42">
        <v>0.0</v>
      </c>
      <c r="AE42">
        <v>0.0</v>
      </c>
      <c r="AF42">
        <v>0.0</v>
      </c>
      <c r="AG42" t="s">
        <v>1</v>
      </c>
    </row>
    <row r="43">
      <c r="A43" s="820" t="s">
        <v>1</v>
      </c>
      <c r="B43" s="821">
        <v>4.0</v>
      </c>
      <c r="C43" s="822" t="s">
        <v>718</v>
      </c>
      <c r="D43" s="823" t="s">
        <v>22</v>
      </c>
      <c r="E43" s="823" t="s">
        <v>35</v>
      </c>
      <c r="F43" s="823" t="s">
        <v>70</v>
      </c>
      <c r="G43" s="823">
        <v>1.0</v>
      </c>
      <c r="H43" s="823">
        <v>0.0</v>
      </c>
      <c r="I43" s="823">
        <v>1.0</v>
      </c>
      <c r="J43" s="823">
        <v>1.0</v>
      </c>
      <c r="K43" s="823" t="s">
        <v>162</v>
      </c>
      <c r="L43" s="823" t="s">
        <v>1</v>
      </c>
      <c r="M43" s="822"/>
      <c r="N43" s="823"/>
      <c r="O43" s="824" t="s">
        <v>719</v>
      </c>
      <c r="P43" s="808" t="s">
        <v>1</v>
      </c>
      <c r="Q43" s="808">
        <v>4.0</v>
      </c>
      <c r="R43" s="808">
        <v>5.0</v>
      </c>
      <c r="S43" s="808">
        <v>6.0</v>
      </c>
      <c r="T43" s="808">
        <v>2.0</v>
      </c>
      <c r="U43" s="808">
        <v>1.0</v>
      </c>
      <c r="V43" s="808">
        <v>1.0</v>
      </c>
      <c r="W43">
        <v>0.0</v>
      </c>
      <c r="X43">
        <v>1.0</v>
      </c>
      <c r="Y43" t="b">
        <v>0</v>
      </c>
      <c r="Z43" t="b">
        <v>0</v>
      </c>
      <c r="AA43">
        <v>0.0</v>
      </c>
      <c r="AB43">
        <v>0.0</v>
      </c>
      <c r="AC43">
        <v>1.0</v>
      </c>
      <c r="AD43">
        <v>0.0</v>
      </c>
      <c r="AE43">
        <v>1.0</v>
      </c>
      <c r="AF43">
        <v>0.0</v>
      </c>
      <c r="AG43" t="s">
        <v>1</v>
      </c>
    </row>
    <row r="44">
      <c r="A44" s="820" t="s">
        <v>1</v>
      </c>
      <c r="B44" s="821">
        <v>6.0</v>
      </c>
      <c r="C44" s="822" t="s">
        <v>720</v>
      </c>
      <c r="D44" s="823" t="s">
        <v>22</v>
      </c>
      <c r="E44" s="823" t="s">
        <v>33</v>
      </c>
      <c r="F44" s="823" t="s">
        <v>70</v>
      </c>
      <c r="G44" s="823">
        <v>1.0</v>
      </c>
      <c r="H44" s="823">
        <v>0.0</v>
      </c>
      <c r="I44" s="823">
        <v>1.0</v>
      </c>
      <c r="J44" s="823">
        <v>1.0</v>
      </c>
      <c r="K44" s="823" t="s">
        <v>188</v>
      </c>
      <c r="L44" s="823" t="s">
        <v>1</v>
      </c>
      <c r="M44" s="822">
        <v>5.0</v>
      </c>
      <c r="N44" s="823">
        <v>3.0</v>
      </c>
      <c r="O44" s="824" t="s">
        <v>721</v>
      </c>
      <c r="P44" s="808" t="s">
        <v>1</v>
      </c>
      <c r="Q44" s="808">
        <v>4.0</v>
      </c>
      <c r="R44" s="808">
        <v>2.0</v>
      </c>
      <c r="S44" s="808">
        <v>6.0</v>
      </c>
      <c r="T44" s="808">
        <v>3.0</v>
      </c>
      <c r="U44" s="808">
        <v>1.0</v>
      </c>
      <c r="V44" s="808">
        <v>1.0</v>
      </c>
      <c r="W44">
        <v>0.0</v>
      </c>
      <c r="X44">
        <v>1.0</v>
      </c>
      <c r="Y44" t="b">
        <v>0</v>
      </c>
      <c r="Z44" t="b">
        <v>0</v>
      </c>
      <c r="AA44">
        <v>0.0</v>
      </c>
      <c r="AB44">
        <v>0.0</v>
      </c>
      <c r="AC44">
        <v>1.0</v>
      </c>
      <c r="AD44">
        <v>0.0</v>
      </c>
      <c r="AE44">
        <v>1.0</v>
      </c>
      <c r="AF44">
        <v>0.0</v>
      </c>
      <c r="AG44" t="s">
        <v>1</v>
      </c>
    </row>
    <row r="45">
      <c r="A45" s="820" t="s">
        <v>1</v>
      </c>
      <c r="B45" s="821">
        <v>3.0</v>
      </c>
      <c r="C45" s="822" t="s">
        <v>722</v>
      </c>
      <c r="D45" s="823" t="s">
        <v>23</v>
      </c>
      <c r="E45" s="823" t="s">
        <v>33</v>
      </c>
      <c r="F45" s="823" t="s">
        <v>70</v>
      </c>
      <c r="G45" s="823">
        <v>0.0</v>
      </c>
      <c r="H45" s="823">
        <v>0.0</v>
      </c>
      <c r="I45" s="823">
        <v>1.0</v>
      </c>
      <c r="J45" s="823"/>
      <c r="K45" s="823" t="s">
        <v>188</v>
      </c>
      <c r="L45" s="823" t="s">
        <v>1</v>
      </c>
      <c r="M45" s="822">
        <v>2.0</v>
      </c>
      <c r="N45" s="823">
        <v>2.0</v>
      </c>
      <c r="O45" s="824" t="s">
        <v>723</v>
      </c>
      <c r="P45" s="808" t="s">
        <v>1</v>
      </c>
      <c r="Q45" s="808">
        <v>5.0</v>
      </c>
      <c r="R45" s="808">
        <v>2.0</v>
      </c>
      <c r="S45" s="808">
        <v>6.0</v>
      </c>
      <c r="T45" s="808">
        <v>3.0</v>
      </c>
      <c r="U45" s="808">
        <v>0.0</v>
      </c>
      <c r="V45" s="808">
        <v>0.0</v>
      </c>
      <c r="W45">
        <v>0.0</v>
      </c>
      <c r="X45">
        <v>1.0</v>
      </c>
      <c r="Y45" t="b">
        <v>1</v>
      </c>
      <c r="Z45" t="b">
        <v>1</v>
      </c>
      <c r="AA45">
        <v>0.0</v>
      </c>
      <c r="AB45">
        <v>1.0</v>
      </c>
      <c r="AC45">
        <v>1.0</v>
      </c>
      <c r="AD45">
        <v>0.0</v>
      </c>
      <c r="AE45">
        <v>0.0</v>
      </c>
      <c r="AF45">
        <v>0.0</v>
      </c>
      <c r="AG45" t="s">
        <v>1</v>
      </c>
    </row>
    <row r="46">
      <c r="A46" s="820" t="s">
        <v>1</v>
      </c>
      <c r="B46" s="821">
        <v>6.0</v>
      </c>
      <c r="C46" s="822" t="s">
        <v>724</v>
      </c>
      <c r="D46" s="823" t="s">
        <v>23</v>
      </c>
      <c r="E46" s="823" t="s">
        <v>35</v>
      </c>
      <c r="F46" s="823" t="s">
        <v>70</v>
      </c>
      <c r="G46" s="823">
        <v>0.0</v>
      </c>
      <c r="H46" s="823">
        <v>0.0</v>
      </c>
      <c r="I46" s="823">
        <v>1.0</v>
      </c>
      <c r="J46" s="823"/>
      <c r="K46" s="823" t="s">
        <v>188</v>
      </c>
      <c r="L46" s="823" t="s">
        <v>1</v>
      </c>
      <c r="M46" s="822">
        <v>5.0</v>
      </c>
      <c r="N46" s="823">
        <v>8.0</v>
      </c>
      <c r="O46" s="824" t="s">
        <v>725</v>
      </c>
      <c r="P46" s="808" t="s">
        <v>1</v>
      </c>
      <c r="Q46" s="808">
        <v>5.0</v>
      </c>
      <c r="R46" s="808">
        <v>5.0</v>
      </c>
      <c r="S46" s="808">
        <v>6.0</v>
      </c>
      <c r="T46" s="808">
        <v>3.0</v>
      </c>
      <c r="U46" s="808">
        <v>0.0</v>
      </c>
      <c r="V46" s="808">
        <v>0.0</v>
      </c>
      <c r="W46">
        <v>0.0</v>
      </c>
      <c r="X46">
        <v>1.0</v>
      </c>
      <c r="Y46" t="b">
        <v>1</v>
      </c>
      <c r="Z46" t="b">
        <v>1</v>
      </c>
      <c r="AA46">
        <v>0.0</v>
      </c>
      <c r="AB46">
        <v>1.0</v>
      </c>
      <c r="AC46">
        <v>1.0</v>
      </c>
      <c r="AD46">
        <v>0.0</v>
      </c>
      <c r="AE46">
        <v>0.0</v>
      </c>
      <c r="AF46">
        <v>0.0</v>
      </c>
      <c r="AG46" t="s">
        <v>1</v>
      </c>
    </row>
    <row r="47">
      <c r="A47" s="820" t="s">
        <v>1</v>
      </c>
      <c r="B47" s="821">
        <v>9.0</v>
      </c>
      <c r="C47" s="822" t="s">
        <v>726</v>
      </c>
      <c r="D47" s="823" t="s">
        <v>23</v>
      </c>
      <c r="E47" s="823" t="s">
        <v>36</v>
      </c>
      <c r="F47" s="823" t="s">
        <v>70</v>
      </c>
      <c r="G47" s="823">
        <v>0.0</v>
      </c>
      <c r="H47" s="823">
        <v>0.0</v>
      </c>
      <c r="I47" s="823">
        <v>1.0</v>
      </c>
      <c r="J47" s="823">
        <v>1.0</v>
      </c>
      <c r="K47" s="823" t="s">
        <v>188</v>
      </c>
      <c r="L47" s="823" t="s">
        <v>1</v>
      </c>
      <c r="M47" s="822">
        <v>8.0</v>
      </c>
      <c r="N47" s="823">
        <v>4.0</v>
      </c>
      <c r="O47" s="824" t="s">
        <v>727</v>
      </c>
      <c r="P47" s="808" t="s">
        <v>1</v>
      </c>
      <c r="Q47" s="808">
        <v>5.0</v>
      </c>
      <c r="R47" s="808">
        <v>7.0</v>
      </c>
      <c r="S47" s="808">
        <v>6.0</v>
      </c>
      <c r="T47" s="808">
        <v>3.0</v>
      </c>
      <c r="U47" s="808">
        <v>0.0</v>
      </c>
      <c r="V47" s="808">
        <v>0.0</v>
      </c>
      <c r="W47">
        <v>0.0</v>
      </c>
      <c r="X47">
        <v>1.0</v>
      </c>
      <c r="Y47" t="b">
        <v>1</v>
      </c>
      <c r="Z47" t="b">
        <v>1</v>
      </c>
      <c r="AA47">
        <v>0.0</v>
      </c>
      <c r="AB47">
        <v>0.0</v>
      </c>
      <c r="AC47">
        <v>0.0</v>
      </c>
      <c r="AD47">
        <v>0.0</v>
      </c>
      <c r="AE47">
        <v>0.0</v>
      </c>
      <c r="AF47">
        <v>0.0</v>
      </c>
      <c r="AG47" t="s">
        <v>1</v>
      </c>
    </row>
    <row r="48">
      <c r="A48" s="820" t="s">
        <v>1</v>
      </c>
      <c r="B48" s="821">
        <v>1.0</v>
      </c>
      <c r="C48" s="822" t="s">
        <v>755</v>
      </c>
      <c r="D48" s="823" t="s">
        <v>15</v>
      </c>
      <c r="E48" s="823" t="s">
        <v>33</v>
      </c>
      <c r="F48" s="823" t="s">
        <v>72</v>
      </c>
      <c r="G48" s="823">
        <v>1.0</v>
      </c>
      <c r="H48" s="823">
        <v>0.0</v>
      </c>
      <c r="I48" s="823">
        <v>1.0</v>
      </c>
      <c r="J48" s="823">
        <v>1.0</v>
      </c>
      <c r="K48" s="823" t="s">
        <v>162</v>
      </c>
      <c r="L48" s="823" t="s">
        <v>1</v>
      </c>
      <c r="M48" s="822"/>
      <c r="N48" s="823"/>
      <c r="O48" s="824" t="s">
        <v>756</v>
      </c>
      <c r="P48" s="808" t="s">
        <v>1</v>
      </c>
      <c r="Q48" s="808">
        <v>2.0</v>
      </c>
      <c r="R48" s="808">
        <v>2.0</v>
      </c>
      <c r="S48" s="808">
        <v>7.0</v>
      </c>
      <c r="T48" s="808">
        <v>2.0</v>
      </c>
      <c r="U48" s="808">
        <v>1.0</v>
      </c>
      <c r="V48" s="808">
        <v>1.0</v>
      </c>
      <c r="W48">
        <v>0.0</v>
      </c>
      <c r="X48">
        <v>1.0</v>
      </c>
      <c r="Y48" t="b">
        <v>0</v>
      </c>
      <c r="Z48" t="b">
        <v>1</v>
      </c>
      <c r="AA48">
        <v>0.0</v>
      </c>
      <c r="AB48">
        <v>0.0</v>
      </c>
      <c r="AC48">
        <v>1.0</v>
      </c>
      <c r="AD48">
        <v>0.0</v>
      </c>
      <c r="AE48">
        <v>1.0</v>
      </c>
      <c r="AF48">
        <v>0.0</v>
      </c>
      <c r="AG48" t="s">
        <v>1</v>
      </c>
    </row>
    <row r="49">
      <c r="A49" s="820" t="s">
        <v>1</v>
      </c>
      <c r="B49" s="821">
        <v>2.0</v>
      </c>
      <c r="C49" s="822" t="s">
        <v>775</v>
      </c>
      <c r="D49" s="823" t="s">
        <v>21</v>
      </c>
      <c r="E49" s="823" t="s">
        <v>33</v>
      </c>
      <c r="F49" s="823" t="s">
        <v>72</v>
      </c>
      <c r="G49" s="823">
        <v>0.0</v>
      </c>
      <c r="H49" s="823">
        <v>0.0</v>
      </c>
      <c r="I49" s="823">
        <v>1.0</v>
      </c>
      <c r="J49" s="823">
        <v>1.0</v>
      </c>
      <c r="K49" s="823" t="s">
        <v>162</v>
      </c>
      <c r="L49" s="823" t="s">
        <v>1</v>
      </c>
      <c r="M49" s="822"/>
      <c r="N49" s="823"/>
      <c r="O49" s="824" t="s">
        <v>776</v>
      </c>
      <c r="P49" s="808" t="s">
        <v>1</v>
      </c>
      <c r="Q49" s="808">
        <v>3.0</v>
      </c>
      <c r="R49" s="808">
        <v>2.0</v>
      </c>
      <c r="S49" s="808">
        <v>7.0</v>
      </c>
      <c r="T49" s="808">
        <v>2.0</v>
      </c>
      <c r="U49" s="808">
        <v>0.0</v>
      </c>
      <c r="V49" s="808">
        <v>0.0</v>
      </c>
      <c r="W49">
        <v>0.0</v>
      </c>
      <c r="X49">
        <v>0.0</v>
      </c>
      <c r="Y49" t="b">
        <v>1</v>
      </c>
      <c r="Z49" t="b">
        <v>1</v>
      </c>
      <c r="AA49">
        <v>0.0</v>
      </c>
      <c r="AB49">
        <v>0.0</v>
      </c>
      <c r="AC49">
        <v>0.0</v>
      </c>
      <c r="AD49">
        <v>0.0</v>
      </c>
      <c r="AE49">
        <v>0.0</v>
      </c>
      <c r="AF49">
        <v>0.0</v>
      </c>
      <c r="AG49" t="s">
        <v>1</v>
      </c>
    </row>
    <row r="50">
      <c r="A50" s="820" t="s">
        <v>1</v>
      </c>
      <c r="B50" s="821">
        <v>2.0</v>
      </c>
      <c r="C50" s="822" t="s">
        <v>779</v>
      </c>
      <c r="D50" s="823" t="s">
        <v>21</v>
      </c>
      <c r="E50" s="823" t="s">
        <v>35</v>
      </c>
      <c r="F50" s="823" t="s">
        <v>72</v>
      </c>
      <c r="G50" s="823">
        <v>1.0</v>
      </c>
      <c r="H50" s="823">
        <v>0.0</v>
      </c>
      <c r="I50" s="823">
        <v>1.0</v>
      </c>
      <c r="J50" s="823">
        <v>1.0</v>
      </c>
      <c r="K50" s="823" t="s">
        <v>188</v>
      </c>
      <c r="L50" s="823" t="s">
        <v>737</v>
      </c>
      <c r="M50" s="822">
        <v>0.0</v>
      </c>
      <c r="N50" s="823">
        <v>3.0</v>
      </c>
      <c r="O50" s="824" t="s">
        <v>780</v>
      </c>
      <c r="P50" s="808" t="s">
        <v>1</v>
      </c>
      <c r="Q50" s="808">
        <v>3.0</v>
      </c>
      <c r="R50" s="808">
        <v>5.0</v>
      </c>
      <c r="S50" s="808">
        <v>7.0</v>
      </c>
      <c r="T50" s="808">
        <v>3.0</v>
      </c>
      <c r="U50" s="808">
        <v>1.0</v>
      </c>
      <c r="V50" s="808">
        <v>1.0</v>
      </c>
      <c r="W50">
        <v>0.0</v>
      </c>
      <c r="X50">
        <v>1.0</v>
      </c>
      <c r="Y50" t="b">
        <v>0</v>
      </c>
      <c r="Z50" t="b">
        <v>1</v>
      </c>
      <c r="AA50">
        <v>0.0</v>
      </c>
      <c r="AB50">
        <v>0.0</v>
      </c>
      <c r="AC50">
        <v>1.0</v>
      </c>
      <c r="AD50">
        <v>0.0</v>
      </c>
      <c r="AE50">
        <v>1.0</v>
      </c>
      <c r="AF50">
        <v>0.0</v>
      </c>
      <c r="AG50" t="s">
        <v>1</v>
      </c>
    </row>
    <row r="51">
      <c r="A51" s="820" t="s">
        <v>1</v>
      </c>
      <c r="B51" s="821">
        <v>3.0</v>
      </c>
      <c r="C51" s="822" t="s">
        <v>781</v>
      </c>
      <c r="D51" s="823" t="s">
        <v>21</v>
      </c>
      <c r="E51" s="823" t="s">
        <v>33</v>
      </c>
      <c r="F51" s="823" t="s">
        <v>72</v>
      </c>
      <c r="G51" s="823">
        <v>1.0</v>
      </c>
      <c r="H51" s="823">
        <v>0.0</v>
      </c>
      <c r="I51" s="823">
        <v>1.0</v>
      </c>
      <c r="J51" s="823">
        <v>1.0</v>
      </c>
      <c r="K51" s="823" t="s">
        <v>162</v>
      </c>
      <c r="L51" s="823" t="s">
        <v>1</v>
      </c>
      <c r="M51" s="822"/>
      <c r="N51" s="823"/>
      <c r="O51" s="824" t="s">
        <v>782</v>
      </c>
      <c r="P51" s="808" t="s">
        <v>1</v>
      </c>
      <c r="Q51" s="808">
        <v>3.0</v>
      </c>
      <c r="R51" s="808">
        <v>2.0</v>
      </c>
      <c r="S51" s="808">
        <v>7.0</v>
      </c>
      <c r="T51" s="808">
        <v>2.0</v>
      </c>
      <c r="U51" s="808">
        <v>1.0</v>
      </c>
      <c r="V51" s="808">
        <v>1.0</v>
      </c>
      <c r="W51">
        <v>0.0</v>
      </c>
      <c r="X51">
        <v>1.0</v>
      </c>
      <c r="Y51" t="b">
        <v>0</v>
      </c>
      <c r="Z51" t="b">
        <v>1</v>
      </c>
      <c r="AA51">
        <v>0.0</v>
      </c>
      <c r="AB51">
        <v>0.0</v>
      </c>
      <c r="AC51">
        <v>1.0</v>
      </c>
      <c r="AD51">
        <v>0.0</v>
      </c>
      <c r="AE51">
        <v>1.0</v>
      </c>
      <c r="AF51">
        <v>0.0</v>
      </c>
      <c r="AG51" t="s">
        <v>1</v>
      </c>
    </row>
    <row r="52">
      <c r="A52" s="820" t="s">
        <v>1</v>
      </c>
      <c r="B52" s="821">
        <v>3.0</v>
      </c>
      <c r="C52" s="822" t="s">
        <v>785</v>
      </c>
      <c r="D52" s="823" t="s">
        <v>21</v>
      </c>
      <c r="E52" s="823" t="s">
        <v>33</v>
      </c>
      <c r="F52" s="823" t="s">
        <v>72</v>
      </c>
      <c r="G52" s="823">
        <v>1.0</v>
      </c>
      <c r="H52" s="823">
        <v>0.0</v>
      </c>
      <c r="I52" s="823">
        <v>1.0</v>
      </c>
      <c r="J52" s="823">
        <v>1.0</v>
      </c>
      <c r="K52" s="823" t="s">
        <v>162</v>
      </c>
      <c r="L52" s="823" t="s">
        <v>1</v>
      </c>
      <c r="M52" s="822"/>
      <c r="N52" s="823"/>
      <c r="O52" s="824" t="s">
        <v>786</v>
      </c>
      <c r="P52" s="808" t="s">
        <v>1</v>
      </c>
      <c r="Q52" s="808">
        <v>3.0</v>
      </c>
      <c r="R52" s="808">
        <v>2.0</v>
      </c>
      <c r="S52" s="808">
        <v>7.0</v>
      </c>
      <c r="T52" s="808">
        <v>2.0</v>
      </c>
      <c r="U52" s="808">
        <v>1.0</v>
      </c>
      <c r="V52" s="808">
        <v>1.0</v>
      </c>
      <c r="W52">
        <v>0.0</v>
      </c>
      <c r="X52">
        <v>1.0</v>
      </c>
      <c r="Y52" t="b">
        <v>0</v>
      </c>
      <c r="Z52" t="b">
        <v>1</v>
      </c>
      <c r="AA52">
        <v>0.0</v>
      </c>
      <c r="AB52">
        <v>0.0</v>
      </c>
      <c r="AC52">
        <v>1.0</v>
      </c>
      <c r="AD52">
        <v>0.0</v>
      </c>
      <c r="AE52">
        <v>1.0</v>
      </c>
      <c r="AF52">
        <v>0.0</v>
      </c>
      <c r="AG52" t="s">
        <v>1</v>
      </c>
    </row>
    <row r="53">
      <c r="A53" s="820" t="s">
        <v>1</v>
      </c>
      <c r="B53" s="821">
        <v>3.0</v>
      </c>
      <c r="C53" s="822" t="s">
        <v>789</v>
      </c>
      <c r="D53" s="823" t="s">
        <v>21</v>
      </c>
      <c r="E53" s="823" t="s">
        <v>33</v>
      </c>
      <c r="F53" s="823" t="s">
        <v>72</v>
      </c>
      <c r="G53" s="823">
        <v>1.0</v>
      </c>
      <c r="H53" s="823">
        <v>0.0</v>
      </c>
      <c r="I53" s="823">
        <v>1.0</v>
      </c>
      <c r="J53" s="823">
        <v>1.0</v>
      </c>
      <c r="K53" s="823" t="s">
        <v>188</v>
      </c>
      <c r="L53" s="823" t="s">
        <v>737</v>
      </c>
      <c r="M53" s="822">
        <v>0.0</v>
      </c>
      <c r="N53" s="823">
        <v>3.0</v>
      </c>
      <c r="O53" s="824" t="s">
        <v>790</v>
      </c>
      <c r="P53" s="808" t="s">
        <v>1</v>
      </c>
      <c r="Q53" s="808">
        <v>3.0</v>
      </c>
      <c r="R53" s="808">
        <v>2.0</v>
      </c>
      <c r="S53" s="808">
        <v>7.0</v>
      </c>
      <c r="T53" s="808">
        <v>3.0</v>
      </c>
      <c r="U53" s="808">
        <v>1.0</v>
      </c>
      <c r="V53" s="808">
        <v>1.0</v>
      </c>
      <c r="W53">
        <v>0.0</v>
      </c>
      <c r="X53">
        <v>1.0</v>
      </c>
      <c r="Y53" t="b">
        <v>0</v>
      </c>
      <c r="Z53" t="b">
        <v>1</v>
      </c>
      <c r="AA53">
        <v>0.0</v>
      </c>
      <c r="AB53">
        <v>0.0</v>
      </c>
      <c r="AC53">
        <v>1.0</v>
      </c>
      <c r="AD53">
        <v>0.0</v>
      </c>
      <c r="AE53">
        <v>1.0</v>
      </c>
      <c r="AF53">
        <v>0.0</v>
      </c>
      <c r="AG53" t="s">
        <v>1</v>
      </c>
    </row>
    <row r="54">
      <c r="A54" s="820" t="s">
        <v>1</v>
      </c>
      <c r="B54" s="821">
        <v>3.0</v>
      </c>
      <c r="C54" s="822" t="s">
        <v>791</v>
      </c>
      <c r="D54" s="823" t="s">
        <v>21</v>
      </c>
      <c r="E54" s="823" t="s">
        <v>35</v>
      </c>
      <c r="F54" s="823" t="s">
        <v>72</v>
      </c>
      <c r="G54" s="823">
        <v>1.0</v>
      </c>
      <c r="H54" s="823">
        <v>0.0</v>
      </c>
      <c r="I54" s="823">
        <v>1.0</v>
      </c>
      <c r="J54" s="823">
        <v>1.0</v>
      </c>
      <c r="K54" s="823" t="s">
        <v>304</v>
      </c>
      <c r="L54" s="823" t="s">
        <v>1</v>
      </c>
      <c r="M54" s="822">
        <v>3.0</v>
      </c>
      <c r="N54" s="823">
        <v>2.0</v>
      </c>
      <c r="O54" s="824" t="s">
        <v>792</v>
      </c>
      <c r="P54" s="808" t="s">
        <v>1</v>
      </c>
      <c r="Q54" s="808">
        <v>3.0</v>
      </c>
      <c r="R54" s="808">
        <v>5.0</v>
      </c>
      <c r="S54" s="808">
        <v>7.0</v>
      </c>
      <c r="T54" s="808">
        <v>1.0</v>
      </c>
      <c r="U54" s="808">
        <v>1.0</v>
      </c>
      <c r="V54" s="808">
        <v>1.0</v>
      </c>
      <c r="W54">
        <v>0.0</v>
      </c>
      <c r="X54">
        <v>1.0</v>
      </c>
      <c r="Y54" t="b">
        <v>0</v>
      </c>
      <c r="Z54" t="b">
        <v>1</v>
      </c>
      <c r="AA54">
        <v>0.0</v>
      </c>
      <c r="AB54">
        <v>0.0</v>
      </c>
      <c r="AC54">
        <v>1.0</v>
      </c>
      <c r="AD54">
        <v>0.0</v>
      </c>
      <c r="AE54">
        <v>1.0</v>
      </c>
      <c r="AF54">
        <v>0.0</v>
      </c>
      <c r="AG54" t="s">
        <v>1</v>
      </c>
    </row>
    <row r="55">
      <c r="A55" s="820" t="s">
        <v>1</v>
      </c>
      <c r="B55" s="821">
        <v>4.0</v>
      </c>
      <c r="C55" s="822" t="s">
        <v>795</v>
      </c>
      <c r="D55" s="823" t="s">
        <v>21</v>
      </c>
      <c r="E55" s="823" t="s">
        <v>35</v>
      </c>
      <c r="F55" s="823" t="s">
        <v>72</v>
      </c>
      <c r="G55" s="823">
        <v>1.0</v>
      </c>
      <c r="H55" s="823">
        <v>0.0</v>
      </c>
      <c r="I55" s="823">
        <v>1.0</v>
      </c>
      <c r="J55" s="823">
        <v>1.0</v>
      </c>
      <c r="K55" s="823" t="s">
        <v>188</v>
      </c>
      <c r="L55" s="823" t="s">
        <v>1</v>
      </c>
      <c r="M55" s="822">
        <v>5.0</v>
      </c>
      <c r="N55" s="823">
        <v>4.0</v>
      </c>
      <c r="O55" s="824" t="s">
        <v>796</v>
      </c>
      <c r="P55" s="808" t="s">
        <v>1</v>
      </c>
      <c r="Q55" s="808">
        <v>3.0</v>
      </c>
      <c r="R55" s="808">
        <v>5.0</v>
      </c>
      <c r="S55" s="808">
        <v>7.0</v>
      </c>
      <c r="T55" s="808">
        <v>3.0</v>
      </c>
      <c r="U55" s="808">
        <v>1.0</v>
      </c>
      <c r="V55" s="808">
        <v>1.0</v>
      </c>
      <c r="W55">
        <v>0.0</v>
      </c>
      <c r="X55">
        <v>1.0</v>
      </c>
      <c r="Y55" t="b">
        <v>0</v>
      </c>
      <c r="Z55" t="b">
        <v>1</v>
      </c>
      <c r="AA55">
        <v>0.0</v>
      </c>
      <c r="AB55">
        <v>0.0</v>
      </c>
      <c r="AC55">
        <v>1.0</v>
      </c>
      <c r="AD55">
        <v>0.0</v>
      </c>
      <c r="AE55">
        <v>1.0</v>
      </c>
      <c r="AF55">
        <v>0.0</v>
      </c>
      <c r="AG55" t="s">
        <v>1</v>
      </c>
    </row>
    <row r="56">
      <c r="A56" s="820" t="s">
        <v>1</v>
      </c>
      <c r="B56" s="821">
        <v>3.0</v>
      </c>
      <c r="C56" s="822" t="s">
        <v>801</v>
      </c>
      <c r="D56" s="823" t="s">
        <v>22</v>
      </c>
      <c r="E56" s="823" t="s">
        <v>33</v>
      </c>
      <c r="F56" s="823" t="s">
        <v>72</v>
      </c>
      <c r="G56" s="823">
        <v>0.0</v>
      </c>
      <c r="H56" s="823">
        <v>0.0</v>
      </c>
      <c r="I56" s="823">
        <v>1.0</v>
      </c>
      <c r="J56" s="823">
        <v>1.0</v>
      </c>
      <c r="K56" s="823" t="s">
        <v>162</v>
      </c>
      <c r="L56" s="823" t="s">
        <v>1</v>
      </c>
      <c r="M56" s="822"/>
      <c r="N56" s="823"/>
      <c r="O56" s="824" t="s">
        <v>802</v>
      </c>
      <c r="P56" s="808" t="s">
        <v>1</v>
      </c>
      <c r="Q56" s="808">
        <v>4.0</v>
      </c>
      <c r="R56" s="808">
        <v>2.0</v>
      </c>
      <c r="S56" s="808">
        <v>7.0</v>
      </c>
      <c r="T56" s="808">
        <v>2.0</v>
      </c>
      <c r="U56" s="808">
        <v>0.0</v>
      </c>
      <c r="V56" s="808">
        <v>0.0</v>
      </c>
      <c r="W56">
        <v>0.0</v>
      </c>
      <c r="X56">
        <v>0.0</v>
      </c>
      <c r="Y56" t="b">
        <v>1</v>
      </c>
      <c r="Z56" t="b">
        <v>0</v>
      </c>
      <c r="AA56">
        <v>0.0</v>
      </c>
      <c r="AB56">
        <v>0.0</v>
      </c>
      <c r="AC56">
        <v>0.0</v>
      </c>
      <c r="AD56">
        <v>0.0</v>
      </c>
      <c r="AE56">
        <v>0.0</v>
      </c>
      <c r="AF56">
        <v>0.0</v>
      </c>
      <c r="AG56" t="s">
        <v>1</v>
      </c>
    </row>
    <row r="57">
      <c r="A57" s="820" t="s">
        <v>1</v>
      </c>
      <c r="B57" s="821">
        <v>4.0</v>
      </c>
      <c r="C57" s="822" t="s">
        <v>803</v>
      </c>
      <c r="D57" s="823" t="s">
        <v>22</v>
      </c>
      <c r="E57" s="823" t="s">
        <v>35</v>
      </c>
      <c r="F57" s="823" t="s">
        <v>72</v>
      </c>
      <c r="G57" s="823">
        <v>0.0</v>
      </c>
      <c r="H57" s="823">
        <v>0.0</v>
      </c>
      <c r="I57" s="823">
        <v>1.0</v>
      </c>
      <c r="J57" s="823">
        <v>1.0</v>
      </c>
      <c r="K57" s="823" t="s">
        <v>162</v>
      </c>
      <c r="L57" s="823" t="s">
        <v>1</v>
      </c>
      <c r="M57" s="822"/>
      <c r="N57" s="823"/>
      <c r="O57" s="824" t="s">
        <v>804</v>
      </c>
      <c r="P57" s="808" t="s">
        <v>1</v>
      </c>
      <c r="Q57" s="808">
        <v>4.0</v>
      </c>
      <c r="R57" s="808">
        <v>5.0</v>
      </c>
      <c r="S57" s="808">
        <v>7.0</v>
      </c>
      <c r="T57" s="808">
        <v>2.0</v>
      </c>
      <c r="U57" s="808">
        <v>0.0</v>
      </c>
      <c r="V57" s="808">
        <v>0.0</v>
      </c>
      <c r="W57">
        <v>0.0</v>
      </c>
      <c r="X57">
        <v>0.0</v>
      </c>
      <c r="Y57" t="b">
        <v>1</v>
      </c>
      <c r="Z57" t="b">
        <v>0</v>
      </c>
      <c r="AA57">
        <v>0.0</v>
      </c>
      <c r="AB57">
        <v>0.0</v>
      </c>
      <c r="AC57">
        <v>0.0</v>
      </c>
      <c r="AD57">
        <v>0.0</v>
      </c>
      <c r="AE57">
        <v>0.0</v>
      </c>
      <c r="AF57">
        <v>0.0</v>
      </c>
      <c r="AG57" t="s">
        <v>1</v>
      </c>
    </row>
    <row r="58">
      <c r="A58" s="820" t="s">
        <v>1</v>
      </c>
      <c r="B58" s="821">
        <v>4.0</v>
      </c>
      <c r="C58" s="822" t="s">
        <v>805</v>
      </c>
      <c r="D58" s="823" t="s">
        <v>22</v>
      </c>
      <c r="E58" s="823" t="s">
        <v>36</v>
      </c>
      <c r="F58" s="823" t="s">
        <v>72</v>
      </c>
      <c r="G58" s="823">
        <v>0.0</v>
      </c>
      <c r="H58" s="823">
        <v>0.0</v>
      </c>
      <c r="I58" s="823">
        <v>1.0</v>
      </c>
      <c r="J58" s="823">
        <v>1.0</v>
      </c>
      <c r="K58" s="823" t="s">
        <v>304</v>
      </c>
      <c r="L58" s="823" t="s">
        <v>1</v>
      </c>
      <c r="M58" s="822">
        <v>2.0</v>
      </c>
      <c r="N58" s="823">
        <v>4.0</v>
      </c>
      <c r="O58" s="824" t="s">
        <v>806</v>
      </c>
      <c r="P58" s="808" t="s">
        <v>1</v>
      </c>
      <c r="Q58" s="808">
        <v>4.0</v>
      </c>
      <c r="R58" s="808">
        <v>7.0</v>
      </c>
      <c r="S58" s="808">
        <v>7.0</v>
      </c>
      <c r="T58" s="808">
        <v>1.0</v>
      </c>
      <c r="U58" s="808">
        <v>0.0</v>
      </c>
      <c r="V58" s="808">
        <v>0.0</v>
      </c>
      <c r="W58">
        <v>0.0</v>
      </c>
      <c r="X58">
        <v>0.0</v>
      </c>
      <c r="Y58" t="b">
        <v>1</v>
      </c>
      <c r="Z58" t="b">
        <v>0</v>
      </c>
      <c r="AA58">
        <v>0.0</v>
      </c>
      <c r="AB58">
        <v>0.0</v>
      </c>
      <c r="AC58">
        <v>0.0</v>
      </c>
      <c r="AD58">
        <v>0.0</v>
      </c>
      <c r="AE58">
        <v>0.0</v>
      </c>
      <c r="AF58">
        <v>0.0</v>
      </c>
      <c r="AG58" t="s">
        <v>1</v>
      </c>
    </row>
    <row r="59">
      <c r="A59" s="820" t="s">
        <v>1</v>
      </c>
      <c r="B59" s="821">
        <v>4.0</v>
      </c>
      <c r="C59" s="822" t="s">
        <v>807</v>
      </c>
      <c r="D59" s="823" t="s">
        <v>22</v>
      </c>
      <c r="E59" s="823" t="s">
        <v>35</v>
      </c>
      <c r="F59" s="823" t="s">
        <v>72</v>
      </c>
      <c r="G59" s="823">
        <v>0.0</v>
      </c>
      <c r="H59" s="823">
        <v>0.0</v>
      </c>
      <c r="I59" s="823">
        <v>1.0</v>
      </c>
      <c r="J59" s="823">
        <v>1.0</v>
      </c>
      <c r="K59" s="823" t="s">
        <v>188</v>
      </c>
      <c r="L59" s="823" t="s">
        <v>498</v>
      </c>
      <c r="M59" s="822">
        <v>2.0</v>
      </c>
      <c r="N59" s="823">
        <v>5.0</v>
      </c>
      <c r="O59" s="824" t="s">
        <v>808</v>
      </c>
      <c r="P59" s="808" t="s">
        <v>1</v>
      </c>
      <c r="Q59" s="808">
        <v>4.0</v>
      </c>
      <c r="R59" s="808">
        <v>5.0</v>
      </c>
      <c r="S59" s="808">
        <v>7.0</v>
      </c>
      <c r="T59" s="808">
        <v>3.0</v>
      </c>
      <c r="U59" s="808">
        <v>0.0</v>
      </c>
      <c r="V59" s="808">
        <v>0.0</v>
      </c>
      <c r="W59">
        <v>0.0</v>
      </c>
      <c r="X59">
        <v>0.0</v>
      </c>
      <c r="Y59" t="b">
        <v>1</v>
      </c>
      <c r="Z59" t="b">
        <v>0</v>
      </c>
      <c r="AA59">
        <v>0.0</v>
      </c>
      <c r="AB59">
        <v>0.0</v>
      </c>
      <c r="AC59">
        <v>0.0</v>
      </c>
      <c r="AD59">
        <v>0.0</v>
      </c>
      <c r="AE59">
        <v>0.0</v>
      </c>
      <c r="AF59">
        <v>0.0</v>
      </c>
      <c r="AG59" t="s">
        <v>1</v>
      </c>
    </row>
    <row r="60">
      <c r="A60" s="820" t="s">
        <v>1</v>
      </c>
      <c r="B60" s="821">
        <v>5.0</v>
      </c>
      <c r="C60" s="822" t="s">
        <v>809</v>
      </c>
      <c r="D60" s="823" t="s">
        <v>22</v>
      </c>
      <c r="E60" s="823" t="s">
        <v>33</v>
      </c>
      <c r="F60" s="823" t="s">
        <v>72</v>
      </c>
      <c r="G60" s="823">
        <v>0.0</v>
      </c>
      <c r="H60" s="823">
        <v>0.0</v>
      </c>
      <c r="I60" s="823">
        <v>1.0</v>
      </c>
      <c r="J60" s="823">
        <v>1.0</v>
      </c>
      <c r="K60" s="823" t="s">
        <v>304</v>
      </c>
      <c r="L60" s="823" t="s">
        <v>1</v>
      </c>
      <c r="M60" s="822">
        <v>2.0</v>
      </c>
      <c r="N60" s="823">
        <v>8.0</v>
      </c>
      <c r="O60" s="824" t="s">
        <v>810</v>
      </c>
      <c r="P60" s="808" t="s">
        <v>1</v>
      </c>
      <c r="Q60" s="808">
        <v>4.0</v>
      </c>
      <c r="R60" s="808">
        <v>2.0</v>
      </c>
      <c r="S60" s="808">
        <v>7.0</v>
      </c>
      <c r="T60" s="808">
        <v>1.0</v>
      </c>
      <c r="U60" s="808">
        <v>0.0</v>
      </c>
      <c r="V60" s="808">
        <v>0.0</v>
      </c>
      <c r="W60">
        <v>0.0</v>
      </c>
      <c r="X60">
        <v>0.0</v>
      </c>
      <c r="Y60" t="b">
        <v>1</v>
      </c>
      <c r="Z60" t="b">
        <v>0</v>
      </c>
      <c r="AA60">
        <v>0.0</v>
      </c>
      <c r="AB60">
        <v>0.0</v>
      </c>
      <c r="AC60">
        <v>0.0</v>
      </c>
      <c r="AD60">
        <v>0.0</v>
      </c>
      <c r="AE60">
        <v>0.0</v>
      </c>
      <c r="AF60">
        <v>0.0</v>
      </c>
      <c r="AG60" t="s">
        <v>1</v>
      </c>
    </row>
    <row r="61">
      <c r="A61" s="820" t="s">
        <v>1</v>
      </c>
      <c r="B61" s="821">
        <v>5.0</v>
      </c>
      <c r="C61" s="822" t="s">
        <v>811</v>
      </c>
      <c r="D61" s="823" t="s">
        <v>22</v>
      </c>
      <c r="E61" s="823" t="s">
        <v>33</v>
      </c>
      <c r="F61" s="823" t="s">
        <v>72</v>
      </c>
      <c r="G61" s="823">
        <v>0.0</v>
      </c>
      <c r="H61" s="823">
        <v>0.0</v>
      </c>
      <c r="I61" s="823">
        <v>1.0</v>
      </c>
      <c r="J61" s="823">
        <v>1.0</v>
      </c>
      <c r="K61" s="823" t="s">
        <v>188</v>
      </c>
      <c r="L61" s="823" t="s">
        <v>1</v>
      </c>
      <c r="M61" s="822">
        <v>7.0</v>
      </c>
      <c r="N61" s="823">
        <v>8.0</v>
      </c>
      <c r="O61" s="824" t="s">
        <v>812</v>
      </c>
      <c r="P61" s="808" t="s">
        <v>1</v>
      </c>
      <c r="Q61" s="808">
        <v>4.0</v>
      </c>
      <c r="R61" s="808">
        <v>2.0</v>
      </c>
      <c r="S61" s="808">
        <v>7.0</v>
      </c>
      <c r="T61" s="808">
        <v>3.0</v>
      </c>
      <c r="U61" s="808">
        <v>0.0</v>
      </c>
      <c r="V61" s="808">
        <v>0.0</v>
      </c>
      <c r="W61">
        <v>0.0</v>
      </c>
      <c r="X61">
        <v>0.0</v>
      </c>
      <c r="Y61" t="b">
        <v>1</v>
      </c>
      <c r="Z61" t="b">
        <v>0</v>
      </c>
      <c r="AA61">
        <v>0.0</v>
      </c>
      <c r="AB61">
        <v>0.0</v>
      </c>
      <c r="AC61">
        <v>0.0</v>
      </c>
      <c r="AD61">
        <v>0.0</v>
      </c>
      <c r="AE61">
        <v>0.0</v>
      </c>
      <c r="AF61">
        <v>0.0</v>
      </c>
      <c r="AG61" t="s">
        <v>1</v>
      </c>
    </row>
    <row r="62">
      <c r="A62" s="820" t="s">
        <v>1</v>
      </c>
      <c r="B62" s="821">
        <v>6.0</v>
      </c>
      <c r="C62" s="822" t="s">
        <v>813</v>
      </c>
      <c r="D62" s="823" t="s">
        <v>23</v>
      </c>
      <c r="E62" s="823" t="s">
        <v>36</v>
      </c>
      <c r="F62" s="823" t="s">
        <v>72</v>
      </c>
      <c r="G62" s="823">
        <v>0.0</v>
      </c>
      <c r="H62" s="823">
        <v>0.0</v>
      </c>
      <c r="I62" s="823">
        <v>1.0</v>
      </c>
      <c r="J62" s="823">
        <v>1.0</v>
      </c>
      <c r="K62" s="823" t="s">
        <v>188</v>
      </c>
      <c r="L62" s="823" t="s">
        <v>1</v>
      </c>
      <c r="M62" s="822">
        <v>4.0</v>
      </c>
      <c r="N62" s="823">
        <v>4.0</v>
      </c>
      <c r="O62" s="824" t="s">
        <v>814</v>
      </c>
      <c r="P62" s="808" t="s">
        <v>1</v>
      </c>
      <c r="Q62" s="808">
        <v>5.0</v>
      </c>
      <c r="R62" s="808">
        <v>7.0</v>
      </c>
      <c r="S62" s="808">
        <v>7.0</v>
      </c>
      <c r="T62" s="808">
        <v>3.0</v>
      </c>
      <c r="U62" s="808">
        <v>0.0</v>
      </c>
      <c r="V62" s="808">
        <v>0.0</v>
      </c>
      <c r="W62">
        <v>0.0</v>
      </c>
      <c r="X62">
        <v>1.0</v>
      </c>
      <c r="Y62" t="b">
        <v>1</v>
      </c>
      <c r="Z62" t="b">
        <v>1</v>
      </c>
      <c r="AA62">
        <v>0.0</v>
      </c>
      <c r="AB62">
        <v>0.0</v>
      </c>
      <c r="AC62">
        <v>0.0</v>
      </c>
      <c r="AD62">
        <v>0.0</v>
      </c>
      <c r="AE62">
        <v>0.0</v>
      </c>
      <c r="AF62">
        <v>0.0</v>
      </c>
      <c r="AG62" t="s">
        <v>1</v>
      </c>
    </row>
    <row r="63">
      <c r="A63" s="820" t="s">
        <v>1</v>
      </c>
      <c r="B63" s="821">
        <v>7.0</v>
      </c>
      <c r="C63" s="822" t="s">
        <v>815</v>
      </c>
      <c r="D63" s="823" t="s">
        <v>23</v>
      </c>
      <c r="E63" s="823" t="s">
        <v>35</v>
      </c>
      <c r="F63" s="823" t="s">
        <v>72</v>
      </c>
      <c r="G63" s="823">
        <v>0.0</v>
      </c>
      <c r="H63" s="823">
        <v>0.0</v>
      </c>
      <c r="I63" s="823">
        <v>1.0</v>
      </c>
      <c r="J63" s="823"/>
      <c r="K63" s="823" t="s">
        <v>188</v>
      </c>
      <c r="L63" s="823" t="s">
        <v>1</v>
      </c>
      <c r="M63" s="822">
        <v>7.0</v>
      </c>
      <c r="N63" s="823">
        <v>7.0</v>
      </c>
      <c r="O63" s="824" t="s">
        <v>816</v>
      </c>
      <c r="P63" s="808" t="s">
        <v>1</v>
      </c>
      <c r="Q63" s="808">
        <v>5.0</v>
      </c>
      <c r="R63" s="808">
        <v>5.0</v>
      </c>
      <c r="S63" s="808">
        <v>7.0</v>
      </c>
      <c r="T63" s="808">
        <v>3.0</v>
      </c>
      <c r="U63" s="808">
        <v>0.0</v>
      </c>
      <c r="V63" s="808">
        <v>0.0</v>
      </c>
      <c r="W63">
        <v>0.0</v>
      </c>
      <c r="X63">
        <v>1.0</v>
      </c>
      <c r="Y63" t="b">
        <v>1</v>
      </c>
      <c r="Z63" t="b">
        <v>1</v>
      </c>
      <c r="AA63">
        <v>0.0</v>
      </c>
      <c r="AB63">
        <v>1.0</v>
      </c>
      <c r="AC63">
        <v>1.0</v>
      </c>
      <c r="AD63">
        <v>0.0</v>
      </c>
      <c r="AE63">
        <v>0.0</v>
      </c>
      <c r="AF63">
        <v>0.0</v>
      </c>
      <c r="AG63" t="s">
        <v>1</v>
      </c>
    </row>
    <row r="64">
      <c r="A64" s="820" t="s">
        <v>1</v>
      </c>
      <c r="B64" s="821">
        <v>8.0</v>
      </c>
      <c r="C64" s="822" t="s">
        <v>817</v>
      </c>
      <c r="D64" s="823" t="s">
        <v>23</v>
      </c>
      <c r="E64" s="823" t="s">
        <v>33</v>
      </c>
      <c r="F64" s="823" t="s">
        <v>72</v>
      </c>
      <c r="G64" s="823">
        <v>0.0</v>
      </c>
      <c r="H64" s="823">
        <v>0.0</v>
      </c>
      <c r="I64" s="823">
        <v>1.33</v>
      </c>
      <c r="J64" s="823"/>
      <c r="K64" s="823" t="s">
        <v>188</v>
      </c>
      <c r="L64" s="823" t="s">
        <v>1</v>
      </c>
      <c r="M64" s="822">
        <v>3.0</v>
      </c>
      <c r="N64" s="823">
        <v>5.0</v>
      </c>
      <c r="O64" s="824" t="s">
        <v>818</v>
      </c>
      <c r="P64" s="808" t="s">
        <v>1</v>
      </c>
      <c r="Q64" s="808">
        <v>5.0</v>
      </c>
      <c r="R64" s="808">
        <v>2.0</v>
      </c>
      <c r="S64" s="808">
        <v>7.0</v>
      </c>
      <c r="T64" s="808">
        <v>3.0</v>
      </c>
      <c r="U64" s="808">
        <v>0.0</v>
      </c>
      <c r="V64" s="808">
        <v>0.0</v>
      </c>
      <c r="W64">
        <v>0.0</v>
      </c>
      <c r="X64">
        <v>1.0</v>
      </c>
      <c r="Y64" t="b">
        <v>1</v>
      </c>
      <c r="Z64" t="b">
        <v>1</v>
      </c>
      <c r="AA64">
        <v>-0.33000000000000007</v>
      </c>
      <c r="AB64">
        <v>1.0</v>
      </c>
      <c r="AC64">
        <v>0.6699999999999999</v>
      </c>
      <c r="AD64">
        <v>0.0</v>
      </c>
      <c r="AE64">
        <v>0.0</v>
      </c>
      <c r="AF64">
        <v>0.0</v>
      </c>
      <c r="AG64" t="s">
        <v>1</v>
      </c>
    </row>
    <row r="65">
      <c r="A65" s="820" t="s">
        <v>1</v>
      </c>
      <c r="B65" s="821">
        <v>5.0</v>
      </c>
      <c r="C65" s="822" t="s">
        <v>861</v>
      </c>
      <c r="D65" s="823" t="s">
        <v>15</v>
      </c>
      <c r="E65" s="823" t="s">
        <v>35</v>
      </c>
      <c r="F65" s="823" t="s">
        <v>73</v>
      </c>
      <c r="G65" s="823">
        <v>1.0</v>
      </c>
      <c r="H65" s="823">
        <v>0.0</v>
      </c>
      <c r="I65" s="823">
        <v>1.0</v>
      </c>
      <c r="J65" s="823">
        <v>1.0</v>
      </c>
      <c r="K65" s="823" t="s">
        <v>188</v>
      </c>
      <c r="L65" s="823" t="s">
        <v>828</v>
      </c>
      <c r="M65" s="822">
        <v>4.0</v>
      </c>
      <c r="N65" s="823">
        <v>4.0</v>
      </c>
      <c r="O65" s="824" t="s">
        <v>862</v>
      </c>
      <c r="P65" s="808" t="s">
        <v>1</v>
      </c>
      <c r="Q65" s="808">
        <v>2.0</v>
      </c>
      <c r="R65" s="808">
        <v>5.0</v>
      </c>
      <c r="S65" s="808">
        <v>8.0</v>
      </c>
      <c r="T65" s="808">
        <v>3.0</v>
      </c>
      <c r="U65" s="808">
        <v>1.0</v>
      </c>
      <c r="V65" s="808">
        <v>1.0</v>
      </c>
      <c r="W65">
        <v>0.0</v>
      </c>
      <c r="X65">
        <v>1.0</v>
      </c>
      <c r="Y65" t="b">
        <v>0</v>
      </c>
      <c r="Z65" t="b">
        <v>1</v>
      </c>
      <c r="AA65">
        <v>0.0</v>
      </c>
      <c r="AB65">
        <v>0.0</v>
      </c>
      <c r="AC65">
        <v>1.0</v>
      </c>
      <c r="AD65">
        <v>0.0</v>
      </c>
      <c r="AE65">
        <v>1.0</v>
      </c>
      <c r="AF65">
        <v>0.0</v>
      </c>
      <c r="AG65" t="s">
        <v>1</v>
      </c>
    </row>
    <row r="66">
      <c r="A66" s="820" t="s">
        <v>1</v>
      </c>
      <c r="B66" s="821">
        <v>3.0</v>
      </c>
      <c r="C66" s="822" t="s">
        <v>870</v>
      </c>
      <c r="D66" s="823" t="s">
        <v>21</v>
      </c>
      <c r="E66" s="823" t="s">
        <v>33</v>
      </c>
      <c r="F66" s="823" t="s">
        <v>73</v>
      </c>
      <c r="G66" s="823">
        <v>0.0</v>
      </c>
      <c r="H66" s="823">
        <v>0.0</v>
      </c>
      <c r="I66" s="823">
        <v>1.0</v>
      </c>
      <c r="J66" s="823">
        <v>1.0</v>
      </c>
      <c r="K66" s="823" t="s">
        <v>188</v>
      </c>
      <c r="L66" s="823" t="s">
        <v>828</v>
      </c>
      <c r="M66" s="822">
        <v>3.0</v>
      </c>
      <c r="N66" s="823">
        <v>5.0</v>
      </c>
      <c r="O66" s="824" t="s">
        <v>871</v>
      </c>
      <c r="P66" s="808" t="s">
        <v>1</v>
      </c>
      <c r="Q66" s="808">
        <v>3.0</v>
      </c>
      <c r="R66" s="808">
        <v>2.0</v>
      </c>
      <c r="S66" s="808">
        <v>8.0</v>
      </c>
      <c r="T66" s="808">
        <v>3.0</v>
      </c>
      <c r="U66" s="808">
        <v>0.0</v>
      </c>
      <c r="V66" s="808">
        <v>0.0</v>
      </c>
      <c r="W66">
        <v>0.0</v>
      </c>
      <c r="X66">
        <v>0.0</v>
      </c>
      <c r="Y66" t="b">
        <v>1</v>
      </c>
      <c r="Z66" t="b">
        <v>1</v>
      </c>
      <c r="AA66">
        <v>0.0</v>
      </c>
      <c r="AB66">
        <v>0.0</v>
      </c>
      <c r="AC66">
        <v>0.0</v>
      </c>
      <c r="AD66">
        <v>0.0</v>
      </c>
      <c r="AE66">
        <v>0.0</v>
      </c>
      <c r="AF66">
        <v>0.0</v>
      </c>
      <c r="AG66" t="s">
        <v>1</v>
      </c>
    </row>
    <row r="67">
      <c r="A67" s="820" t="s">
        <v>1</v>
      </c>
      <c r="B67" s="821">
        <v>6.0</v>
      </c>
      <c r="C67" s="822" t="s">
        <v>886</v>
      </c>
      <c r="D67" s="823" t="s">
        <v>21</v>
      </c>
      <c r="E67" s="823" t="s">
        <v>36</v>
      </c>
      <c r="F67" s="823" t="s">
        <v>73</v>
      </c>
      <c r="G67" s="823">
        <v>1.0</v>
      </c>
      <c r="H67" s="823">
        <v>0.0</v>
      </c>
      <c r="I67" s="823">
        <v>1.0</v>
      </c>
      <c r="J67" s="823">
        <v>1.0</v>
      </c>
      <c r="K67" s="823" t="s">
        <v>188</v>
      </c>
      <c r="L67" s="823" t="s">
        <v>828</v>
      </c>
      <c r="M67" s="822">
        <v>5.0</v>
      </c>
      <c r="N67" s="823">
        <v>4.0</v>
      </c>
      <c r="O67" s="824" t="s">
        <v>887</v>
      </c>
      <c r="P67" s="808" t="s">
        <v>1</v>
      </c>
      <c r="Q67" s="808">
        <v>3.0</v>
      </c>
      <c r="R67" s="808">
        <v>7.0</v>
      </c>
      <c r="S67" s="808">
        <v>8.0</v>
      </c>
      <c r="T67" s="808">
        <v>3.0</v>
      </c>
      <c r="U67" s="808">
        <v>1.0</v>
      </c>
      <c r="V67" s="808">
        <v>1.0</v>
      </c>
      <c r="W67">
        <v>0.0</v>
      </c>
      <c r="X67">
        <v>1.0</v>
      </c>
      <c r="Y67" t="b">
        <v>0</v>
      </c>
      <c r="Z67" t="b">
        <v>1</v>
      </c>
      <c r="AA67">
        <v>0.0</v>
      </c>
      <c r="AB67">
        <v>0.0</v>
      </c>
      <c r="AC67">
        <v>1.0</v>
      </c>
      <c r="AD67">
        <v>0.0</v>
      </c>
      <c r="AE67">
        <v>1.0</v>
      </c>
      <c r="AF67">
        <v>0.0</v>
      </c>
      <c r="AG67" t="s">
        <v>1</v>
      </c>
    </row>
    <row r="68">
      <c r="A68" s="820" t="s">
        <v>1</v>
      </c>
      <c r="B68" s="821">
        <v>4.0</v>
      </c>
      <c r="C68" s="822" t="s">
        <v>888</v>
      </c>
      <c r="D68" s="823" t="s">
        <v>22</v>
      </c>
      <c r="E68" s="823" t="s">
        <v>36</v>
      </c>
      <c r="F68" s="823" t="s">
        <v>73</v>
      </c>
      <c r="G68" s="823">
        <v>1.0</v>
      </c>
      <c r="H68" s="823">
        <v>0.0</v>
      </c>
      <c r="I68" s="823">
        <v>1.0</v>
      </c>
      <c r="J68" s="823">
        <v>1.0</v>
      </c>
      <c r="K68" s="823" t="s">
        <v>188</v>
      </c>
      <c r="L68" s="823" t="s">
        <v>828</v>
      </c>
      <c r="M68" s="822">
        <v>1.0</v>
      </c>
      <c r="N68" s="823">
        <v>1.0</v>
      </c>
      <c r="O68" s="824" t="s">
        <v>889</v>
      </c>
      <c r="P68" s="808" t="s">
        <v>1</v>
      </c>
      <c r="Q68" s="808">
        <v>4.0</v>
      </c>
      <c r="R68" s="808">
        <v>7.0</v>
      </c>
      <c r="S68" s="808">
        <v>8.0</v>
      </c>
      <c r="T68" s="808">
        <v>3.0</v>
      </c>
      <c r="U68" s="808">
        <v>1.0</v>
      </c>
      <c r="V68" s="808">
        <v>1.0</v>
      </c>
      <c r="W68">
        <v>0.0</v>
      </c>
      <c r="X68">
        <v>1.0</v>
      </c>
      <c r="Y68" t="b">
        <v>0</v>
      </c>
      <c r="Z68" t="b">
        <v>0</v>
      </c>
      <c r="AA68">
        <v>0.0</v>
      </c>
      <c r="AB68">
        <v>0.0</v>
      </c>
      <c r="AC68">
        <v>1.0</v>
      </c>
      <c r="AD68">
        <v>0.0</v>
      </c>
      <c r="AE68">
        <v>1.0</v>
      </c>
      <c r="AF68">
        <v>0.0</v>
      </c>
      <c r="AG68" t="s">
        <v>1</v>
      </c>
    </row>
    <row r="69">
      <c r="A69" s="820" t="s">
        <v>1</v>
      </c>
      <c r="B69" s="821">
        <v>4.0</v>
      </c>
      <c r="C69" s="822" t="s">
        <v>890</v>
      </c>
      <c r="D69" s="823" t="s">
        <v>22</v>
      </c>
      <c r="E69" s="823" t="s">
        <v>33</v>
      </c>
      <c r="F69" s="823" t="s">
        <v>73</v>
      </c>
      <c r="G69" s="823">
        <v>1.0</v>
      </c>
      <c r="H69" s="823">
        <v>0.0</v>
      </c>
      <c r="I69" s="823">
        <v>1.0</v>
      </c>
      <c r="J69" s="823">
        <v>1.0</v>
      </c>
      <c r="K69" s="823" t="s">
        <v>188</v>
      </c>
      <c r="L69" s="823" t="s">
        <v>828</v>
      </c>
      <c r="M69" s="822">
        <v>5.0</v>
      </c>
      <c r="N69" s="823">
        <v>6.0</v>
      </c>
      <c r="O69" s="824" t="s">
        <v>891</v>
      </c>
      <c r="P69" s="808" t="s">
        <v>1</v>
      </c>
      <c r="Q69" s="808">
        <v>4.0</v>
      </c>
      <c r="R69" s="808">
        <v>2.0</v>
      </c>
      <c r="S69" s="808">
        <v>8.0</v>
      </c>
      <c r="T69" s="808">
        <v>3.0</v>
      </c>
      <c r="U69" s="808">
        <v>1.0</v>
      </c>
      <c r="V69" s="808">
        <v>1.0</v>
      </c>
      <c r="W69">
        <v>0.0</v>
      </c>
      <c r="X69">
        <v>1.0</v>
      </c>
      <c r="Y69" t="b">
        <v>0</v>
      </c>
      <c r="Z69" t="b">
        <v>0</v>
      </c>
      <c r="AA69">
        <v>0.0</v>
      </c>
      <c r="AB69">
        <v>0.0</v>
      </c>
      <c r="AC69">
        <v>1.0</v>
      </c>
      <c r="AD69">
        <v>0.0</v>
      </c>
      <c r="AE69">
        <v>1.0</v>
      </c>
      <c r="AF69">
        <v>0.0</v>
      </c>
      <c r="AG69" t="s">
        <v>1</v>
      </c>
    </row>
    <row r="70">
      <c r="A70" s="820" t="s">
        <v>1</v>
      </c>
      <c r="B70" s="821">
        <v>5.0</v>
      </c>
      <c r="C70" s="822" t="s">
        <v>894</v>
      </c>
      <c r="D70" s="823" t="s">
        <v>22</v>
      </c>
      <c r="E70" s="823" t="s">
        <v>35</v>
      </c>
      <c r="F70" s="823" t="s">
        <v>73</v>
      </c>
      <c r="G70" s="823">
        <v>1.0</v>
      </c>
      <c r="H70" s="823">
        <v>0.0</v>
      </c>
      <c r="I70" s="823">
        <v>1.0</v>
      </c>
      <c r="J70" s="823">
        <v>1.0</v>
      </c>
      <c r="K70" s="823" t="s">
        <v>162</v>
      </c>
      <c r="L70" s="823" t="s">
        <v>1</v>
      </c>
      <c r="M70" s="822"/>
      <c r="N70" s="823"/>
      <c r="O70" s="824" t="s">
        <v>895</v>
      </c>
      <c r="P70" s="808" t="s">
        <v>1</v>
      </c>
      <c r="Q70" s="808">
        <v>4.0</v>
      </c>
      <c r="R70" s="808">
        <v>5.0</v>
      </c>
      <c r="S70" s="808">
        <v>8.0</v>
      </c>
      <c r="T70" s="808">
        <v>2.0</v>
      </c>
      <c r="U70" s="808">
        <v>1.0</v>
      </c>
      <c r="V70" s="808">
        <v>1.0</v>
      </c>
      <c r="W70">
        <v>0.0</v>
      </c>
      <c r="X70">
        <v>1.0</v>
      </c>
      <c r="Y70" t="b">
        <v>0</v>
      </c>
      <c r="Z70" t="b">
        <v>0</v>
      </c>
      <c r="AA70">
        <v>0.0</v>
      </c>
      <c r="AB70">
        <v>0.0</v>
      </c>
      <c r="AC70">
        <v>1.0</v>
      </c>
      <c r="AD70">
        <v>0.0</v>
      </c>
      <c r="AE70">
        <v>1.0</v>
      </c>
      <c r="AF70">
        <v>0.0</v>
      </c>
      <c r="AG70" t="s">
        <v>1</v>
      </c>
    </row>
    <row r="71">
      <c r="A71" s="820" t="s">
        <v>1</v>
      </c>
      <c r="B71" s="821">
        <v>6.0</v>
      </c>
      <c r="C71" s="822" t="s">
        <v>896</v>
      </c>
      <c r="D71" s="823" t="s">
        <v>22</v>
      </c>
      <c r="E71" s="823" t="s">
        <v>35</v>
      </c>
      <c r="F71" s="823" t="s">
        <v>73</v>
      </c>
      <c r="G71" s="823">
        <v>1.0</v>
      </c>
      <c r="H71" s="823">
        <v>0.0</v>
      </c>
      <c r="I71" s="823">
        <v>1.0</v>
      </c>
      <c r="J71" s="823">
        <v>1.0</v>
      </c>
      <c r="K71" s="823" t="s">
        <v>188</v>
      </c>
      <c r="L71" s="823" t="s">
        <v>198</v>
      </c>
      <c r="M71" s="822">
        <v>9.0</v>
      </c>
      <c r="N71" s="823">
        <v>9.0</v>
      </c>
      <c r="O71" s="824" t="s">
        <v>897</v>
      </c>
      <c r="P71" s="808" t="s">
        <v>1</v>
      </c>
      <c r="Q71" s="808">
        <v>4.0</v>
      </c>
      <c r="R71" s="808">
        <v>5.0</v>
      </c>
      <c r="S71" s="808">
        <v>8.0</v>
      </c>
      <c r="T71" s="808">
        <v>3.0</v>
      </c>
      <c r="U71" s="808">
        <v>1.0</v>
      </c>
      <c r="V71" s="808">
        <v>1.0</v>
      </c>
      <c r="W71">
        <v>0.0</v>
      </c>
      <c r="X71">
        <v>1.0</v>
      </c>
      <c r="Y71" t="b">
        <v>0</v>
      </c>
      <c r="Z71" t="b">
        <v>0</v>
      </c>
      <c r="AA71">
        <v>0.0</v>
      </c>
      <c r="AB71">
        <v>0.0</v>
      </c>
      <c r="AC71">
        <v>1.0</v>
      </c>
      <c r="AD71">
        <v>0.0</v>
      </c>
      <c r="AE71">
        <v>1.0</v>
      </c>
      <c r="AF71">
        <v>0.0</v>
      </c>
      <c r="AG71" t="s">
        <v>1</v>
      </c>
    </row>
    <row r="72">
      <c r="A72" s="820" t="s">
        <v>1</v>
      </c>
      <c r="B72" s="821">
        <v>6.0</v>
      </c>
      <c r="C72" s="822" t="s">
        <v>898</v>
      </c>
      <c r="D72" s="823" t="s">
        <v>22</v>
      </c>
      <c r="E72" s="823" t="s">
        <v>36</v>
      </c>
      <c r="F72" s="823" t="s">
        <v>73</v>
      </c>
      <c r="G72" s="823">
        <v>1.0</v>
      </c>
      <c r="H72" s="823">
        <v>0.0</v>
      </c>
      <c r="I72" s="823">
        <v>1.0</v>
      </c>
      <c r="J72" s="823">
        <v>1.0</v>
      </c>
      <c r="K72" s="823" t="s">
        <v>162</v>
      </c>
      <c r="L72" s="823" t="s">
        <v>1</v>
      </c>
      <c r="M72" s="822"/>
      <c r="N72" s="823"/>
      <c r="O72" s="824" t="s">
        <v>899</v>
      </c>
      <c r="P72" s="808" t="s">
        <v>1</v>
      </c>
      <c r="Q72" s="808">
        <v>4.0</v>
      </c>
      <c r="R72" s="808">
        <v>7.0</v>
      </c>
      <c r="S72" s="808">
        <v>8.0</v>
      </c>
      <c r="T72" s="808">
        <v>2.0</v>
      </c>
      <c r="U72" s="808">
        <v>1.0</v>
      </c>
      <c r="V72" s="808">
        <v>1.0</v>
      </c>
      <c r="W72">
        <v>0.0</v>
      </c>
      <c r="X72">
        <v>1.0</v>
      </c>
      <c r="Y72" t="b">
        <v>0</v>
      </c>
      <c r="Z72" t="b">
        <v>0</v>
      </c>
      <c r="AA72">
        <v>0.0</v>
      </c>
      <c r="AB72">
        <v>0.0</v>
      </c>
      <c r="AC72">
        <v>1.0</v>
      </c>
      <c r="AD72">
        <v>0.0</v>
      </c>
      <c r="AE72">
        <v>1.0</v>
      </c>
      <c r="AF72">
        <v>0.0</v>
      </c>
      <c r="AG72" t="s">
        <v>1</v>
      </c>
    </row>
    <row r="73">
      <c r="A73" s="820" t="s">
        <v>1</v>
      </c>
      <c r="B73" s="821">
        <v>8.0</v>
      </c>
      <c r="C73" s="822" t="s">
        <v>900</v>
      </c>
      <c r="D73" s="823" t="s">
        <v>22</v>
      </c>
      <c r="E73" s="823" t="s">
        <v>33</v>
      </c>
      <c r="F73" s="823" t="s">
        <v>73</v>
      </c>
      <c r="G73" s="823">
        <v>1.0</v>
      </c>
      <c r="H73" s="823">
        <v>0.0</v>
      </c>
      <c r="I73" s="823">
        <v>1.0</v>
      </c>
      <c r="J73" s="823">
        <v>1.0</v>
      </c>
      <c r="K73" s="823" t="s">
        <v>162</v>
      </c>
      <c r="L73" s="823" t="s">
        <v>1</v>
      </c>
      <c r="M73" s="822"/>
      <c r="N73" s="823"/>
      <c r="O73" s="824" t="s">
        <v>901</v>
      </c>
      <c r="P73" s="808" t="s">
        <v>1</v>
      </c>
      <c r="Q73" s="808">
        <v>4.0</v>
      </c>
      <c r="R73" s="808">
        <v>2.0</v>
      </c>
      <c r="S73" s="808">
        <v>8.0</v>
      </c>
      <c r="T73" s="808">
        <v>2.0</v>
      </c>
      <c r="U73" s="808">
        <v>1.0</v>
      </c>
      <c r="V73" s="808">
        <v>1.0</v>
      </c>
      <c r="W73">
        <v>0.0</v>
      </c>
      <c r="X73">
        <v>1.0</v>
      </c>
      <c r="Y73" t="b">
        <v>0</v>
      </c>
      <c r="Z73" t="b">
        <v>0</v>
      </c>
      <c r="AA73">
        <v>0.0</v>
      </c>
      <c r="AB73">
        <v>0.0</v>
      </c>
      <c r="AC73">
        <v>1.0</v>
      </c>
      <c r="AD73">
        <v>0.0</v>
      </c>
      <c r="AE73">
        <v>1.0</v>
      </c>
      <c r="AF73">
        <v>0.0</v>
      </c>
      <c r="AG73" t="s">
        <v>1</v>
      </c>
    </row>
    <row r="74">
      <c r="A74" s="820" t="s">
        <v>1</v>
      </c>
      <c r="B74" s="821">
        <v>6.0</v>
      </c>
      <c r="C74" s="822" t="s">
        <v>902</v>
      </c>
      <c r="D74" s="823" t="s">
        <v>23</v>
      </c>
      <c r="E74" s="823" t="s">
        <v>36</v>
      </c>
      <c r="F74" s="823" t="s">
        <v>73</v>
      </c>
      <c r="G74" s="823">
        <v>0.0</v>
      </c>
      <c r="H74" s="823">
        <v>0.0</v>
      </c>
      <c r="I74" s="823">
        <v>1.0</v>
      </c>
      <c r="J74" s="823">
        <v>1.0</v>
      </c>
      <c r="K74" s="823" t="s">
        <v>188</v>
      </c>
      <c r="L74" s="823" t="s">
        <v>1</v>
      </c>
      <c r="M74" s="822">
        <v>4.0</v>
      </c>
      <c r="N74" s="823">
        <v>4.0</v>
      </c>
      <c r="O74" s="824" t="s">
        <v>903</v>
      </c>
      <c r="P74" s="808" t="s">
        <v>1</v>
      </c>
      <c r="Q74" s="808">
        <v>5.0</v>
      </c>
      <c r="R74" s="808">
        <v>7.0</v>
      </c>
      <c r="S74" s="808">
        <v>8.0</v>
      </c>
      <c r="T74" s="808">
        <v>3.0</v>
      </c>
      <c r="U74" s="808">
        <v>0.0</v>
      </c>
      <c r="V74" s="808">
        <v>0.0</v>
      </c>
      <c r="W74">
        <v>0.0</v>
      </c>
      <c r="X74">
        <v>1.0</v>
      </c>
      <c r="Y74" t="b">
        <v>1</v>
      </c>
      <c r="Z74" t="b">
        <v>1</v>
      </c>
      <c r="AA74">
        <v>0.0</v>
      </c>
      <c r="AB74">
        <v>0.0</v>
      </c>
      <c r="AC74">
        <v>0.0</v>
      </c>
      <c r="AD74">
        <v>0.0</v>
      </c>
      <c r="AE74">
        <v>0.0</v>
      </c>
      <c r="AF74">
        <v>0.0</v>
      </c>
      <c r="AG74" t="s">
        <v>1</v>
      </c>
    </row>
    <row r="75">
      <c r="A75" s="820" t="s">
        <v>1</v>
      </c>
      <c r="B75" s="821">
        <v>4.0</v>
      </c>
      <c r="C75" s="822" t="s">
        <v>979</v>
      </c>
      <c r="D75" s="823" t="s">
        <v>22</v>
      </c>
      <c r="E75" s="823" t="s">
        <v>36</v>
      </c>
      <c r="F75" s="823" t="s">
        <v>75</v>
      </c>
      <c r="G75" s="823">
        <v>0.0</v>
      </c>
      <c r="H75" s="823">
        <v>0.0</v>
      </c>
      <c r="I75" s="823">
        <v>1.0</v>
      </c>
      <c r="J75" s="823">
        <v>1.0</v>
      </c>
      <c r="K75" s="823" t="s">
        <v>188</v>
      </c>
      <c r="L75" s="823" t="s">
        <v>1</v>
      </c>
      <c r="M75" s="822">
        <v>5.0</v>
      </c>
      <c r="N75" s="823">
        <v>3.0</v>
      </c>
      <c r="O75" s="824" t="s">
        <v>980</v>
      </c>
      <c r="P75" s="808" t="s">
        <v>1</v>
      </c>
      <c r="Q75" s="808">
        <v>4.0</v>
      </c>
      <c r="R75" s="808">
        <v>7.0</v>
      </c>
      <c r="S75" s="808">
        <v>9.0</v>
      </c>
      <c r="T75" s="808">
        <v>3.0</v>
      </c>
      <c r="U75" s="808">
        <v>0.0</v>
      </c>
      <c r="V75" s="808">
        <v>0.0</v>
      </c>
      <c r="W75">
        <v>0.0</v>
      </c>
      <c r="X75">
        <v>0.0</v>
      </c>
      <c r="Y75" t="b">
        <v>1</v>
      </c>
      <c r="Z75" t="b">
        <v>0</v>
      </c>
      <c r="AA75">
        <v>0.0</v>
      </c>
      <c r="AB75">
        <v>0.0</v>
      </c>
      <c r="AC75">
        <v>0.0</v>
      </c>
      <c r="AD75">
        <v>0.0</v>
      </c>
      <c r="AE75">
        <v>0.0</v>
      </c>
      <c r="AF75">
        <v>0.0</v>
      </c>
      <c r="AG75" t="s">
        <v>1</v>
      </c>
    </row>
    <row r="76">
      <c r="A76" s="820" t="s">
        <v>1</v>
      </c>
      <c r="B76" s="821">
        <v>6.0</v>
      </c>
      <c r="C76" s="822" t="s">
        <v>983</v>
      </c>
      <c r="D76" s="823" t="s">
        <v>22</v>
      </c>
      <c r="E76" s="823" t="s">
        <v>36</v>
      </c>
      <c r="F76" s="823" t="s">
        <v>75</v>
      </c>
      <c r="G76" s="823">
        <v>0.0</v>
      </c>
      <c r="H76" s="823">
        <v>0.0</v>
      </c>
      <c r="I76" s="823">
        <v>1.0</v>
      </c>
      <c r="J76" s="823">
        <v>1.0</v>
      </c>
      <c r="K76" s="823" t="s">
        <v>188</v>
      </c>
      <c r="L76" s="823" t="s">
        <v>1</v>
      </c>
      <c r="M76" s="822">
        <v>6.0</v>
      </c>
      <c r="N76" s="823">
        <v>7.0</v>
      </c>
      <c r="O76" s="824" t="s">
        <v>984</v>
      </c>
      <c r="P76" s="808" t="s">
        <v>1</v>
      </c>
      <c r="Q76" s="808">
        <v>4.0</v>
      </c>
      <c r="R76" s="808">
        <v>7.0</v>
      </c>
      <c r="S76" s="808">
        <v>9.0</v>
      </c>
      <c r="T76" s="808">
        <v>3.0</v>
      </c>
      <c r="U76" s="808">
        <v>0.0</v>
      </c>
      <c r="V76" s="808">
        <v>0.0</v>
      </c>
      <c r="W76">
        <v>0.0</v>
      </c>
      <c r="X76">
        <v>0.0</v>
      </c>
      <c r="Y76" t="b">
        <v>1</v>
      </c>
      <c r="Z76" t="b">
        <v>0</v>
      </c>
      <c r="AA76">
        <v>0.0</v>
      </c>
      <c r="AB76">
        <v>0.0</v>
      </c>
      <c r="AC76">
        <v>0.0</v>
      </c>
      <c r="AD76">
        <v>0.0</v>
      </c>
      <c r="AE76">
        <v>0.0</v>
      </c>
      <c r="AF76">
        <v>0.0</v>
      </c>
      <c r="AG76" t="s">
        <v>1</v>
      </c>
    </row>
    <row r="77">
      <c r="A77" s="820" t="s">
        <v>1</v>
      </c>
      <c r="B77" s="821">
        <v>7.0</v>
      </c>
      <c r="C77" s="822" t="s">
        <v>987</v>
      </c>
      <c r="D77" s="823" t="s">
        <v>22</v>
      </c>
      <c r="E77" s="823" t="s">
        <v>33</v>
      </c>
      <c r="F77" s="823" t="s">
        <v>75</v>
      </c>
      <c r="G77" s="823">
        <v>0.0</v>
      </c>
      <c r="H77" s="823">
        <v>0.0</v>
      </c>
      <c r="I77" s="823">
        <v>1.0</v>
      </c>
      <c r="J77" s="823">
        <v>1.0</v>
      </c>
      <c r="K77" s="823" t="s">
        <v>304</v>
      </c>
      <c r="L77" s="823" t="s">
        <v>1</v>
      </c>
      <c r="M77" s="822">
        <v>7.0</v>
      </c>
      <c r="N77" s="823">
        <v>1.0</v>
      </c>
      <c r="O77" s="824" t="s">
        <v>988</v>
      </c>
      <c r="P77" s="808" t="s">
        <v>1</v>
      </c>
      <c r="Q77" s="808">
        <v>4.0</v>
      </c>
      <c r="R77" s="808">
        <v>2.0</v>
      </c>
      <c r="S77" s="808">
        <v>9.0</v>
      </c>
      <c r="T77" s="808">
        <v>1.0</v>
      </c>
      <c r="U77" s="808">
        <v>0.0</v>
      </c>
      <c r="V77" s="808">
        <v>0.0</v>
      </c>
      <c r="W77">
        <v>0.0</v>
      </c>
      <c r="X77">
        <v>0.0</v>
      </c>
      <c r="Y77" t="b">
        <v>1</v>
      </c>
      <c r="Z77" t="b">
        <v>0</v>
      </c>
      <c r="AA77">
        <v>0.0</v>
      </c>
      <c r="AB77">
        <v>0.0</v>
      </c>
      <c r="AC77">
        <v>0.0</v>
      </c>
      <c r="AD77">
        <v>0.0</v>
      </c>
      <c r="AE77">
        <v>0.0</v>
      </c>
      <c r="AF77">
        <v>0.0</v>
      </c>
      <c r="AG77" t="s">
        <v>1</v>
      </c>
    </row>
    <row r="78">
      <c r="A78" s="820" t="s">
        <v>1</v>
      </c>
      <c r="B78" s="821">
        <v>6.0</v>
      </c>
      <c r="C78" s="822" t="s">
        <v>989</v>
      </c>
      <c r="D78" s="823" t="s">
        <v>23</v>
      </c>
      <c r="E78" s="823" t="s">
        <v>35</v>
      </c>
      <c r="F78" s="823" t="s">
        <v>75</v>
      </c>
      <c r="G78" s="823">
        <v>0.0</v>
      </c>
      <c r="H78" s="823">
        <v>0.0</v>
      </c>
      <c r="I78" s="823">
        <v>1.0</v>
      </c>
      <c r="J78" s="823"/>
      <c r="K78" s="823" t="s">
        <v>188</v>
      </c>
      <c r="L78" s="823" t="s">
        <v>198</v>
      </c>
      <c r="M78" s="822">
        <v>6.0</v>
      </c>
      <c r="N78" s="823">
        <v>5.0</v>
      </c>
      <c r="O78" s="824" t="s">
        <v>990</v>
      </c>
      <c r="P78" s="808" t="s">
        <v>1</v>
      </c>
      <c r="Q78" s="808">
        <v>5.0</v>
      </c>
      <c r="R78" s="808">
        <v>5.0</v>
      </c>
      <c r="S78" s="808">
        <v>9.0</v>
      </c>
      <c r="T78" s="808">
        <v>3.0</v>
      </c>
      <c r="U78" s="808">
        <v>0.0</v>
      </c>
      <c r="V78" s="808">
        <v>0.0</v>
      </c>
      <c r="W78">
        <v>0.0</v>
      </c>
      <c r="X78">
        <v>1.0</v>
      </c>
      <c r="Y78" t="b">
        <v>1</v>
      </c>
      <c r="Z78" t="b">
        <v>1</v>
      </c>
      <c r="AA78">
        <v>0.0</v>
      </c>
      <c r="AB78">
        <v>1.0</v>
      </c>
      <c r="AC78">
        <v>1.0</v>
      </c>
      <c r="AD78">
        <v>0.0</v>
      </c>
      <c r="AE78">
        <v>0.0</v>
      </c>
      <c r="AF78">
        <v>0.0</v>
      </c>
      <c r="AG78" t="s">
        <v>1</v>
      </c>
    </row>
    <row r="79">
      <c r="A79" s="820" t="s">
        <v>1</v>
      </c>
      <c r="B79" s="821">
        <v>0.0</v>
      </c>
      <c r="C79" s="822" t="s">
        <v>1054</v>
      </c>
      <c r="D79" s="823" t="s">
        <v>15</v>
      </c>
      <c r="E79" s="823" t="s">
        <v>33</v>
      </c>
      <c r="F79" s="823" t="s">
        <v>77</v>
      </c>
      <c r="G79" s="823">
        <v>0.0</v>
      </c>
      <c r="H79" s="823">
        <v>0.0</v>
      </c>
      <c r="I79" s="823">
        <v>1.0</v>
      </c>
      <c r="J79" s="823">
        <v>1.0</v>
      </c>
      <c r="K79" s="823" t="s">
        <v>188</v>
      </c>
      <c r="L79" s="823" t="s">
        <v>1</v>
      </c>
      <c r="M79" s="822">
        <v>1.0</v>
      </c>
      <c r="N79" s="823">
        <v>1.0</v>
      </c>
      <c r="O79" s="824" t="s">
        <v>1</v>
      </c>
      <c r="P79" s="808" t="s">
        <v>1</v>
      </c>
      <c r="Q79" s="808">
        <v>2.0</v>
      </c>
      <c r="R79" s="808">
        <v>2.0</v>
      </c>
      <c r="S79" s="808">
        <v>10.0</v>
      </c>
      <c r="T79" s="808">
        <v>3.0</v>
      </c>
      <c r="U79" s="808">
        <v>0.0</v>
      </c>
      <c r="V79" s="808">
        <v>0.0</v>
      </c>
      <c r="W79">
        <v>0.0</v>
      </c>
      <c r="X79">
        <v>0.0</v>
      </c>
      <c r="Y79" t="b">
        <v>1</v>
      </c>
      <c r="Z79" t="b">
        <v>1</v>
      </c>
      <c r="AA79">
        <v>0.0</v>
      </c>
      <c r="AB79">
        <v>0.0</v>
      </c>
      <c r="AC79">
        <v>0.0</v>
      </c>
      <c r="AD79">
        <v>0.0</v>
      </c>
      <c r="AE79">
        <v>0.0</v>
      </c>
      <c r="AF79">
        <v>0.0</v>
      </c>
      <c r="AG79" t="s">
        <v>1</v>
      </c>
    </row>
    <row r="80">
      <c r="A80" s="820" t="s">
        <v>1</v>
      </c>
      <c r="B80" s="821">
        <v>1.0</v>
      </c>
      <c r="C80" s="822" t="s">
        <v>1225</v>
      </c>
      <c r="D80" s="823" t="s">
        <v>21</v>
      </c>
      <c r="E80" s="823" t="s">
        <v>33</v>
      </c>
      <c r="F80" s="823" t="s">
        <v>77</v>
      </c>
      <c r="G80" s="823">
        <v>0.0</v>
      </c>
      <c r="H80" s="823">
        <v>0.0</v>
      </c>
      <c r="I80" s="823">
        <v>1.0</v>
      </c>
      <c r="J80" s="823">
        <v>1.0</v>
      </c>
      <c r="K80" s="823" t="s">
        <v>188</v>
      </c>
      <c r="L80" s="823" t="s">
        <v>238</v>
      </c>
      <c r="M80" s="822">
        <v>1.0</v>
      </c>
      <c r="N80" s="823">
        <v>1.0</v>
      </c>
      <c r="O80" s="824" t="s">
        <v>1226</v>
      </c>
      <c r="P80" s="808" t="s">
        <v>1</v>
      </c>
      <c r="Q80" s="808">
        <v>3.0</v>
      </c>
      <c r="R80" s="808">
        <v>2.0</v>
      </c>
      <c r="S80" s="808">
        <v>10.0</v>
      </c>
      <c r="T80" s="808">
        <v>3.0</v>
      </c>
      <c r="U80" s="808">
        <v>0.0</v>
      </c>
      <c r="V80" s="808">
        <v>0.0</v>
      </c>
      <c r="W80">
        <v>0.0</v>
      </c>
      <c r="X80">
        <v>0.0</v>
      </c>
      <c r="Y80" t="b">
        <v>1</v>
      </c>
      <c r="Z80" t="b">
        <v>1</v>
      </c>
      <c r="AA80">
        <v>0.0</v>
      </c>
      <c r="AB80">
        <v>0.0</v>
      </c>
      <c r="AC80">
        <v>0.0</v>
      </c>
      <c r="AD80">
        <v>0.0</v>
      </c>
      <c r="AE80">
        <v>0.0</v>
      </c>
      <c r="AF80">
        <v>0.0</v>
      </c>
      <c r="AG80" t="s">
        <v>1</v>
      </c>
    </row>
    <row r="81">
      <c r="A81" s="820" t="s">
        <v>1</v>
      </c>
      <c r="B81" s="821">
        <v>1.0</v>
      </c>
      <c r="C81" s="822" t="s">
        <v>1227</v>
      </c>
      <c r="D81" s="823" t="s">
        <v>21</v>
      </c>
      <c r="E81" s="823" t="s">
        <v>33</v>
      </c>
      <c r="F81" s="823" t="s">
        <v>77</v>
      </c>
      <c r="G81" s="823">
        <v>1.0</v>
      </c>
      <c r="H81" s="823">
        <v>0.0</v>
      </c>
      <c r="I81" s="823">
        <v>1.0</v>
      </c>
      <c r="J81" s="823">
        <v>1.0</v>
      </c>
      <c r="K81" s="823" t="s">
        <v>188</v>
      </c>
      <c r="L81" s="823" t="s">
        <v>660</v>
      </c>
      <c r="M81" s="822">
        <v>1.0</v>
      </c>
      <c r="N81" s="823">
        <v>2.0</v>
      </c>
      <c r="O81" s="824" t="s">
        <v>1228</v>
      </c>
      <c r="P81" s="808" t="s">
        <v>1</v>
      </c>
      <c r="Q81" s="808">
        <v>3.0</v>
      </c>
      <c r="R81" s="808">
        <v>2.0</v>
      </c>
      <c r="S81" s="808">
        <v>10.0</v>
      </c>
      <c r="T81" s="808">
        <v>3.0</v>
      </c>
      <c r="U81" s="808">
        <v>1.0</v>
      </c>
      <c r="V81" s="808">
        <v>1.0</v>
      </c>
      <c r="W81">
        <v>0.0</v>
      </c>
      <c r="X81">
        <v>1.0</v>
      </c>
      <c r="Y81" t="b">
        <v>0</v>
      </c>
      <c r="Z81" t="b">
        <v>1</v>
      </c>
      <c r="AA81">
        <v>0.0</v>
      </c>
      <c r="AB81">
        <v>0.0</v>
      </c>
      <c r="AC81">
        <v>1.0</v>
      </c>
      <c r="AD81">
        <v>0.0</v>
      </c>
      <c r="AE81">
        <v>1.0</v>
      </c>
      <c r="AF81">
        <v>0.0</v>
      </c>
      <c r="AG81" t="s">
        <v>1</v>
      </c>
    </row>
    <row r="82">
      <c r="A82" s="820" t="s">
        <v>1</v>
      </c>
      <c r="B82" s="821">
        <v>1.0</v>
      </c>
      <c r="C82" s="822" t="s">
        <v>1233</v>
      </c>
      <c r="D82" s="823" t="s">
        <v>21</v>
      </c>
      <c r="E82" s="823" t="s">
        <v>33</v>
      </c>
      <c r="F82" s="823" t="s">
        <v>77</v>
      </c>
      <c r="G82" s="823">
        <v>1.0</v>
      </c>
      <c r="H82" s="823">
        <v>0.0</v>
      </c>
      <c r="I82" s="823">
        <v>1.0</v>
      </c>
      <c r="J82" s="823">
        <v>1.0</v>
      </c>
      <c r="K82" s="823" t="s">
        <v>188</v>
      </c>
      <c r="L82" s="823" t="s">
        <v>1</v>
      </c>
      <c r="M82" s="822">
        <v>1.0</v>
      </c>
      <c r="N82" s="823">
        <v>2.0</v>
      </c>
      <c r="O82" s="824" t="s">
        <v>586</v>
      </c>
      <c r="P82" s="808" t="s">
        <v>1</v>
      </c>
      <c r="Q82" s="808">
        <v>3.0</v>
      </c>
      <c r="R82" s="808">
        <v>2.0</v>
      </c>
      <c r="S82" s="808">
        <v>10.0</v>
      </c>
      <c r="T82" s="808">
        <v>3.0</v>
      </c>
      <c r="U82" s="808">
        <v>1.0</v>
      </c>
      <c r="V82" s="808">
        <v>1.0</v>
      </c>
      <c r="W82">
        <v>0.0</v>
      </c>
      <c r="X82">
        <v>1.0</v>
      </c>
      <c r="Y82" t="b">
        <v>0</v>
      </c>
      <c r="Z82" t="b">
        <v>1</v>
      </c>
      <c r="AA82">
        <v>0.0</v>
      </c>
      <c r="AB82">
        <v>0.0</v>
      </c>
      <c r="AC82">
        <v>1.0</v>
      </c>
      <c r="AD82">
        <v>0.0</v>
      </c>
      <c r="AE82">
        <v>1.0</v>
      </c>
      <c r="AF82">
        <v>0.0</v>
      </c>
      <c r="AG82" t="s">
        <v>1</v>
      </c>
    </row>
    <row r="83">
      <c r="A83" s="820" t="s">
        <v>1</v>
      </c>
      <c r="B83" s="821">
        <v>1.0</v>
      </c>
      <c r="C83" s="822" t="s">
        <v>1234</v>
      </c>
      <c r="D83" s="823" t="s">
        <v>21</v>
      </c>
      <c r="E83" s="823" t="s">
        <v>33</v>
      </c>
      <c r="F83" s="823" t="s">
        <v>77</v>
      </c>
      <c r="G83" s="823">
        <v>0.0</v>
      </c>
      <c r="H83" s="823">
        <v>0.0</v>
      </c>
      <c r="I83" s="823">
        <v>1.0</v>
      </c>
      <c r="J83" s="823">
        <v>1.0</v>
      </c>
      <c r="K83" s="823" t="s">
        <v>188</v>
      </c>
      <c r="L83" s="823" t="s">
        <v>498</v>
      </c>
      <c r="M83" s="822">
        <v>1.0</v>
      </c>
      <c r="N83" s="823">
        <v>2.0</v>
      </c>
      <c r="O83" s="824" t="s">
        <v>1235</v>
      </c>
      <c r="P83" s="808" t="s">
        <v>1</v>
      </c>
      <c r="Q83" s="808">
        <v>3.0</v>
      </c>
      <c r="R83" s="808">
        <v>2.0</v>
      </c>
      <c r="S83" s="808">
        <v>10.0</v>
      </c>
      <c r="T83" s="808">
        <v>3.0</v>
      </c>
      <c r="U83" s="808">
        <v>0.0</v>
      </c>
      <c r="V83" s="808">
        <v>0.0</v>
      </c>
      <c r="W83">
        <v>0.0</v>
      </c>
      <c r="X83">
        <v>0.0</v>
      </c>
      <c r="Y83" t="b">
        <v>1</v>
      </c>
      <c r="Z83" t="b">
        <v>1</v>
      </c>
      <c r="AA83">
        <v>0.0</v>
      </c>
      <c r="AB83">
        <v>0.0</v>
      </c>
      <c r="AC83">
        <v>0.0</v>
      </c>
      <c r="AD83">
        <v>0.0</v>
      </c>
      <c r="AE83">
        <v>0.0</v>
      </c>
      <c r="AF83">
        <v>0.0</v>
      </c>
      <c r="AG83" t="s">
        <v>1</v>
      </c>
    </row>
    <row r="84">
      <c r="A84" s="820" t="s">
        <v>1</v>
      </c>
      <c r="B84" s="821">
        <v>2.0</v>
      </c>
      <c r="C84" s="822" t="s">
        <v>1250</v>
      </c>
      <c r="D84" s="823" t="s">
        <v>21</v>
      </c>
      <c r="E84" s="823" t="s">
        <v>33</v>
      </c>
      <c r="F84" s="823" t="s">
        <v>77</v>
      </c>
      <c r="G84" s="823">
        <v>0.0</v>
      </c>
      <c r="H84" s="823">
        <v>0.0</v>
      </c>
      <c r="I84" s="823">
        <v>1.0</v>
      </c>
      <c r="J84" s="823">
        <v>1.0</v>
      </c>
      <c r="K84" s="823" t="s">
        <v>188</v>
      </c>
      <c r="L84" s="823" t="s">
        <v>1</v>
      </c>
      <c r="M84" s="822">
        <v>2.0</v>
      </c>
      <c r="N84" s="823">
        <v>2.0</v>
      </c>
      <c r="O84" s="824" t="s">
        <v>1251</v>
      </c>
      <c r="P84" s="808" t="s">
        <v>1</v>
      </c>
      <c r="Q84" s="808">
        <v>3.0</v>
      </c>
      <c r="R84" s="808">
        <v>2.0</v>
      </c>
      <c r="S84" s="808">
        <v>10.0</v>
      </c>
      <c r="T84" s="808">
        <v>3.0</v>
      </c>
      <c r="U84" s="808">
        <v>0.0</v>
      </c>
      <c r="V84" s="808">
        <v>0.0</v>
      </c>
      <c r="W84">
        <v>0.0</v>
      </c>
      <c r="X84">
        <v>0.0</v>
      </c>
      <c r="Y84" t="b">
        <v>1</v>
      </c>
      <c r="Z84" t="b">
        <v>1</v>
      </c>
      <c r="AA84">
        <v>0.0</v>
      </c>
      <c r="AB84">
        <v>0.0</v>
      </c>
      <c r="AC84">
        <v>0.0</v>
      </c>
      <c r="AD84">
        <v>0.0</v>
      </c>
      <c r="AE84">
        <v>0.0</v>
      </c>
      <c r="AF84">
        <v>0.0</v>
      </c>
      <c r="AG84" t="s">
        <v>1</v>
      </c>
    </row>
    <row r="85">
      <c r="A85" s="820" t="s">
        <v>1</v>
      </c>
      <c r="B85" s="821">
        <v>3.0</v>
      </c>
      <c r="C85" s="822" t="s">
        <v>1268</v>
      </c>
      <c r="D85" s="823" t="s">
        <v>21</v>
      </c>
      <c r="E85" s="823" t="s">
        <v>33</v>
      </c>
      <c r="F85" s="823" t="s">
        <v>77</v>
      </c>
      <c r="G85" s="823">
        <v>0.0</v>
      </c>
      <c r="H85" s="823">
        <v>0.0</v>
      </c>
      <c r="I85" s="823">
        <v>1.0</v>
      </c>
      <c r="J85" s="823">
        <v>1.0</v>
      </c>
      <c r="K85" s="823" t="s">
        <v>188</v>
      </c>
      <c r="L85" s="823" t="s">
        <v>498</v>
      </c>
      <c r="M85" s="822">
        <v>2.0</v>
      </c>
      <c r="N85" s="823">
        <v>3.0</v>
      </c>
      <c r="O85" s="824" t="s">
        <v>1269</v>
      </c>
      <c r="P85" s="808" t="s">
        <v>1</v>
      </c>
      <c r="Q85" s="808">
        <v>3.0</v>
      </c>
      <c r="R85" s="808">
        <v>2.0</v>
      </c>
      <c r="S85" s="808">
        <v>10.0</v>
      </c>
      <c r="T85" s="808">
        <v>3.0</v>
      </c>
      <c r="U85" s="808">
        <v>0.0</v>
      </c>
      <c r="V85" s="808">
        <v>0.0</v>
      </c>
      <c r="W85">
        <v>0.0</v>
      </c>
      <c r="X85">
        <v>0.0</v>
      </c>
      <c r="Y85" t="b">
        <v>1</v>
      </c>
      <c r="Z85" t="b">
        <v>1</v>
      </c>
      <c r="AA85">
        <v>0.0</v>
      </c>
      <c r="AB85">
        <v>0.0</v>
      </c>
      <c r="AC85">
        <v>0.0</v>
      </c>
      <c r="AD85">
        <v>0.0</v>
      </c>
      <c r="AE85">
        <v>0.0</v>
      </c>
      <c r="AF85">
        <v>0.0</v>
      </c>
      <c r="AG85" t="s">
        <v>1</v>
      </c>
    </row>
    <row r="86">
      <c r="A86" s="820" t="s">
        <v>1</v>
      </c>
      <c r="B86" s="821">
        <v>3.0</v>
      </c>
      <c r="C86" s="822" t="s">
        <v>1280</v>
      </c>
      <c r="D86" s="823" t="s">
        <v>21</v>
      </c>
      <c r="E86" s="823" t="s">
        <v>35</v>
      </c>
      <c r="F86" s="823" t="s">
        <v>77</v>
      </c>
      <c r="G86" s="823">
        <v>0.0</v>
      </c>
      <c r="H86" s="823">
        <v>0.0</v>
      </c>
      <c r="I86" s="823">
        <v>1.0</v>
      </c>
      <c r="J86" s="823">
        <v>1.0</v>
      </c>
      <c r="K86" s="823" t="s">
        <v>188</v>
      </c>
      <c r="L86" s="823" t="s">
        <v>1</v>
      </c>
      <c r="M86" s="822">
        <v>3.0</v>
      </c>
      <c r="N86" s="823">
        <v>2.0</v>
      </c>
      <c r="O86" s="824" t="s">
        <v>1281</v>
      </c>
      <c r="P86" s="808" t="s">
        <v>1</v>
      </c>
      <c r="Q86" s="808">
        <v>3.0</v>
      </c>
      <c r="R86" s="808">
        <v>5.0</v>
      </c>
      <c r="S86" s="808">
        <v>10.0</v>
      </c>
      <c r="T86" s="808">
        <v>3.0</v>
      </c>
      <c r="U86" s="808">
        <v>0.0</v>
      </c>
      <c r="V86" s="808">
        <v>0.0</v>
      </c>
      <c r="W86">
        <v>0.0</v>
      </c>
      <c r="X86">
        <v>0.0</v>
      </c>
      <c r="Y86" t="b">
        <v>1</v>
      </c>
      <c r="Z86" t="b">
        <v>1</v>
      </c>
      <c r="AA86">
        <v>0.0</v>
      </c>
      <c r="AB86">
        <v>0.0</v>
      </c>
      <c r="AC86">
        <v>0.0</v>
      </c>
      <c r="AD86">
        <v>0.0</v>
      </c>
      <c r="AE86">
        <v>0.0</v>
      </c>
      <c r="AF86">
        <v>0.0</v>
      </c>
      <c r="AG86" t="s">
        <v>1</v>
      </c>
    </row>
    <row r="87">
      <c r="A87" s="820" t="s">
        <v>1</v>
      </c>
      <c r="B87" s="821">
        <v>3.0</v>
      </c>
      <c r="C87" s="822" t="s">
        <v>1292</v>
      </c>
      <c r="D87" s="823" t="s">
        <v>21</v>
      </c>
      <c r="E87" s="823" t="s">
        <v>35</v>
      </c>
      <c r="F87" s="823" t="s">
        <v>77</v>
      </c>
      <c r="G87" s="823">
        <v>0.0</v>
      </c>
      <c r="H87" s="823">
        <v>0.0</v>
      </c>
      <c r="I87" s="823">
        <v>1.0</v>
      </c>
      <c r="J87" s="823">
        <v>1.0</v>
      </c>
      <c r="K87" s="823" t="s">
        <v>188</v>
      </c>
      <c r="L87" s="823" t="s">
        <v>1</v>
      </c>
      <c r="M87" s="822">
        <v>2.0</v>
      </c>
      <c r="N87" s="823">
        <v>3.0</v>
      </c>
      <c r="O87" s="824" t="s">
        <v>1293</v>
      </c>
      <c r="P87" s="808" t="s">
        <v>1</v>
      </c>
      <c r="Q87" s="808">
        <v>3.0</v>
      </c>
      <c r="R87" s="808">
        <v>5.0</v>
      </c>
      <c r="S87" s="808">
        <v>10.0</v>
      </c>
      <c r="T87" s="808">
        <v>3.0</v>
      </c>
      <c r="U87" s="808">
        <v>0.0</v>
      </c>
      <c r="V87" s="808">
        <v>0.0</v>
      </c>
      <c r="W87">
        <v>0.0</v>
      </c>
      <c r="X87">
        <v>0.0</v>
      </c>
      <c r="Y87" t="b">
        <v>1</v>
      </c>
      <c r="Z87" t="b">
        <v>1</v>
      </c>
      <c r="AA87">
        <v>0.0</v>
      </c>
      <c r="AB87">
        <v>0.0</v>
      </c>
      <c r="AC87">
        <v>0.0</v>
      </c>
      <c r="AD87">
        <v>0.0</v>
      </c>
      <c r="AE87">
        <v>0.0</v>
      </c>
      <c r="AF87">
        <v>0.0</v>
      </c>
      <c r="AG87" t="s">
        <v>1</v>
      </c>
    </row>
    <row r="88">
      <c r="A88" s="820" t="s">
        <v>1</v>
      </c>
      <c r="B88" s="821">
        <v>4.0</v>
      </c>
      <c r="C88" s="822" t="s">
        <v>1302</v>
      </c>
      <c r="D88" s="823" t="s">
        <v>21</v>
      </c>
      <c r="E88" s="823" t="s">
        <v>35</v>
      </c>
      <c r="F88" s="823" t="s">
        <v>77</v>
      </c>
      <c r="G88" s="823">
        <v>1.0</v>
      </c>
      <c r="H88" s="823">
        <v>0.0</v>
      </c>
      <c r="I88" s="823">
        <v>1.0</v>
      </c>
      <c r="J88" s="823">
        <v>1.0</v>
      </c>
      <c r="K88" s="823" t="s">
        <v>188</v>
      </c>
      <c r="L88" s="823" t="s">
        <v>198</v>
      </c>
      <c r="M88" s="822">
        <v>2.0</v>
      </c>
      <c r="N88" s="823">
        <v>5.0</v>
      </c>
      <c r="O88" s="824" t="s">
        <v>1303</v>
      </c>
      <c r="P88" s="808" t="s">
        <v>1</v>
      </c>
      <c r="Q88" s="808">
        <v>3.0</v>
      </c>
      <c r="R88" s="808">
        <v>5.0</v>
      </c>
      <c r="S88" s="808">
        <v>10.0</v>
      </c>
      <c r="T88" s="808">
        <v>3.0</v>
      </c>
      <c r="U88" s="808">
        <v>1.0</v>
      </c>
      <c r="V88" s="808">
        <v>1.0</v>
      </c>
      <c r="W88">
        <v>0.0</v>
      </c>
      <c r="X88">
        <v>1.0</v>
      </c>
      <c r="Y88" t="b">
        <v>0</v>
      </c>
      <c r="Z88" t="b">
        <v>1</v>
      </c>
      <c r="AA88">
        <v>0.0</v>
      </c>
      <c r="AB88">
        <v>0.0</v>
      </c>
      <c r="AC88">
        <v>1.0</v>
      </c>
      <c r="AD88">
        <v>0.0</v>
      </c>
      <c r="AE88">
        <v>1.0</v>
      </c>
      <c r="AF88">
        <v>0.0</v>
      </c>
      <c r="AG88" t="s">
        <v>1</v>
      </c>
    </row>
    <row r="89">
      <c r="A89" s="820" t="s">
        <v>1</v>
      </c>
      <c r="B89" s="821">
        <v>5.0</v>
      </c>
      <c r="C89" s="822" t="s">
        <v>1319</v>
      </c>
      <c r="D89" s="823" t="s">
        <v>21</v>
      </c>
      <c r="E89" s="823" t="s">
        <v>33</v>
      </c>
      <c r="F89" s="823" t="s">
        <v>77</v>
      </c>
      <c r="G89" s="823">
        <v>0.0</v>
      </c>
      <c r="H89" s="823">
        <v>0.0</v>
      </c>
      <c r="I89" s="823">
        <v>1.0</v>
      </c>
      <c r="J89" s="823">
        <v>1.0</v>
      </c>
      <c r="K89" s="823" t="s">
        <v>188</v>
      </c>
      <c r="L89" s="823" t="s">
        <v>1</v>
      </c>
      <c r="M89" s="822">
        <v>4.0</v>
      </c>
      <c r="N89" s="823">
        <v>4.0</v>
      </c>
      <c r="O89" s="824" t="s">
        <v>1320</v>
      </c>
      <c r="P89" s="808" t="s">
        <v>1</v>
      </c>
      <c r="Q89" s="808">
        <v>3.0</v>
      </c>
      <c r="R89" s="808">
        <v>2.0</v>
      </c>
      <c r="S89" s="808">
        <v>10.0</v>
      </c>
      <c r="T89" s="808">
        <v>3.0</v>
      </c>
      <c r="U89" s="808">
        <v>0.0</v>
      </c>
      <c r="V89" s="808">
        <v>0.0</v>
      </c>
      <c r="W89">
        <v>0.0</v>
      </c>
      <c r="X89">
        <v>0.0</v>
      </c>
      <c r="Y89" t="b">
        <v>1</v>
      </c>
      <c r="Z89" t="b">
        <v>1</v>
      </c>
      <c r="AA89">
        <v>0.0</v>
      </c>
      <c r="AB89">
        <v>0.0</v>
      </c>
      <c r="AC89">
        <v>0.0</v>
      </c>
      <c r="AD89">
        <v>0.0</v>
      </c>
      <c r="AE89">
        <v>0.0</v>
      </c>
      <c r="AF89">
        <v>0.0</v>
      </c>
      <c r="AG89" t="s">
        <v>1</v>
      </c>
    </row>
    <row r="90">
      <c r="A90" s="820" t="s">
        <v>1</v>
      </c>
      <c r="B90" s="821">
        <v>5.0</v>
      </c>
      <c r="C90" s="822" t="s">
        <v>1323</v>
      </c>
      <c r="D90" s="823" t="s">
        <v>21</v>
      </c>
      <c r="E90" s="823" t="s">
        <v>35</v>
      </c>
      <c r="F90" s="823" t="s">
        <v>77</v>
      </c>
      <c r="G90" s="823">
        <v>1.0</v>
      </c>
      <c r="H90" s="823">
        <v>0.0</v>
      </c>
      <c r="I90" s="823">
        <v>1.0</v>
      </c>
      <c r="J90" s="823">
        <v>1.0</v>
      </c>
      <c r="K90" s="823" t="s">
        <v>188</v>
      </c>
      <c r="L90" s="823" t="s">
        <v>1</v>
      </c>
      <c r="M90" s="822">
        <v>3.0</v>
      </c>
      <c r="N90" s="823">
        <v>3.0</v>
      </c>
      <c r="O90" s="824" t="s">
        <v>1324</v>
      </c>
      <c r="P90" s="808" t="s">
        <v>1</v>
      </c>
      <c r="Q90" s="808">
        <v>3.0</v>
      </c>
      <c r="R90" s="808">
        <v>5.0</v>
      </c>
      <c r="S90" s="808">
        <v>10.0</v>
      </c>
      <c r="T90" s="808">
        <v>3.0</v>
      </c>
      <c r="U90" s="808">
        <v>1.0</v>
      </c>
      <c r="V90" s="808">
        <v>1.0</v>
      </c>
      <c r="W90">
        <v>0.0</v>
      </c>
      <c r="X90">
        <v>1.0</v>
      </c>
      <c r="Y90" t="b">
        <v>0</v>
      </c>
      <c r="Z90" t="b">
        <v>1</v>
      </c>
      <c r="AA90">
        <v>0.0</v>
      </c>
      <c r="AB90">
        <v>0.0</v>
      </c>
      <c r="AC90">
        <v>1.0</v>
      </c>
      <c r="AD90">
        <v>0.0</v>
      </c>
      <c r="AE90">
        <v>1.0</v>
      </c>
      <c r="AF90">
        <v>0.0</v>
      </c>
      <c r="AG90" t="s">
        <v>1</v>
      </c>
    </row>
    <row r="91">
      <c r="A91" s="820" t="s">
        <v>1</v>
      </c>
      <c r="B91" s="821">
        <v>5.0</v>
      </c>
      <c r="C91" s="822" t="s">
        <v>1327</v>
      </c>
      <c r="D91" s="823" t="s">
        <v>21</v>
      </c>
      <c r="E91" s="823" t="s">
        <v>35</v>
      </c>
      <c r="F91" s="823" t="s">
        <v>77</v>
      </c>
      <c r="G91" s="823">
        <v>1.0</v>
      </c>
      <c r="H91" s="823">
        <v>0.0</v>
      </c>
      <c r="I91" s="823">
        <v>1.0</v>
      </c>
      <c r="J91" s="823">
        <v>1.0</v>
      </c>
      <c r="K91" s="823" t="s">
        <v>188</v>
      </c>
      <c r="L91" s="823" t="s">
        <v>1</v>
      </c>
      <c r="M91" s="822">
        <v>5.0</v>
      </c>
      <c r="N91" s="823">
        <v>4.0</v>
      </c>
      <c r="O91" s="824" t="s">
        <v>1328</v>
      </c>
      <c r="P91" s="808" t="s">
        <v>1</v>
      </c>
      <c r="Q91" s="808">
        <v>3.0</v>
      </c>
      <c r="R91" s="808">
        <v>5.0</v>
      </c>
      <c r="S91" s="808">
        <v>10.0</v>
      </c>
      <c r="T91" s="808">
        <v>3.0</v>
      </c>
      <c r="U91" s="808">
        <v>1.0</v>
      </c>
      <c r="V91" s="808">
        <v>1.0</v>
      </c>
      <c r="W91">
        <v>0.0</v>
      </c>
      <c r="X91">
        <v>1.0</v>
      </c>
      <c r="Y91" t="b">
        <v>0</v>
      </c>
      <c r="Z91" t="b">
        <v>1</v>
      </c>
      <c r="AA91">
        <v>0.0</v>
      </c>
      <c r="AB91">
        <v>0.0</v>
      </c>
      <c r="AC91">
        <v>1.0</v>
      </c>
      <c r="AD91">
        <v>0.0</v>
      </c>
      <c r="AE91">
        <v>1.0</v>
      </c>
      <c r="AF91">
        <v>0.0</v>
      </c>
      <c r="AG91" t="s">
        <v>1</v>
      </c>
    </row>
    <row r="92">
      <c r="A92" s="820" t="s">
        <v>1</v>
      </c>
      <c r="B92" s="821">
        <v>1.0</v>
      </c>
      <c r="C92" s="822" t="s">
        <v>1342</v>
      </c>
      <c r="D92" s="823" t="s">
        <v>22</v>
      </c>
      <c r="E92" s="823" t="s">
        <v>33</v>
      </c>
      <c r="F92" s="823" t="s">
        <v>77</v>
      </c>
      <c r="G92" s="823">
        <v>0.0</v>
      </c>
      <c r="H92" s="823">
        <v>0.0</v>
      </c>
      <c r="I92" s="823">
        <v>1.0</v>
      </c>
      <c r="J92" s="823">
        <v>1.0</v>
      </c>
      <c r="K92" s="823" t="s">
        <v>188</v>
      </c>
      <c r="L92" s="823" t="s">
        <v>238</v>
      </c>
      <c r="M92" s="822">
        <v>1.0</v>
      </c>
      <c r="N92" s="823">
        <v>2.0</v>
      </c>
      <c r="O92" s="824" t="s">
        <v>1343</v>
      </c>
      <c r="P92" s="808" t="s">
        <v>1</v>
      </c>
      <c r="Q92" s="808">
        <v>4.0</v>
      </c>
      <c r="R92" s="808">
        <v>2.0</v>
      </c>
      <c r="S92" s="808">
        <v>10.0</v>
      </c>
      <c r="T92" s="808">
        <v>3.0</v>
      </c>
      <c r="U92" s="808">
        <v>0.0</v>
      </c>
      <c r="V92" s="808">
        <v>0.0</v>
      </c>
      <c r="W92">
        <v>0.0</v>
      </c>
      <c r="X92">
        <v>0.0</v>
      </c>
      <c r="Y92" t="b">
        <v>1</v>
      </c>
      <c r="Z92" t="b">
        <v>0</v>
      </c>
      <c r="AA92">
        <v>0.0</v>
      </c>
      <c r="AB92">
        <v>0.0</v>
      </c>
      <c r="AC92">
        <v>0.0</v>
      </c>
      <c r="AD92">
        <v>0.0</v>
      </c>
      <c r="AE92">
        <v>0.0</v>
      </c>
      <c r="AF92">
        <v>0.0</v>
      </c>
      <c r="AG92" t="s">
        <v>1</v>
      </c>
    </row>
    <row r="93">
      <c r="A93" s="820" t="s">
        <v>1</v>
      </c>
      <c r="B93" s="821">
        <v>2.0</v>
      </c>
      <c r="C93" s="822" t="s">
        <v>1344</v>
      </c>
      <c r="D93" s="823" t="s">
        <v>22</v>
      </c>
      <c r="E93" s="823" t="s">
        <v>37</v>
      </c>
      <c r="F93" s="823" t="s">
        <v>77</v>
      </c>
      <c r="G93" s="823">
        <v>0.0</v>
      </c>
      <c r="H93" s="823">
        <v>0.0</v>
      </c>
      <c r="I93" s="823">
        <v>1.0</v>
      </c>
      <c r="J93" s="823"/>
      <c r="K93" s="823" t="s">
        <v>188</v>
      </c>
      <c r="L93" s="823" t="s">
        <v>238</v>
      </c>
      <c r="M93" s="822">
        <v>1.0</v>
      </c>
      <c r="N93" s="823">
        <v>1.0</v>
      </c>
      <c r="O93" s="824" t="s">
        <v>1345</v>
      </c>
      <c r="P93" s="808" t="s">
        <v>1</v>
      </c>
      <c r="Q93" s="808">
        <v>4.0</v>
      </c>
      <c r="R93" s="808">
        <v>3.0</v>
      </c>
      <c r="S93" s="808">
        <v>10.0</v>
      </c>
      <c r="T93" s="808">
        <v>3.0</v>
      </c>
      <c r="U93" s="808">
        <v>0.0</v>
      </c>
      <c r="V93" s="808">
        <v>0.0</v>
      </c>
      <c r="W93">
        <v>0.0</v>
      </c>
      <c r="X93">
        <v>0.0</v>
      </c>
      <c r="Y93" t="b">
        <v>1</v>
      </c>
      <c r="Z93" t="b">
        <v>0</v>
      </c>
      <c r="AA93">
        <v>0.0</v>
      </c>
      <c r="AB93">
        <v>1.0</v>
      </c>
      <c r="AC93">
        <v>0.0</v>
      </c>
      <c r="AD93">
        <v>0.0</v>
      </c>
      <c r="AE93">
        <v>0.0</v>
      </c>
      <c r="AF93">
        <v>0.0</v>
      </c>
      <c r="AG93" t="s">
        <v>1</v>
      </c>
    </row>
    <row r="94">
      <c r="A94" s="820" t="s">
        <v>1</v>
      </c>
      <c r="B94" s="821">
        <v>2.0</v>
      </c>
      <c r="C94" s="822" t="s">
        <v>1350</v>
      </c>
      <c r="D94" s="823" t="s">
        <v>22</v>
      </c>
      <c r="E94" s="823" t="s">
        <v>36</v>
      </c>
      <c r="F94" s="823" t="s">
        <v>77</v>
      </c>
      <c r="G94" s="823">
        <v>0.0</v>
      </c>
      <c r="H94" s="823">
        <v>1.0</v>
      </c>
      <c r="I94" s="823">
        <v>1.0</v>
      </c>
      <c r="J94" s="823">
        <v>1.0</v>
      </c>
      <c r="K94" s="823" t="s">
        <v>188</v>
      </c>
      <c r="L94" s="823" t="s">
        <v>1</v>
      </c>
      <c r="M94" s="822">
        <v>2.0</v>
      </c>
      <c r="N94" s="823">
        <v>3.0</v>
      </c>
      <c r="O94" s="824" t="s">
        <v>1351</v>
      </c>
      <c r="P94" s="808" t="s">
        <v>1</v>
      </c>
      <c r="Q94" s="808">
        <v>4.0</v>
      </c>
      <c r="R94" s="808">
        <v>7.0</v>
      </c>
      <c r="S94" s="808">
        <v>10.0</v>
      </c>
      <c r="T94" s="808">
        <v>3.0</v>
      </c>
      <c r="U94" s="808">
        <v>1.0</v>
      </c>
      <c r="V94" s="808">
        <v>1.0</v>
      </c>
      <c r="W94">
        <v>0.0</v>
      </c>
      <c r="X94">
        <v>1.0</v>
      </c>
      <c r="Y94" t="b">
        <v>0</v>
      </c>
      <c r="Z94" t="b">
        <v>0</v>
      </c>
      <c r="AA94">
        <v>0.0</v>
      </c>
      <c r="AB94">
        <v>0.0</v>
      </c>
      <c r="AC94">
        <v>1.0</v>
      </c>
      <c r="AD94">
        <v>1.0</v>
      </c>
      <c r="AE94">
        <v>1.0</v>
      </c>
      <c r="AF94">
        <v>0.0</v>
      </c>
      <c r="AG94" t="s">
        <v>1</v>
      </c>
    </row>
    <row r="95">
      <c r="A95" s="820" t="s">
        <v>1</v>
      </c>
      <c r="B95" s="821">
        <v>2.0</v>
      </c>
      <c r="C95" s="822" t="s">
        <v>1352</v>
      </c>
      <c r="D95" s="823" t="s">
        <v>22</v>
      </c>
      <c r="E95" s="823" t="s">
        <v>35</v>
      </c>
      <c r="F95" s="823" t="s">
        <v>77</v>
      </c>
      <c r="G95" s="823">
        <v>0.0</v>
      </c>
      <c r="H95" s="823">
        <v>0.0</v>
      </c>
      <c r="I95" s="823">
        <v>1.0</v>
      </c>
      <c r="J95" s="823">
        <v>1.0</v>
      </c>
      <c r="K95" s="823" t="s">
        <v>188</v>
      </c>
      <c r="L95" s="823" t="s">
        <v>1</v>
      </c>
      <c r="M95" s="822">
        <v>3.0</v>
      </c>
      <c r="N95" s="823">
        <v>2.0</v>
      </c>
      <c r="O95" s="824" t="s">
        <v>1353</v>
      </c>
      <c r="P95" s="808" t="s">
        <v>1</v>
      </c>
      <c r="Q95" s="808">
        <v>4.0</v>
      </c>
      <c r="R95" s="808">
        <v>5.0</v>
      </c>
      <c r="S95" s="808">
        <v>10.0</v>
      </c>
      <c r="T95" s="808">
        <v>3.0</v>
      </c>
      <c r="U95" s="808">
        <v>0.0</v>
      </c>
      <c r="V95" s="808">
        <v>0.0</v>
      </c>
      <c r="W95">
        <v>0.0</v>
      </c>
      <c r="X95">
        <v>0.0</v>
      </c>
      <c r="Y95" t="b">
        <v>1</v>
      </c>
      <c r="Z95" t="b">
        <v>0</v>
      </c>
      <c r="AA95">
        <v>0.0</v>
      </c>
      <c r="AB95">
        <v>0.0</v>
      </c>
      <c r="AC95">
        <v>0.0</v>
      </c>
      <c r="AD95">
        <v>0.0</v>
      </c>
      <c r="AE95">
        <v>0.0</v>
      </c>
      <c r="AF95">
        <v>0.0</v>
      </c>
      <c r="AG95" t="s">
        <v>1</v>
      </c>
    </row>
    <row r="96">
      <c r="A96" s="820" t="s">
        <v>1</v>
      </c>
      <c r="B96" s="821">
        <v>3.0</v>
      </c>
      <c r="C96" s="822" t="s">
        <v>1354</v>
      </c>
      <c r="D96" s="823" t="s">
        <v>22</v>
      </c>
      <c r="E96" s="823" t="s">
        <v>33</v>
      </c>
      <c r="F96" s="823" t="s">
        <v>77</v>
      </c>
      <c r="G96" s="823">
        <v>1.0</v>
      </c>
      <c r="H96" s="823">
        <v>0.0</v>
      </c>
      <c r="I96" s="823">
        <v>1.0</v>
      </c>
      <c r="J96" s="823">
        <v>1.0</v>
      </c>
      <c r="K96" s="823" t="s">
        <v>188</v>
      </c>
      <c r="L96" s="823" t="s">
        <v>1</v>
      </c>
      <c r="M96" s="822">
        <v>4.0</v>
      </c>
      <c r="N96" s="823">
        <v>2.0</v>
      </c>
      <c r="O96" s="824" t="s">
        <v>1355</v>
      </c>
      <c r="P96" s="808" t="s">
        <v>1</v>
      </c>
      <c r="Q96" s="808">
        <v>4.0</v>
      </c>
      <c r="R96" s="808">
        <v>2.0</v>
      </c>
      <c r="S96" s="808">
        <v>10.0</v>
      </c>
      <c r="T96" s="808">
        <v>3.0</v>
      </c>
      <c r="U96" s="808">
        <v>1.0</v>
      </c>
      <c r="V96" s="808">
        <v>1.0</v>
      </c>
      <c r="W96">
        <v>0.0</v>
      </c>
      <c r="X96">
        <v>1.0</v>
      </c>
      <c r="Y96" t="b">
        <v>0</v>
      </c>
      <c r="Z96" t="b">
        <v>0</v>
      </c>
      <c r="AA96">
        <v>0.0</v>
      </c>
      <c r="AB96">
        <v>0.0</v>
      </c>
      <c r="AC96">
        <v>1.0</v>
      </c>
      <c r="AD96">
        <v>0.0</v>
      </c>
      <c r="AE96">
        <v>1.0</v>
      </c>
      <c r="AF96">
        <v>0.0</v>
      </c>
      <c r="AG96" t="s">
        <v>1</v>
      </c>
    </row>
    <row r="97">
      <c r="A97" s="820" t="s">
        <v>1</v>
      </c>
      <c r="B97" s="821">
        <v>3.0</v>
      </c>
      <c r="C97" s="822" t="s">
        <v>1356</v>
      </c>
      <c r="D97" s="823" t="s">
        <v>22</v>
      </c>
      <c r="E97" s="823" t="s">
        <v>33</v>
      </c>
      <c r="F97" s="823" t="s">
        <v>77</v>
      </c>
      <c r="G97" s="823">
        <v>0.0</v>
      </c>
      <c r="H97" s="823">
        <v>0.0</v>
      </c>
      <c r="I97" s="823">
        <v>1.0</v>
      </c>
      <c r="J97" s="823">
        <v>1.0</v>
      </c>
      <c r="K97" s="823" t="s">
        <v>188</v>
      </c>
      <c r="L97" s="823" t="s">
        <v>1</v>
      </c>
      <c r="M97" s="822">
        <v>3.0</v>
      </c>
      <c r="N97" s="823">
        <v>3.0</v>
      </c>
      <c r="O97" s="824" t="s">
        <v>1357</v>
      </c>
      <c r="P97" s="808" t="s">
        <v>1</v>
      </c>
      <c r="Q97" s="808">
        <v>4.0</v>
      </c>
      <c r="R97" s="808">
        <v>2.0</v>
      </c>
      <c r="S97" s="808">
        <v>10.0</v>
      </c>
      <c r="T97" s="808">
        <v>3.0</v>
      </c>
      <c r="U97" s="808">
        <v>0.0</v>
      </c>
      <c r="V97" s="808">
        <v>0.0</v>
      </c>
      <c r="W97">
        <v>0.0</v>
      </c>
      <c r="X97">
        <v>0.0</v>
      </c>
      <c r="Y97" t="b">
        <v>1</v>
      </c>
      <c r="Z97" t="b">
        <v>0</v>
      </c>
      <c r="AA97">
        <v>0.0</v>
      </c>
      <c r="AB97">
        <v>0.0</v>
      </c>
      <c r="AC97">
        <v>0.0</v>
      </c>
      <c r="AD97">
        <v>0.0</v>
      </c>
      <c r="AE97">
        <v>0.0</v>
      </c>
      <c r="AF97">
        <v>0.0</v>
      </c>
      <c r="AG97" t="s">
        <v>1</v>
      </c>
    </row>
    <row r="98">
      <c r="A98" s="820" t="s">
        <v>1</v>
      </c>
      <c r="B98" s="821">
        <v>3.0</v>
      </c>
      <c r="C98" s="822" t="s">
        <v>1358</v>
      </c>
      <c r="D98" s="823" t="s">
        <v>22</v>
      </c>
      <c r="E98" s="823" t="s">
        <v>35</v>
      </c>
      <c r="F98" s="823" t="s">
        <v>77</v>
      </c>
      <c r="G98" s="823">
        <v>0.0</v>
      </c>
      <c r="H98" s="823">
        <v>0.0</v>
      </c>
      <c r="I98" s="823">
        <v>1.0</v>
      </c>
      <c r="J98" s="823">
        <v>1.0</v>
      </c>
      <c r="K98" s="823" t="s">
        <v>188</v>
      </c>
      <c r="L98" s="823" t="s">
        <v>1</v>
      </c>
      <c r="M98" s="822">
        <v>2.0</v>
      </c>
      <c r="N98" s="823">
        <v>3.0</v>
      </c>
      <c r="O98" s="824" t="s">
        <v>1359</v>
      </c>
      <c r="P98" s="808" t="s">
        <v>1</v>
      </c>
      <c r="Q98" s="808">
        <v>4.0</v>
      </c>
      <c r="R98" s="808">
        <v>5.0</v>
      </c>
      <c r="S98" s="808">
        <v>10.0</v>
      </c>
      <c r="T98" s="808">
        <v>3.0</v>
      </c>
      <c r="U98" s="808">
        <v>0.0</v>
      </c>
      <c r="V98" s="808">
        <v>0.0</v>
      </c>
      <c r="W98">
        <v>0.0</v>
      </c>
      <c r="X98">
        <v>0.0</v>
      </c>
      <c r="Y98" t="b">
        <v>1</v>
      </c>
      <c r="Z98" t="b">
        <v>0</v>
      </c>
      <c r="AA98">
        <v>0.0</v>
      </c>
      <c r="AB98">
        <v>0.0</v>
      </c>
      <c r="AC98">
        <v>0.0</v>
      </c>
      <c r="AD98">
        <v>0.0</v>
      </c>
      <c r="AE98">
        <v>0.0</v>
      </c>
      <c r="AF98">
        <v>0.0</v>
      </c>
      <c r="AG98" t="s">
        <v>1</v>
      </c>
    </row>
    <row r="99">
      <c r="A99" s="820" t="s">
        <v>1</v>
      </c>
      <c r="B99" s="821">
        <v>3.0</v>
      </c>
      <c r="C99" s="822" t="s">
        <v>1360</v>
      </c>
      <c r="D99" s="823" t="s">
        <v>22</v>
      </c>
      <c r="E99" s="823" t="s">
        <v>36</v>
      </c>
      <c r="F99" s="823" t="s">
        <v>77</v>
      </c>
      <c r="G99" s="823">
        <v>0.0</v>
      </c>
      <c r="H99" s="823">
        <v>0.0</v>
      </c>
      <c r="I99" s="823">
        <v>1.0</v>
      </c>
      <c r="J99" s="823">
        <v>1.0</v>
      </c>
      <c r="K99" s="823" t="s">
        <v>188</v>
      </c>
      <c r="L99" s="823" t="s">
        <v>1</v>
      </c>
      <c r="M99" s="822">
        <v>4.0</v>
      </c>
      <c r="N99" s="823">
        <v>2.0</v>
      </c>
      <c r="O99" s="824" t="s">
        <v>1361</v>
      </c>
      <c r="P99" s="808" t="s">
        <v>1</v>
      </c>
      <c r="Q99" s="808">
        <v>4.0</v>
      </c>
      <c r="R99" s="808">
        <v>7.0</v>
      </c>
      <c r="S99" s="808">
        <v>10.0</v>
      </c>
      <c r="T99" s="808">
        <v>3.0</v>
      </c>
      <c r="U99" s="808">
        <v>0.0</v>
      </c>
      <c r="V99" s="808">
        <v>0.0</v>
      </c>
      <c r="W99">
        <v>0.0</v>
      </c>
      <c r="X99">
        <v>0.0</v>
      </c>
      <c r="Y99" t="b">
        <v>1</v>
      </c>
      <c r="Z99" t="b">
        <v>0</v>
      </c>
      <c r="AA99">
        <v>0.0</v>
      </c>
      <c r="AB99">
        <v>0.0</v>
      </c>
      <c r="AC99">
        <v>0.0</v>
      </c>
      <c r="AD99">
        <v>0.0</v>
      </c>
      <c r="AE99">
        <v>0.0</v>
      </c>
      <c r="AF99">
        <v>0.0</v>
      </c>
      <c r="AG99" t="s">
        <v>1</v>
      </c>
    </row>
    <row r="100">
      <c r="A100" s="820" t="s">
        <v>1</v>
      </c>
      <c r="B100" s="821">
        <v>3.0</v>
      </c>
      <c r="C100" s="822" t="s">
        <v>1362</v>
      </c>
      <c r="D100" s="823" t="s">
        <v>22</v>
      </c>
      <c r="E100" s="823" t="s">
        <v>33</v>
      </c>
      <c r="F100" s="823" t="s">
        <v>77</v>
      </c>
      <c r="G100" s="823">
        <v>0.0</v>
      </c>
      <c r="H100" s="823">
        <v>0.0</v>
      </c>
      <c r="I100" s="823">
        <v>1.0</v>
      </c>
      <c r="J100" s="823">
        <v>1.0</v>
      </c>
      <c r="K100" s="823" t="s">
        <v>188</v>
      </c>
      <c r="L100" s="823" t="s">
        <v>498</v>
      </c>
      <c r="M100" s="822">
        <v>3.0</v>
      </c>
      <c r="N100" s="823">
        <v>3.0</v>
      </c>
      <c r="O100" s="824" t="s">
        <v>1363</v>
      </c>
      <c r="P100" s="808" t="s">
        <v>1</v>
      </c>
      <c r="Q100" s="808">
        <v>4.0</v>
      </c>
      <c r="R100" s="808">
        <v>2.0</v>
      </c>
      <c r="S100" s="808">
        <v>10.0</v>
      </c>
      <c r="T100" s="808">
        <v>3.0</v>
      </c>
      <c r="U100" s="808">
        <v>0.0</v>
      </c>
      <c r="V100" s="808">
        <v>0.0</v>
      </c>
      <c r="W100">
        <v>0.0</v>
      </c>
      <c r="X100">
        <v>0.0</v>
      </c>
      <c r="Y100" t="b">
        <v>1</v>
      </c>
      <c r="Z100" t="b">
        <v>0</v>
      </c>
      <c r="AA100">
        <v>0.0</v>
      </c>
      <c r="AB100">
        <v>0.0</v>
      </c>
      <c r="AC100">
        <v>0.0</v>
      </c>
      <c r="AD100">
        <v>0.0</v>
      </c>
      <c r="AE100">
        <v>0.0</v>
      </c>
      <c r="AF100">
        <v>0.0</v>
      </c>
      <c r="AG100" t="s">
        <v>1</v>
      </c>
    </row>
    <row r="101">
      <c r="A101" s="820" t="s">
        <v>1</v>
      </c>
      <c r="B101" s="821">
        <v>3.0</v>
      </c>
      <c r="C101" s="822" t="s">
        <v>1366</v>
      </c>
      <c r="D101" s="823" t="s">
        <v>22</v>
      </c>
      <c r="E101" s="823" t="s">
        <v>33</v>
      </c>
      <c r="F101" s="823" t="s">
        <v>77</v>
      </c>
      <c r="G101" s="823">
        <v>0.0</v>
      </c>
      <c r="H101" s="823">
        <v>0.0</v>
      </c>
      <c r="I101" s="823">
        <v>1.0</v>
      </c>
      <c r="J101" s="823">
        <v>1.0</v>
      </c>
      <c r="K101" s="823" t="s">
        <v>188</v>
      </c>
      <c r="L101" s="823" t="s">
        <v>660</v>
      </c>
      <c r="M101" s="822">
        <v>3.0</v>
      </c>
      <c r="N101" s="823">
        <v>3.0</v>
      </c>
      <c r="O101" s="824" t="s">
        <v>1367</v>
      </c>
      <c r="P101" s="808" t="s">
        <v>1</v>
      </c>
      <c r="Q101" s="808">
        <v>4.0</v>
      </c>
      <c r="R101" s="808">
        <v>2.0</v>
      </c>
      <c r="S101" s="808">
        <v>10.0</v>
      </c>
      <c r="T101" s="808">
        <v>3.0</v>
      </c>
      <c r="U101" s="808">
        <v>0.0</v>
      </c>
      <c r="V101" s="808">
        <v>0.0</v>
      </c>
      <c r="W101">
        <v>0.0</v>
      </c>
      <c r="X101">
        <v>0.0</v>
      </c>
      <c r="Y101" t="b">
        <v>1</v>
      </c>
      <c r="Z101" t="b">
        <v>0</v>
      </c>
      <c r="AA101">
        <v>0.0</v>
      </c>
      <c r="AB101">
        <v>0.0</v>
      </c>
      <c r="AC101">
        <v>0.0</v>
      </c>
      <c r="AD101">
        <v>0.0</v>
      </c>
      <c r="AE101">
        <v>0.0</v>
      </c>
      <c r="AF101">
        <v>0.0</v>
      </c>
      <c r="AG101" t="s">
        <v>1</v>
      </c>
    </row>
    <row r="102">
      <c r="A102" s="820" t="s">
        <v>1</v>
      </c>
      <c r="B102" s="821">
        <v>4.0</v>
      </c>
      <c r="C102" s="822" t="s">
        <v>1368</v>
      </c>
      <c r="D102" s="823" t="s">
        <v>22</v>
      </c>
      <c r="E102" s="823" t="s">
        <v>36</v>
      </c>
      <c r="F102" s="823" t="s">
        <v>77</v>
      </c>
      <c r="G102" s="823">
        <v>0.0</v>
      </c>
      <c r="H102" s="823">
        <v>0.0</v>
      </c>
      <c r="I102" s="823">
        <v>1.0</v>
      </c>
      <c r="J102" s="823">
        <v>1.0</v>
      </c>
      <c r="K102" s="823" t="s">
        <v>188</v>
      </c>
      <c r="L102" s="823" t="s">
        <v>1</v>
      </c>
      <c r="M102" s="822">
        <v>4.0</v>
      </c>
      <c r="N102" s="823">
        <v>4.0</v>
      </c>
      <c r="O102" s="824" t="s">
        <v>1369</v>
      </c>
      <c r="P102" s="808" t="s">
        <v>1</v>
      </c>
      <c r="Q102" s="808">
        <v>4.0</v>
      </c>
      <c r="R102" s="808">
        <v>7.0</v>
      </c>
      <c r="S102" s="808">
        <v>10.0</v>
      </c>
      <c r="T102" s="808">
        <v>3.0</v>
      </c>
      <c r="U102" s="808">
        <v>0.0</v>
      </c>
      <c r="V102" s="808">
        <v>0.0</v>
      </c>
      <c r="W102">
        <v>0.0</v>
      </c>
      <c r="X102">
        <v>0.0</v>
      </c>
      <c r="Y102" t="b">
        <v>1</v>
      </c>
      <c r="Z102" t="b">
        <v>0</v>
      </c>
      <c r="AA102">
        <v>0.0</v>
      </c>
      <c r="AB102">
        <v>0.0</v>
      </c>
      <c r="AC102">
        <v>0.0</v>
      </c>
      <c r="AD102">
        <v>0.0</v>
      </c>
      <c r="AE102">
        <v>0.0</v>
      </c>
      <c r="AF102">
        <v>0.0</v>
      </c>
      <c r="AG102" t="s">
        <v>1</v>
      </c>
    </row>
    <row r="103">
      <c r="A103" s="820" t="s">
        <v>1</v>
      </c>
      <c r="B103" s="821">
        <v>4.0</v>
      </c>
      <c r="C103" s="822" t="s">
        <v>1370</v>
      </c>
      <c r="D103" s="823" t="s">
        <v>22</v>
      </c>
      <c r="E103" s="823" t="s">
        <v>35</v>
      </c>
      <c r="F103" s="823" t="s">
        <v>77</v>
      </c>
      <c r="G103" s="823">
        <v>1.0</v>
      </c>
      <c r="H103" s="823">
        <v>0.0</v>
      </c>
      <c r="I103" s="823">
        <v>1.0</v>
      </c>
      <c r="J103" s="823">
        <v>1.0</v>
      </c>
      <c r="K103" s="823" t="s">
        <v>188</v>
      </c>
      <c r="L103" s="823" t="s">
        <v>198</v>
      </c>
      <c r="M103" s="822">
        <v>3.0</v>
      </c>
      <c r="N103" s="823">
        <v>2.0</v>
      </c>
      <c r="O103" s="824" t="s">
        <v>1371</v>
      </c>
      <c r="P103" s="808" t="s">
        <v>1</v>
      </c>
      <c r="Q103" s="808">
        <v>4.0</v>
      </c>
      <c r="R103" s="808">
        <v>5.0</v>
      </c>
      <c r="S103" s="808">
        <v>10.0</v>
      </c>
      <c r="T103" s="808">
        <v>3.0</v>
      </c>
      <c r="U103" s="808">
        <v>1.0</v>
      </c>
      <c r="V103" s="808">
        <v>1.0</v>
      </c>
      <c r="W103">
        <v>0.0</v>
      </c>
      <c r="X103">
        <v>1.0</v>
      </c>
      <c r="Y103" t="b">
        <v>0</v>
      </c>
      <c r="Z103" t="b">
        <v>0</v>
      </c>
      <c r="AA103">
        <v>0.0</v>
      </c>
      <c r="AB103">
        <v>0.0</v>
      </c>
      <c r="AC103">
        <v>1.0</v>
      </c>
      <c r="AD103">
        <v>0.0</v>
      </c>
      <c r="AE103">
        <v>1.0</v>
      </c>
      <c r="AF103">
        <v>0.0</v>
      </c>
      <c r="AG103" t="s">
        <v>1</v>
      </c>
    </row>
    <row r="104">
      <c r="A104" s="820" t="s">
        <v>1</v>
      </c>
      <c r="B104" s="821">
        <v>4.0</v>
      </c>
      <c r="C104" s="822" t="s">
        <v>1372</v>
      </c>
      <c r="D104" s="823" t="s">
        <v>22</v>
      </c>
      <c r="E104" s="823" t="s">
        <v>35</v>
      </c>
      <c r="F104" s="823" t="s">
        <v>77</v>
      </c>
      <c r="G104" s="823">
        <v>0.0</v>
      </c>
      <c r="H104" s="823">
        <v>0.0</v>
      </c>
      <c r="I104" s="823">
        <v>1.0</v>
      </c>
      <c r="J104" s="823">
        <v>1.0</v>
      </c>
      <c r="K104" s="823" t="s">
        <v>188</v>
      </c>
      <c r="L104" s="823" t="s">
        <v>1</v>
      </c>
      <c r="M104" s="822">
        <v>4.0</v>
      </c>
      <c r="N104" s="823">
        <v>1.0</v>
      </c>
      <c r="O104" s="824" t="s">
        <v>1373</v>
      </c>
      <c r="P104" s="808" t="s">
        <v>1</v>
      </c>
      <c r="Q104" s="808">
        <v>4.0</v>
      </c>
      <c r="R104" s="808">
        <v>5.0</v>
      </c>
      <c r="S104" s="808">
        <v>10.0</v>
      </c>
      <c r="T104" s="808">
        <v>3.0</v>
      </c>
      <c r="U104" s="808">
        <v>0.0</v>
      </c>
      <c r="V104" s="808">
        <v>0.0</v>
      </c>
      <c r="W104">
        <v>0.0</v>
      </c>
      <c r="X104">
        <v>0.0</v>
      </c>
      <c r="Y104" t="b">
        <v>1</v>
      </c>
      <c r="Z104" t="b">
        <v>0</v>
      </c>
      <c r="AA104">
        <v>0.0</v>
      </c>
      <c r="AB104">
        <v>0.0</v>
      </c>
      <c r="AC104">
        <v>0.0</v>
      </c>
      <c r="AD104">
        <v>0.0</v>
      </c>
      <c r="AE104">
        <v>0.0</v>
      </c>
      <c r="AF104">
        <v>0.0</v>
      </c>
      <c r="AG104" t="s">
        <v>1</v>
      </c>
    </row>
    <row r="105">
      <c r="A105" s="820" t="s">
        <v>1</v>
      </c>
      <c r="B105" s="821">
        <v>5.0</v>
      </c>
      <c r="C105" s="822" t="s">
        <v>1375</v>
      </c>
      <c r="D105" s="823" t="s">
        <v>22</v>
      </c>
      <c r="E105" s="823" t="s">
        <v>33</v>
      </c>
      <c r="F105" s="823" t="s">
        <v>77</v>
      </c>
      <c r="G105" s="823">
        <v>1.0</v>
      </c>
      <c r="H105" s="823">
        <v>0.0</v>
      </c>
      <c r="I105" s="823">
        <v>1.0</v>
      </c>
      <c r="J105" s="823">
        <v>1.0</v>
      </c>
      <c r="K105" s="823" t="s">
        <v>188</v>
      </c>
      <c r="L105" s="823" t="s">
        <v>1</v>
      </c>
      <c r="M105" s="822">
        <v>3.0</v>
      </c>
      <c r="N105" s="823">
        <v>3.0</v>
      </c>
      <c r="O105" s="824" t="s">
        <v>1376</v>
      </c>
      <c r="P105" s="808" t="s">
        <v>1</v>
      </c>
      <c r="Q105" s="808">
        <v>4.0</v>
      </c>
      <c r="R105" s="808">
        <v>2.0</v>
      </c>
      <c r="S105" s="808">
        <v>10.0</v>
      </c>
      <c r="T105" s="808">
        <v>3.0</v>
      </c>
      <c r="U105" s="808">
        <v>1.0</v>
      </c>
      <c r="V105" s="808">
        <v>1.0</v>
      </c>
      <c r="W105">
        <v>0.0</v>
      </c>
      <c r="X105">
        <v>1.0</v>
      </c>
      <c r="Y105" t="b">
        <v>0</v>
      </c>
      <c r="Z105" t="b">
        <v>0</v>
      </c>
      <c r="AA105">
        <v>0.0</v>
      </c>
      <c r="AB105">
        <v>0.0</v>
      </c>
      <c r="AC105">
        <v>1.0</v>
      </c>
      <c r="AD105">
        <v>0.0</v>
      </c>
      <c r="AE105">
        <v>1.0</v>
      </c>
      <c r="AF105">
        <v>0.0</v>
      </c>
      <c r="AG105" t="s">
        <v>1</v>
      </c>
    </row>
    <row r="106">
      <c r="A106" s="820" t="s">
        <v>1</v>
      </c>
      <c r="B106" s="821">
        <v>5.0</v>
      </c>
      <c r="C106" s="822" t="s">
        <v>1379</v>
      </c>
      <c r="D106" s="823" t="s">
        <v>22</v>
      </c>
      <c r="E106" s="823" t="s">
        <v>35</v>
      </c>
      <c r="F106" s="823" t="s">
        <v>77</v>
      </c>
      <c r="G106" s="823">
        <v>0.0</v>
      </c>
      <c r="H106" s="823">
        <v>0.0</v>
      </c>
      <c r="I106" s="823">
        <v>1.0</v>
      </c>
      <c r="J106" s="823">
        <v>1.0</v>
      </c>
      <c r="K106" s="823" t="s">
        <v>188</v>
      </c>
      <c r="L106" s="823" t="s">
        <v>198</v>
      </c>
      <c r="M106" s="822">
        <v>1.0</v>
      </c>
      <c r="N106" s="823">
        <v>5.0</v>
      </c>
      <c r="O106" s="824" t="s">
        <v>1380</v>
      </c>
      <c r="P106" s="808" t="s">
        <v>1</v>
      </c>
      <c r="Q106" s="808">
        <v>4.0</v>
      </c>
      <c r="R106" s="808">
        <v>5.0</v>
      </c>
      <c r="S106" s="808">
        <v>10.0</v>
      </c>
      <c r="T106" s="808">
        <v>3.0</v>
      </c>
      <c r="U106" s="808">
        <v>0.0</v>
      </c>
      <c r="V106" s="808">
        <v>0.0</v>
      </c>
      <c r="W106">
        <v>0.0</v>
      </c>
      <c r="X106">
        <v>0.0</v>
      </c>
      <c r="Y106" t="b">
        <v>1</v>
      </c>
      <c r="Z106" t="b">
        <v>0</v>
      </c>
      <c r="AA106">
        <v>0.0</v>
      </c>
      <c r="AB106">
        <v>0.0</v>
      </c>
      <c r="AC106">
        <v>0.0</v>
      </c>
      <c r="AD106">
        <v>0.0</v>
      </c>
      <c r="AE106">
        <v>0.0</v>
      </c>
      <c r="AF106">
        <v>0.0</v>
      </c>
      <c r="AG106" t="s">
        <v>1</v>
      </c>
    </row>
    <row r="107">
      <c r="A107" s="820" t="s">
        <v>1</v>
      </c>
      <c r="B107" s="821">
        <v>5.0</v>
      </c>
      <c r="C107" s="822" t="s">
        <v>1381</v>
      </c>
      <c r="D107" s="823" t="s">
        <v>22</v>
      </c>
      <c r="E107" s="823" t="s">
        <v>36</v>
      </c>
      <c r="F107" s="823" t="s">
        <v>77</v>
      </c>
      <c r="G107" s="823">
        <v>1.0</v>
      </c>
      <c r="H107" s="823">
        <v>0.0</v>
      </c>
      <c r="I107" s="823">
        <v>1.0</v>
      </c>
      <c r="J107" s="823">
        <v>1.0</v>
      </c>
      <c r="K107" s="823" t="s">
        <v>188</v>
      </c>
      <c r="L107" s="823" t="s">
        <v>1</v>
      </c>
      <c r="M107" s="822">
        <v>5.0</v>
      </c>
      <c r="N107" s="823">
        <v>4.0</v>
      </c>
      <c r="O107" s="824" t="s">
        <v>1382</v>
      </c>
      <c r="P107" s="808" t="s">
        <v>1</v>
      </c>
      <c r="Q107" s="808">
        <v>4.0</v>
      </c>
      <c r="R107" s="808">
        <v>7.0</v>
      </c>
      <c r="S107" s="808">
        <v>10.0</v>
      </c>
      <c r="T107" s="808">
        <v>3.0</v>
      </c>
      <c r="U107" s="808">
        <v>1.0</v>
      </c>
      <c r="V107" s="808">
        <v>1.0</v>
      </c>
      <c r="W107">
        <v>0.0</v>
      </c>
      <c r="X107">
        <v>1.0</v>
      </c>
      <c r="Y107" t="b">
        <v>0</v>
      </c>
      <c r="Z107" t="b">
        <v>0</v>
      </c>
      <c r="AA107">
        <v>0.0</v>
      </c>
      <c r="AB107">
        <v>0.0</v>
      </c>
      <c r="AC107">
        <v>1.0</v>
      </c>
      <c r="AD107">
        <v>0.0</v>
      </c>
      <c r="AE107">
        <v>1.0</v>
      </c>
      <c r="AF107">
        <v>0.0</v>
      </c>
      <c r="AG107" t="s">
        <v>1</v>
      </c>
    </row>
    <row r="108">
      <c r="A108" s="820" t="s">
        <v>1</v>
      </c>
      <c r="B108" s="821">
        <v>6.0</v>
      </c>
      <c r="C108" s="822" t="s">
        <v>1383</v>
      </c>
      <c r="D108" s="823" t="s">
        <v>22</v>
      </c>
      <c r="E108" s="823" t="s">
        <v>36</v>
      </c>
      <c r="F108" s="823" t="s">
        <v>77</v>
      </c>
      <c r="G108" s="823">
        <v>0.0</v>
      </c>
      <c r="H108" s="823">
        <v>0.0</v>
      </c>
      <c r="I108" s="823">
        <v>1.0</v>
      </c>
      <c r="J108" s="823">
        <v>1.0</v>
      </c>
      <c r="K108" s="823" t="s">
        <v>188</v>
      </c>
      <c r="L108" s="823" t="s">
        <v>1</v>
      </c>
      <c r="M108" s="822">
        <v>5.0</v>
      </c>
      <c r="N108" s="823">
        <v>5.0</v>
      </c>
      <c r="O108" s="824" t="s">
        <v>1384</v>
      </c>
      <c r="P108" s="808" t="s">
        <v>1</v>
      </c>
      <c r="Q108" s="808">
        <v>4.0</v>
      </c>
      <c r="R108" s="808">
        <v>7.0</v>
      </c>
      <c r="S108" s="808">
        <v>10.0</v>
      </c>
      <c r="T108" s="808">
        <v>3.0</v>
      </c>
      <c r="U108" s="808">
        <v>0.0</v>
      </c>
      <c r="V108" s="808">
        <v>0.0</v>
      </c>
      <c r="W108">
        <v>0.0</v>
      </c>
      <c r="X108">
        <v>0.0</v>
      </c>
      <c r="Y108" t="b">
        <v>1</v>
      </c>
      <c r="Z108" t="b">
        <v>0</v>
      </c>
      <c r="AA108">
        <v>0.0</v>
      </c>
      <c r="AB108">
        <v>0.0</v>
      </c>
      <c r="AC108">
        <v>0.0</v>
      </c>
      <c r="AD108">
        <v>0.0</v>
      </c>
      <c r="AE108">
        <v>0.0</v>
      </c>
      <c r="AF108">
        <v>0.0</v>
      </c>
      <c r="AG108" t="s">
        <v>1</v>
      </c>
    </row>
    <row r="109">
      <c r="A109" s="820" t="s">
        <v>1</v>
      </c>
      <c r="B109" s="821">
        <v>6.0</v>
      </c>
      <c r="C109" s="822" t="s">
        <v>1385</v>
      </c>
      <c r="D109" s="823" t="s">
        <v>22</v>
      </c>
      <c r="E109" s="823" t="s">
        <v>36</v>
      </c>
      <c r="F109" s="823" t="s">
        <v>77</v>
      </c>
      <c r="G109" s="823">
        <v>0.0</v>
      </c>
      <c r="H109" s="823">
        <v>0.0</v>
      </c>
      <c r="I109" s="823">
        <v>1.0</v>
      </c>
      <c r="J109" s="823">
        <v>1.0</v>
      </c>
      <c r="K109" s="823" t="s">
        <v>188</v>
      </c>
      <c r="L109" s="823" t="s">
        <v>1</v>
      </c>
      <c r="M109" s="822">
        <v>3.0</v>
      </c>
      <c r="N109" s="823">
        <v>5.0</v>
      </c>
      <c r="O109" s="824" t="s">
        <v>1386</v>
      </c>
      <c r="P109" s="808" t="s">
        <v>1</v>
      </c>
      <c r="Q109" s="808">
        <v>4.0</v>
      </c>
      <c r="R109" s="808">
        <v>7.0</v>
      </c>
      <c r="S109" s="808">
        <v>10.0</v>
      </c>
      <c r="T109" s="808">
        <v>3.0</v>
      </c>
      <c r="U109" s="808">
        <v>0.0</v>
      </c>
      <c r="V109" s="808">
        <v>0.0</v>
      </c>
      <c r="W109">
        <v>0.0</v>
      </c>
      <c r="X109">
        <v>0.0</v>
      </c>
      <c r="Y109" t="b">
        <v>1</v>
      </c>
      <c r="Z109" t="b">
        <v>0</v>
      </c>
      <c r="AA109">
        <v>0.0</v>
      </c>
      <c r="AB109">
        <v>0.0</v>
      </c>
      <c r="AC109">
        <v>0.0</v>
      </c>
      <c r="AD109">
        <v>0.0</v>
      </c>
      <c r="AE109">
        <v>0.0</v>
      </c>
      <c r="AF109">
        <v>0.0</v>
      </c>
      <c r="AG109" t="s">
        <v>1</v>
      </c>
    </row>
    <row r="110">
      <c r="A110" s="820" t="s">
        <v>1</v>
      </c>
      <c r="B110" s="821">
        <v>6.0</v>
      </c>
      <c r="C110" s="822" t="s">
        <v>1387</v>
      </c>
      <c r="D110" s="823" t="s">
        <v>22</v>
      </c>
      <c r="E110" s="823" t="s">
        <v>35</v>
      </c>
      <c r="F110" s="823" t="s">
        <v>77</v>
      </c>
      <c r="G110" s="823">
        <v>1.0</v>
      </c>
      <c r="H110" s="823">
        <v>0.0</v>
      </c>
      <c r="I110" s="823">
        <v>1.0</v>
      </c>
      <c r="J110" s="823">
        <v>1.0</v>
      </c>
      <c r="K110" s="823" t="s">
        <v>188</v>
      </c>
      <c r="L110" s="823" t="s">
        <v>198</v>
      </c>
      <c r="M110" s="822">
        <v>6.0</v>
      </c>
      <c r="N110" s="823">
        <v>4.0</v>
      </c>
      <c r="O110" s="824" t="s">
        <v>1388</v>
      </c>
      <c r="P110" s="808" t="s">
        <v>1</v>
      </c>
      <c r="Q110" s="808">
        <v>4.0</v>
      </c>
      <c r="R110" s="808">
        <v>5.0</v>
      </c>
      <c r="S110" s="808">
        <v>10.0</v>
      </c>
      <c r="T110" s="808">
        <v>3.0</v>
      </c>
      <c r="U110" s="808">
        <v>1.0</v>
      </c>
      <c r="V110" s="808">
        <v>1.0</v>
      </c>
      <c r="W110">
        <v>0.0</v>
      </c>
      <c r="X110">
        <v>1.0</v>
      </c>
      <c r="Y110" t="b">
        <v>0</v>
      </c>
      <c r="Z110" t="b">
        <v>0</v>
      </c>
      <c r="AA110">
        <v>0.0</v>
      </c>
      <c r="AB110">
        <v>0.0</v>
      </c>
      <c r="AC110">
        <v>1.0</v>
      </c>
      <c r="AD110">
        <v>0.0</v>
      </c>
      <c r="AE110">
        <v>1.0</v>
      </c>
      <c r="AF110">
        <v>0.0</v>
      </c>
      <c r="AG110" t="s">
        <v>1</v>
      </c>
    </row>
    <row r="111">
      <c r="A111" s="820" t="s">
        <v>1</v>
      </c>
      <c r="B111" s="821">
        <v>6.0</v>
      </c>
      <c r="C111" s="822" t="s">
        <v>1389</v>
      </c>
      <c r="D111" s="823" t="s">
        <v>22</v>
      </c>
      <c r="E111" s="823" t="s">
        <v>36</v>
      </c>
      <c r="F111" s="823" t="s">
        <v>77</v>
      </c>
      <c r="G111" s="823">
        <v>1.0</v>
      </c>
      <c r="H111" s="823">
        <v>0.0</v>
      </c>
      <c r="I111" s="823">
        <v>1.0</v>
      </c>
      <c r="J111" s="823">
        <v>1.0</v>
      </c>
      <c r="K111" s="823" t="s">
        <v>188</v>
      </c>
      <c r="L111" s="823" t="s">
        <v>1</v>
      </c>
      <c r="M111" s="822">
        <v>6.0</v>
      </c>
      <c r="N111" s="823">
        <v>5.0</v>
      </c>
      <c r="O111" s="824" t="s">
        <v>1390</v>
      </c>
      <c r="P111" s="808" t="s">
        <v>1</v>
      </c>
      <c r="Q111" s="808">
        <v>4.0</v>
      </c>
      <c r="R111" s="808">
        <v>7.0</v>
      </c>
      <c r="S111" s="808">
        <v>10.0</v>
      </c>
      <c r="T111" s="808">
        <v>3.0</v>
      </c>
      <c r="U111" s="808">
        <v>1.0</v>
      </c>
      <c r="V111" s="808">
        <v>1.0</v>
      </c>
      <c r="W111">
        <v>0.0</v>
      </c>
      <c r="X111">
        <v>1.0</v>
      </c>
      <c r="Y111" t="b">
        <v>0</v>
      </c>
      <c r="Z111" t="b">
        <v>0</v>
      </c>
      <c r="AA111">
        <v>0.0</v>
      </c>
      <c r="AB111">
        <v>0.0</v>
      </c>
      <c r="AC111">
        <v>1.0</v>
      </c>
      <c r="AD111">
        <v>0.0</v>
      </c>
      <c r="AE111">
        <v>1.0</v>
      </c>
      <c r="AF111">
        <v>0.0</v>
      </c>
      <c r="AG111" t="s">
        <v>1</v>
      </c>
    </row>
    <row r="112">
      <c r="A112" s="820" t="s">
        <v>1</v>
      </c>
      <c r="B112" s="821">
        <v>10.0</v>
      </c>
      <c r="C112" s="822" t="s">
        <v>1393</v>
      </c>
      <c r="D112" s="823" t="s">
        <v>22</v>
      </c>
      <c r="E112" s="823" t="s">
        <v>33</v>
      </c>
      <c r="F112" s="823" t="s">
        <v>77</v>
      </c>
      <c r="G112" s="823">
        <v>1.0</v>
      </c>
      <c r="H112" s="823">
        <v>0.0</v>
      </c>
      <c r="I112" s="823">
        <v>1.0</v>
      </c>
      <c r="J112" s="823">
        <v>1.0</v>
      </c>
      <c r="K112" s="823" t="s">
        <v>188</v>
      </c>
      <c r="L112" s="823" t="s">
        <v>1</v>
      </c>
      <c r="M112" s="822">
        <v>8.0</v>
      </c>
      <c r="N112" s="823">
        <v>8.0</v>
      </c>
      <c r="O112" s="824" t="s">
        <v>1394</v>
      </c>
      <c r="P112" s="808" t="s">
        <v>1</v>
      </c>
      <c r="Q112" s="808">
        <v>4.0</v>
      </c>
      <c r="R112" s="808">
        <v>2.0</v>
      </c>
      <c r="S112" s="808">
        <v>10.0</v>
      </c>
      <c r="T112" s="808">
        <v>3.0</v>
      </c>
      <c r="U112" s="808">
        <v>1.0</v>
      </c>
      <c r="V112" s="808">
        <v>1.0</v>
      </c>
      <c r="W112">
        <v>0.0</v>
      </c>
      <c r="X112">
        <v>1.0</v>
      </c>
      <c r="Y112" t="b">
        <v>0</v>
      </c>
      <c r="Z112" t="b">
        <v>0</v>
      </c>
      <c r="AA112">
        <v>0.0</v>
      </c>
      <c r="AB112">
        <v>0.0</v>
      </c>
      <c r="AC112">
        <v>1.0</v>
      </c>
      <c r="AD112">
        <v>0.0</v>
      </c>
      <c r="AE112">
        <v>1.0</v>
      </c>
      <c r="AF112">
        <v>0.0</v>
      </c>
      <c r="AG112" t="s">
        <v>1</v>
      </c>
    </row>
    <row r="113">
      <c r="A113" s="820" t="s">
        <v>1</v>
      </c>
      <c r="B113" s="821">
        <v>12.0</v>
      </c>
      <c r="C113" s="822" t="s">
        <v>1395</v>
      </c>
      <c r="D113" s="823" t="s">
        <v>22</v>
      </c>
      <c r="E113" s="823" t="s">
        <v>35</v>
      </c>
      <c r="F113" s="823" t="s">
        <v>77</v>
      </c>
      <c r="G113" s="823">
        <v>0.0</v>
      </c>
      <c r="H113" s="823">
        <v>0.0</v>
      </c>
      <c r="I113" s="823">
        <v>1.0</v>
      </c>
      <c r="J113" s="823">
        <v>1.0</v>
      </c>
      <c r="K113" s="823" t="s">
        <v>188</v>
      </c>
      <c r="L113" s="823" t="s">
        <v>198</v>
      </c>
      <c r="M113" s="822">
        <v>8.0</v>
      </c>
      <c r="N113" s="823">
        <v>8.0</v>
      </c>
      <c r="O113" s="824" t="s">
        <v>1396</v>
      </c>
      <c r="P113" s="808" t="s">
        <v>1</v>
      </c>
      <c r="Q113" s="808">
        <v>4.0</v>
      </c>
      <c r="R113" s="808">
        <v>5.0</v>
      </c>
      <c r="S113" s="808">
        <v>10.0</v>
      </c>
      <c r="T113" s="808">
        <v>3.0</v>
      </c>
      <c r="U113" s="808">
        <v>0.0</v>
      </c>
      <c r="V113" s="808">
        <v>0.0</v>
      </c>
      <c r="W113">
        <v>0.0</v>
      </c>
      <c r="X113">
        <v>0.0</v>
      </c>
      <c r="Y113" t="b">
        <v>1</v>
      </c>
      <c r="Z113" t="b">
        <v>0</v>
      </c>
      <c r="AA113">
        <v>0.0</v>
      </c>
      <c r="AB113">
        <v>0.0</v>
      </c>
      <c r="AC113">
        <v>0.0</v>
      </c>
      <c r="AD113">
        <v>0.0</v>
      </c>
      <c r="AE113">
        <v>0.0</v>
      </c>
      <c r="AF113">
        <v>0.0</v>
      </c>
      <c r="AG113" t="s">
        <v>1</v>
      </c>
    </row>
    <row r="114">
      <c r="A114" s="820" t="s">
        <v>1</v>
      </c>
      <c r="B114" s="821">
        <v>2.0</v>
      </c>
      <c r="C114" s="822" t="s">
        <v>1403</v>
      </c>
      <c r="D114" s="823" t="s">
        <v>23</v>
      </c>
      <c r="E114" s="823" t="s">
        <v>33</v>
      </c>
      <c r="F114" s="823" t="s">
        <v>77</v>
      </c>
      <c r="G114" s="823">
        <v>0.0</v>
      </c>
      <c r="H114" s="823">
        <v>0.0</v>
      </c>
      <c r="I114" s="823">
        <v>1.0</v>
      </c>
      <c r="J114" s="823"/>
      <c r="K114" s="823" t="s">
        <v>188</v>
      </c>
      <c r="L114" s="823" t="s">
        <v>1</v>
      </c>
      <c r="M114" s="822">
        <v>0.0</v>
      </c>
      <c r="N114" s="823">
        <v>4.0</v>
      </c>
      <c r="O114" s="824" t="s">
        <v>1404</v>
      </c>
      <c r="P114" s="808" t="s">
        <v>1</v>
      </c>
      <c r="Q114" s="808">
        <v>5.0</v>
      </c>
      <c r="R114" s="808">
        <v>2.0</v>
      </c>
      <c r="S114" s="808">
        <v>10.0</v>
      </c>
      <c r="T114" s="808">
        <v>3.0</v>
      </c>
      <c r="U114" s="808">
        <v>0.0</v>
      </c>
      <c r="V114" s="808">
        <v>0.0</v>
      </c>
      <c r="W114">
        <v>0.0</v>
      </c>
      <c r="X114">
        <v>1.0</v>
      </c>
      <c r="Y114" t="b">
        <v>1</v>
      </c>
      <c r="Z114" t="b">
        <v>1</v>
      </c>
      <c r="AA114">
        <v>0.0</v>
      </c>
      <c r="AB114">
        <v>1.0</v>
      </c>
      <c r="AC114">
        <v>1.0</v>
      </c>
      <c r="AD114">
        <v>0.0</v>
      </c>
      <c r="AE114">
        <v>0.0</v>
      </c>
      <c r="AF114">
        <v>0.0</v>
      </c>
      <c r="AG114" t="s">
        <v>1</v>
      </c>
    </row>
    <row r="115">
      <c r="A115" s="820" t="s">
        <v>1</v>
      </c>
      <c r="B115" s="821">
        <v>2.0</v>
      </c>
      <c r="C115" s="822" t="s">
        <v>1405</v>
      </c>
      <c r="D115" s="823" t="s">
        <v>23</v>
      </c>
      <c r="E115" s="823" t="s">
        <v>33</v>
      </c>
      <c r="F115" s="823" t="s">
        <v>77</v>
      </c>
      <c r="G115" s="823">
        <v>0.0</v>
      </c>
      <c r="H115" s="823">
        <v>0.0</v>
      </c>
      <c r="I115" s="823">
        <v>1.0</v>
      </c>
      <c r="J115" s="823"/>
      <c r="K115" s="823" t="s">
        <v>188</v>
      </c>
      <c r="L115" s="823" t="s">
        <v>1</v>
      </c>
      <c r="M115" s="822">
        <v>4.0</v>
      </c>
      <c r="N115" s="823">
        <v>4.0</v>
      </c>
      <c r="O115" s="824" t="s">
        <v>1406</v>
      </c>
      <c r="P115" s="808" t="s">
        <v>1</v>
      </c>
      <c r="Q115" s="808">
        <v>5.0</v>
      </c>
      <c r="R115" s="808">
        <v>2.0</v>
      </c>
      <c r="S115" s="808">
        <v>10.0</v>
      </c>
      <c r="T115" s="808">
        <v>3.0</v>
      </c>
      <c r="U115" s="808">
        <v>0.0</v>
      </c>
      <c r="V115" s="808">
        <v>0.0</v>
      </c>
      <c r="W115">
        <v>0.0</v>
      </c>
      <c r="X115">
        <v>1.0</v>
      </c>
      <c r="Y115" t="b">
        <v>1</v>
      </c>
      <c r="Z115" t="b">
        <v>1</v>
      </c>
      <c r="AA115">
        <v>0.0</v>
      </c>
      <c r="AB115">
        <v>1.0</v>
      </c>
      <c r="AC115">
        <v>1.0</v>
      </c>
      <c r="AD115">
        <v>0.0</v>
      </c>
      <c r="AE115">
        <v>0.0</v>
      </c>
      <c r="AF115">
        <v>0.0</v>
      </c>
      <c r="AG115" t="s">
        <v>1</v>
      </c>
    </row>
    <row r="116">
      <c r="A116" s="820" t="s">
        <v>1</v>
      </c>
      <c r="B116" s="821">
        <v>2.0</v>
      </c>
      <c r="C116" s="822" t="s">
        <v>1407</v>
      </c>
      <c r="D116" s="823" t="s">
        <v>23</v>
      </c>
      <c r="E116" s="823" t="s">
        <v>33</v>
      </c>
      <c r="F116" s="823" t="s">
        <v>77</v>
      </c>
      <c r="G116" s="823">
        <v>0.0</v>
      </c>
      <c r="H116" s="823">
        <v>0.0</v>
      </c>
      <c r="I116" s="823">
        <v>1.0</v>
      </c>
      <c r="J116" s="823"/>
      <c r="K116" s="823" t="s">
        <v>188</v>
      </c>
      <c r="L116" s="823" t="s">
        <v>1</v>
      </c>
      <c r="M116" s="822">
        <v>0.0</v>
      </c>
      <c r="N116" s="823">
        <v>4.0</v>
      </c>
      <c r="O116" s="824" t="s">
        <v>1408</v>
      </c>
      <c r="P116" s="808" t="s">
        <v>1</v>
      </c>
      <c r="Q116" s="808">
        <v>5.0</v>
      </c>
      <c r="R116" s="808">
        <v>2.0</v>
      </c>
      <c r="S116" s="808">
        <v>10.0</v>
      </c>
      <c r="T116" s="808">
        <v>3.0</v>
      </c>
      <c r="U116" s="808">
        <v>0.0</v>
      </c>
      <c r="V116" s="808">
        <v>0.0</v>
      </c>
      <c r="W116">
        <v>0.0</v>
      </c>
      <c r="X116">
        <v>1.0</v>
      </c>
      <c r="Y116" t="b">
        <v>1</v>
      </c>
      <c r="Z116" t="b">
        <v>1</v>
      </c>
      <c r="AA116">
        <v>0.0</v>
      </c>
      <c r="AB116">
        <v>1.0</v>
      </c>
      <c r="AC116">
        <v>1.0</v>
      </c>
      <c r="AD116">
        <v>0.0</v>
      </c>
      <c r="AE116">
        <v>0.0</v>
      </c>
      <c r="AF116">
        <v>0.0</v>
      </c>
      <c r="AG116" t="s">
        <v>1</v>
      </c>
    </row>
    <row r="117">
      <c r="A117" s="820" t="s">
        <v>1</v>
      </c>
      <c r="B117" s="821">
        <v>3.0</v>
      </c>
      <c r="C117" s="822" t="s">
        <v>1409</v>
      </c>
      <c r="D117" s="823" t="s">
        <v>23</v>
      </c>
      <c r="E117" s="823" t="s">
        <v>36</v>
      </c>
      <c r="F117" s="823" t="s">
        <v>77</v>
      </c>
      <c r="G117" s="823">
        <v>0.0</v>
      </c>
      <c r="H117" s="823">
        <v>0.0</v>
      </c>
      <c r="I117" s="823">
        <v>1.0</v>
      </c>
      <c r="J117" s="823">
        <v>1.0</v>
      </c>
      <c r="K117" s="823" t="s">
        <v>188</v>
      </c>
      <c r="L117" s="823" t="s">
        <v>1</v>
      </c>
      <c r="M117" s="822">
        <v>3.0</v>
      </c>
      <c r="N117" s="823">
        <v>4.0</v>
      </c>
      <c r="O117" s="824" t="s">
        <v>1410</v>
      </c>
      <c r="P117" s="808" t="s">
        <v>1</v>
      </c>
      <c r="Q117" s="808">
        <v>5.0</v>
      </c>
      <c r="R117" s="808">
        <v>7.0</v>
      </c>
      <c r="S117" s="808">
        <v>10.0</v>
      </c>
      <c r="T117" s="808">
        <v>3.0</v>
      </c>
      <c r="U117" s="808">
        <v>0.0</v>
      </c>
      <c r="V117" s="808">
        <v>0.0</v>
      </c>
      <c r="W117">
        <v>0.0</v>
      </c>
      <c r="X117">
        <v>1.0</v>
      </c>
      <c r="Y117" t="b">
        <v>1</v>
      </c>
      <c r="Z117" t="b">
        <v>1</v>
      </c>
      <c r="AA117">
        <v>0.0</v>
      </c>
      <c r="AB117">
        <v>0.0</v>
      </c>
      <c r="AC117">
        <v>0.0</v>
      </c>
      <c r="AD117">
        <v>0.0</v>
      </c>
      <c r="AE117">
        <v>0.0</v>
      </c>
      <c r="AF117">
        <v>0.0</v>
      </c>
      <c r="AG117" t="s">
        <v>1</v>
      </c>
    </row>
    <row r="118">
      <c r="A118" s="820" t="s">
        <v>1</v>
      </c>
      <c r="B118" s="821">
        <v>3.0</v>
      </c>
      <c r="C118" s="822" t="s">
        <v>1411</v>
      </c>
      <c r="D118" s="823" t="s">
        <v>23</v>
      </c>
      <c r="E118" s="823" t="s">
        <v>36</v>
      </c>
      <c r="F118" s="823" t="s">
        <v>77</v>
      </c>
      <c r="G118" s="823">
        <v>0.0</v>
      </c>
      <c r="H118" s="823">
        <v>0.0</v>
      </c>
      <c r="I118" s="823">
        <v>1.0</v>
      </c>
      <c r="J118" s="823">
        <v>1.0</v>
      </c>
      <c r="K118" s="823" t="s">
        <v>188</v>
      </c>
      <c r="L118" s="823" t="s">
        <v>1</v>
      </c>
      <c r="M118" s="822">
        <v>3.0</v>
      </c>
      <c r="N118" s="823">
        <v>4.0</v>
      </c>
      <c r="O118" s="824" t="s">
        <v>1412</v>
      </c>
      <c r="P118" s="808" t="s">
        <v>1</v>
      </c>
      <c r="Q118" s="808">
        <v>5.0</v>
      </c>
      <c r="R118" s="808">
        <v>7.0</v>
      </c>
      <c r="S118" s="808">
        <v>10.0</v>
      </c>
      <c r="T118" s="808">
        <v>3.0</v>
      </c>
      <c r="U118" s="808">
        <v>0.0</v>
      </c>
      <c r="V118" s="808">
        <v>0.0</v>
      </c>
      <c r="W118">
        <v>0.0</v>
      </c>
      <c r="X118">
        <v>1.0</v>
      </c>
      <c r="Y118" t="b">
        <v>1</v>
      </c>
      <c r="Z118" t="b">
        <v>1</v>
      </c>
      <c r="AA118">
        <v>0.0</v>
      </c>
      <c r="AB118">
        <v>0.0</v>
      </c>
      <c r="AC118">
        <v>0.0</v>
      </c>
      <c r="AD118">
        <v>0.0</v>
      </c>
      <c r="AE118">
        <v>0.0</v>
      </c>
      <c r="AF118">
        <v>0.0</v>
      </c>
      <c r="AG118" t="s">
        <v>1</v>
      </c>
    </row>
    <row r="119">
      <c r="A119" s="820" t="s">
        <v>1</v>
      </c>
      <c r="B119" s="821">
        <v>3.0</v>
      </c>
      <c r="C119" s="822" t="s">
        <v>1415</v>
      </c>
      <c r="D119" s="823" t="s">
        <v>23</v>
      </c>
      <c r="E119" s="823" t="s">
        <v>33</v>
      </c>
      <c r="F119" s="823" t="s">
        <v>77</v>
      </c>
      <c r="G119" s="823">
        <v>0.0</v>
      </c>
      <c r="H119" s="823">
        <v>0.0</v>
      </c>
      <c r="I119" s="823">
        <v>0.2</v>
      </c>
      <c r="J119" s="823"/>
      <c r="K119" s="823" t="s">
        <v>188</v>
      </c>
      <c r="L119" s="823" t="s">
        <v>1</v>
      </c>
      <c r="M119" s="822">
        <v>3.0</v>
      </c>
      <c r="N119" s="823">
        <v>3.0</v>
      </c>
      <c r="O119" s="824" t="s">
        <v>1416</v>
      </c>
      <c r="P119" s="808" t="s">
        <v>1</v>
      </c>
      <c r="Q119" s="808">
        <v>5.0</v>
      </c>
      <c r="R119" s="808">
        <v>2.0</v>
      </c>
      <c r="S119" s="808">
        <v>10.0</v>
      </c>
      <c r="T119" s="808">
        <v>3.0</v>
      </c>
      <c r="U119" s="808">
        <v>0.0</v>
      </c>
      <c r="V119" s="808">
        <v>0.0</v>
      </c>
      <c r="W119">
        <v>0.0</v>
      </c>
      <c r="X119">
        <v>1.0</v>
      </c>
      <c r="Y119" t="b">
        <v>1</v>
      </c>
      <c r="Z119" t="b">
        <v>1</v>
      </c>
      <c r="AA119">
        <v>0.8</v>
      </c>
      <c r="AB119">
        <v>1.0</v>
      </c>
      <c r="AC119">
        <v>1.8</v>
      </c>
      <c r="AD119">
        <v>0.0</v>
      </c>
      <c r="AE119">
        <v>0.0</v>
      </c>
      <c r="AF119">
        <v>0.0</v>
      </c>
      <c r="AG119" t="s">
        <v>1</v>
      </c>
    </row>
    <row r="120">
      <c r="A120" s="820" t="s">
        <v>1</v>
      </c>
      <c r="B120" s="821">
        <v>4.0</v>
      </c>
      <c r="C120" s="822" t="s">
        <v>1419</v>
      </c>
      <c r="D120" s="823" t="s">
        <v>23</v>
      </c>
      <c r="E120" s="823" t="s">
        <v>36</v>
      </c>
      <c r="F120" s="823" t="s">
        <v>77</v>
      </c>
      <c r="G120" s="823">
        <v>0.0</v>
      </c>
      <c r="H120" s="823">
        <v>0.0</v>
      </c>
      <c r="I120" s="823">
        <v>1.0</v>
      </c>
      <c r="J120" s="823">
        <v>1.0</v>
      </c>
      <c r="K120" s="823" t="s">
        <v>188</v>
      </c>
      <c r="L120" s="823" t="s">
        <v>1</v>
      </c>
      <c r="M120" s="822">
        <v>4.0</v>
      </c>
      <c r="N120" s="823">
        <v>4.0</v>
      </c>
      <c r="O120" s="824" t="s">
        <v>1420</v>
      </c>
      <c r="P120" s="808" t="s">
        <v>1</v>
      </c>
      <c r="Q120" s="808">
        <v>5.0</v>
      </c>
      <c r="R120" s="808">
        <v>7.0</v>
      </c>
      <c r="S120" s="808">
        <v>10.0</v>
      </c>
      <c r="T120" s="808">
        <v>3.0</v>
      </c>
      <c r="U120" s="808">
        <v>0.0</v>
      </c>
      <c r="V120" s="808">
        <v>0.0</v>
      </c>
      <c r="W120">
        <v>0.0</v>
      </c>
      <c r="X120">
        <v>1.0</v>
      </c>
      <c r="Y120" t="b">
        <v>1</v>
      </c>
      <c r="Z120" t="b">
        <v>1</v>
      </c>
      <c r="AA120">
        <v>0.0</v>
      </c>
      <c r="AB120">
        <v>0.0</v>
      </c>
      <c r="AC120">
        <v>0.0</v>
      </c>
      <c r="AD120">
        <v>0.0</v>
      </c>
      <c r="AE120">
        <v>0.0</v>
      </c>
      <c r="AF120">
        <v>0.0</v>
      </c>
      <c r="AG120" t="s">
        <v>1</v>
      </c>
    </row>
    <row r="121">
      <c r="A121" s="820" t="s">
        <v>1</v>
      </c>
      <c r="B121" s="821">
        <v>4.0</v>
      </c>
      <c r="C121" s="822" t="s">
        <v>1421</v>
      </c>
      <c r="D121" s="823" t="s">
        <v>23</v>
      </c>
      <c r="E121" s="823" t="s">
        <v>37</v>
      </c>
      <c r="F121" s="823" t="s">
        <v>77</v>
      </c>
      <c r="G121" s="823">
        <v>0.0</v>
      </c>
      <c r="H121" s="823">
        <v>0.0</v>
      </c>
      <c r="I121" s="823">
        <v>1.0</v>
      </c>
      <c r="J121" s="823"/>
      <c r="K121" s="823" t="s">
        <v>188</v>
      </c>
      <c r="L121" s="823" t="s">
        <v>498</v>
      </c>
      <c r="M121" s="822">
        <v>2.0</v>
      </c>
      <c r="N121" s="823">
        <v>4.0</v>
      </c>
      <c r="O121" s="824" t="s">
        <v>1422</v>
      </c>
      <c r="P121" s="808" t="s">
        <v>1</v>
      </c>
      <c r="Q121" s="808">
        <v>5.0</v>
      </c>
      <c r="R121" s="808">
        <v>3.0</v>
      </c>
      <c r="S121" s="808">
        <v>10.0</v>
      </c>
      <c r="T121" s="808">
        <v>3.0</v>
      </c>
      <c r="U121" s="808">
        <v>0.0</v>
      </c>
      <c r="V121" s="808">
        <v>0.0</v>
      </c>
      <c r="W121">
        <v>0.0</v>
      </c>
      <c r="X121">
        <v>1.0</v>
      </c>
      <c r="Y121" t="b">
        <v>1</v>
      </c>
      <c r="Z121" t="b">
        <v>1</v>
      </c>
      <c r="AA121">
        <v>0.0</v>
      </c>
      <c r="AB121">
        <v>1.0</v>
      </c>
      <c r="AC121">
        <v>1.0</v>
      </c>
      <c r="AD121">
        <v>0.0</v>
      </c>
      <c r="AE121">
        <v>0.0</v>
      </c>
      <c r="AF121">
        <v>0.0</v>
      </c>
      <c r="AG121" t="s">
        <v>1</v>
      </c>
    </row>
    <row r="122">
      <c r="A122" s="820" t="s">
        <v>1</v>
      </c>
      <c r="B122" s="821">
        <v>5.0</v>
      </c>
      <c r="C122" s="822" t="s">
        <v>1423</v>
      </c>
      <c r="D122" s="823" t="s">
        <v>23</v>
      </c>
      <c r="E122" s="823" t="s">
        <v>35</v>
      </c>
      <c r="F122" s="823" t="s">
        <v>77</v>
      </c>
      <c r="G122" s="823">
        <v>0.0</v>
      </c>
      <c r="H122" s="823">
        <v>0.0</v>
      </c>
      <c r="I122" s="823">
        <v>1.0</v>
      </c>
      <c r="J122" s="823"/>
      <c r="K122" s="823" t="s">
        <v>188</v>
      </c>
      <c r="L122" s="823" t="s">
        <v>198</v>
      </c>
      <c r="M122" s="822">
        <v>3.0</v>
      </c>
      <c r="N122" s="823">
        <v>4.0</v>
      </c>
      <c r="O122" s="824" t="s">
        <v>1424</v>
      </c>
      <c r="P122" s="808" t="s">
        <v>1</v>
      </c>
      <c r="Q122" s="808">
        <v>5.0</v>
      </c>
      <c r="R122" s="808">
        <v>5.0</v>
      </c>
      <c r="S122" s="808">
        <v>10.0</v>
      </c>
      <c r="T122" s="808">
        <v>3.0</v>
      </c>
      <c r="U122" s="808">
        <v>0.0</v>
      </c>
      <c r="V122" s="808">
        <v>0.0</v>
      </c>
      <c r="W122">
        <v>0.0</v>
      </c>
      <c r="X122">
        <v>1.0</v>
      </c>
      <c r="Y122" t="b">
        <v>1</v>
      </c>
      <c r="Z122" t="b">
        <v>1</v>
      </c>
      <c r="AA122">
        <v>0.0</v>
      </c>
      <c r="AB122">
        <v>1.0</v>
      </c>
      <c r="AC122">
        <v>1.0</v>
      </c>
      <c r="AD122">
        <v>0.0</v>
      </c>
      <c r="AE122">
        <v>0.0</v>
      </c>
      <c r="AF122">
        <v>0.0</v>
      </c>
      <c r="AG122" t="s">
        <v>1</v>
      </c>
    </row>
    <row r="123">
      <c r="A123" s="820" t="s">
        <v>1</v>
      </c>
      <c r="B123" s="821">
        <v>5.0</v>
      </c>
      <c r="C123" s="822" t="s">
        <v>1425</v>
      </c>
      <c r="D123" s="823" t="s">
        <v>23</v>
      </c>
      <c r="E123" s="823" t="s">
        <v>33</v>
      </c>
      <c r="F123" s="823" t="s">
        <v>77</v>
      </c>
      <c r="G123" s="823">
        <v>0.0</v>
      </c>
      <c r="H123" s="823">
        <v>0.0</v>
      </c>
      <c r="I123" s="823">
        <v>1.0</v>
      </c>
      <c r="J123" s="823"/>
      <c r="K123" s="823" t="s">
        <v>188</v>
      </c>
      <c r="L123" s="823" t="s">
        <v>660</v>
      </c>
      <c r="M123" s="822">
        <v>5.0</v>
      </c>
      <c r="N123" s="823">
        <v>4.0</v>
      </c>
      <c r="O123" s="824" t="s">
        <v>1426</v>
      </c>
      <c r="P123" s="808" t="s">
        <v>1</v>
      </c>
      <c r="Q123" s="808">
        <v>5.0</v>
      </c>
      <c r="R123" s="808">
        <v>2.0</v>
      </c>
      <c r="S123" s="808">
        <v>10.0</v>
      </c>
      <c r="T123" s="808">
        <v>3.0</v>
      </c>
      <c r="U123" s="808">
        <v>0.0</v>
      </c>
      <c r="V123" s="808">
        <v>0.0</v>
      </c>
      <c r="W123">
        <v>0.0</v>
      </c>
      <c r="X123">
        <v>1.0</v>
      </c>
      <c r="Y123" t="b">
        <v>1</v>
      </c>
      <c r="Z123" t="b">
        <v>1</v>
      </c>
      <c r="AA123">
        <v>0.0</v>
      </c>
      <c r="AB123">
        <v>1.0</v>
      </c>
      <c r="AC123">
        <v>1.0</v>
      </c>
      <c r="AD123">
        <v>0.0</v>
      </c>
      <c r="AE123">
        <v>0.0</v>
      </c>
      <c r="AF123">
        <v>0.0</v>
      </c>
      <c r="AG123" t="s">
        <v>1</v>
      </c>
    </row>
    <row r="124">
      <c r="A124" s="820" t="s">
        <v>1</v>
      </c>
      <c r="B124" s="821">
        <v>5.0</v>
      </c>
      <c r="C124" s="822" t="s">
        <v>1427</v>
      </c>
      <c r="D124" s="823" t="s">
        <v>23</v>
      </c>
      <c r="E124" s="823" t="s">
        <v>37</v>
      </c>
      <c r="F124" s="823" t="s">
        <v>77</v>
      </c>
      <c r="G124" s="823">
        <v>0.0</v>
      </c>
      <c r="H124" s="823">
        <v>0.0</v>
      </c>
      <c r="I124" s="823">
        <v>1.0</v>
      </c>
      <c r="J124" s="823"/>
      <c r="K124" s="823" t="s">
        <v>188</v>
      </c>
      <c r="L124" s="823" t="s">
        <v>1</v>
      </c>
      <c r="M124" s="822">
        <v>5.0</v>
      </c>
      <c r="N124" s="823">
        <v>5.0</v>
      </c>
      <c r="O124" s="824" t="s">
        <v>1428</v>
      </c>
      <c r="P124" s="808" t="s">
        <v>1</v>
      </c>
      <c r="Q124" s="808">
        <v>5.0</v>
      </c>
      <c r="R124" s="808">
        <v>3.0</v>
      </c>
      <c r="S124" s="808">
        <v>10.0</v>
      </c>
      <c r="T124" s="808">
        <v>3.0</v>
      </c>
      <c r="U124" s="808">
        <v>0.0</v>
      </c>
      <c r="V124" s="808">
        <v>0.0</v>
      </c>
      <c r="W124">
        <v>0.0</v>
      </c>
      <c r="X124">
        <v>1.0</v>
      </c>
      <c r="Y124" t="b">
        <v>1</v>
      </c>
      <c r="Z124" t="b">
        <v>1</v>
      </c>
      <c r="AA124">
        <v>0.0</v>
      </c>
      <c r="AB124">
        <v>1.0</v>
      </c>
      <c r="AC124">
        <v>1.0</v>
      </c>
      <c r="AD124">
        <v>0.0</v>
      </c>
      <c r="AE124">
        <v>0.0</v>
      </c>
      <c r="AF124">
        <v>0.0</v>
      </c>
      <c r="AG124" t="s">
        <v>1</v>
      </c>
    </row>
    <row r="125">
      <c r="A125" s="820" t="s">
        <v>1</v>
      </c>
      <c r="B125" s="821">
        <v>5.0</v>
      </c>
      <c r="C125" s="822" t="s">
        <v>1431</v>
      </c>
      <c r="D125" s="823" t="s">
        <v>23</v>
      </c>
      <c r="E125" s="823" t="s">
        <v>33</v>
      </c>
      <c r="F125" s="823" t="s">
        <v>77</v>
      </c>
      <c r="G125" s="823">
        <v>0.0</v>
      </c>
      <c r="H125" s="823">
        <v>0.0</v>
      </c>
      <c r="I125" s="823">
        <v>1.0</v>
      </c>
      <c r="J125" s="823"/>
      <c r="K125" s="823" t="s">
        <v>188</v>
      </c>
      <c r="L125" s="823" t="s">
        <v>1</v>
      </c>
      <c r="M125" s="822">
        <v>5.0</v>
      </c>
      <c r="N125" s="823">
        <v>4.0</v>
      </c>
      <c r="O125" s="824" t="s">
        <v>1432</v>
      </c>
      <c r="P125" s="808" t="s">
        <v>1</v>
      </c>
      <c r="Q125" s="808">
        <v>5.0</v>
      </c>
      <c r="R125" s="808">
        <v>2.0</v>
      </c>
      <c r="S125" s="808">
        <v>10.0</v>
      </c>
      <c r="T125" s="808">
        <v>3.0</v>
      </c>
      <c r="U125" s="808">
        <v>0.0</v>
      </c>
      <c r="V125" s="808">
        <v>0.0</v>
      </c>
      <c r="W125">
        <v>0.0</v>
      </c>
      <c r="X125">
        <v>1.0</v>
      </c>
      <c r="Y125" t="b">
        <v>1</v>
      </c>
      <c r="Z125" t="b">
        <v>1</v>
      </c>
      <c r="AA125">
        <v>0.0</v>
      </c>
      <c r="AB125">
        <v>1.0</v>
      </c>
      <c r="AC125">
        <v>1.0</v>
      </c>
      <c r="AD125">
        <v>0.0</v>
      </c>
      <c r="AE125">
        <v>0.0</v>
      </c>
      <c r="AF125">
        <v>0.0</v>
      </c>
      <c r="AG125" t="s">
        <v>1</v>
      </c>
    </row>
    <row r="126">
      <c r="A126" s="820" t="s">
        <v>1</v>
      </c>
      <c r="B126" s="821">
        <v>5.0</v>
      </c>
      <c r="C126" s="822" t="s">
        <v>1433</v>
      </c>
      <c r="D126" s="823" t="s">
        <v>23</v>
      </c>
      <c r="E126" s="823" t="s">
        <v>35</v>
      </c>
      <c r="F126" s="823" t="s">
        <v>77</v>
      </c>
      <c r="G126" s="823">
        <v>0.0</v>
      </c>
      <c r="H126" s="823">
        <v>0.0</v>
      </c>
      <c r="I126" s="823">
        <v>1.0</v>
      </c>
      <c r="J126" s="823"/>
      <c r="K126" s="823" t="s">
        <v>188</v>
      </c>
      <c r="L126" s="823" t="s">
        <v>1</v>
      </c>
      <c r="M126" s="822">
        <v>6.0</v>
      </c>
      <c r="N126" s="823">
        <v>3.0</v>
      </c>
      <c r="O126" s="824" t="s">
        <v>1434</v>
      </c>
      <c r="P126" s="808" t="s">
        <v>1</v>
      </c>
      <c r="Q126" s="808">
        <v>5.0</v>
      </c>
      <c r="R126" s="808">
        <v>5.0</v>
      </c>
      <c r="S126" s="808">
        <v>10.0</v>
      </c>
      <c r="T126" s="808">
        <v>3.0</v>
      </c>
      <c r="U126" s="808">
        <v>0.0</v>
      </c>
      <c r="V126" s="808">
        <v>0.0</v>
      </c>
      <c r="W126">
        <v>0.0</v>
      </c>
      <c r="X126">
        <v>1.0</v>
      </c>
      <c r="Y126" t="b">
        <v>1</v>
      </c>
      <c r="Z126" t="b">
        <v>1</v>
      </c>
      <c r="AA126">
        <v>0.0</v>
      </c>
      <c r="AB126">
        <v>1.0</v>
      </c>
      <c r="AC126">
        <v>1.0</v>
      </c>
      <c r="AD126">
        <v>0.0</v>
      </c>
      <c r="AE126">
        <v>0.0</v>
      </c>
      <c r="AF126">
        <v>0.0</v>
      </c>
      <c r="AG126" t="s">
        <v>1</v>
      </c>
    </row>
    <row r="127">
      <c r="A127" s="820" t="s">
        <v>1</v>
      </c>
      <c r="B127" s="821">
        <v>5.0</v>
      </c>
      <c r="C127" s="822" t="s">
        <v>1435</v>
      </c>
      <c r="D127" s="823" t="s">
        <v>23</v>
      </c>
      <c r="E127" s="823" t="s">
        <v>33</v>
      </c>
      <c r="F127" s="823" t="s">
        <v>77</v>
      </c>
      <c r="G127" s="823">
        <v>0.0</v>
      </c>
      <c r="H127" s="823">
        <v>0.0</v>
      </c>
      <c r="I127" s="823">
        <v>1.0</v>
      </c>
      <c r="J127" s="823"/>
      <c r="K127" s="823" t="s">
        <v>188</v>
      </c>
      <c r="L127" s="823" t="s">
        <v>1</v>
      </c>
      <c r="M127" s="822">
        <v>6.0</v>
      </c>
      <c r="N127" s="823">
        <v>2.0</v>
      </c>
      <c r="O127" s="824" t="s">
        <v>1436</v>
      </c>
      <c r="P127" s="808" t="s">
        <v>1</v>
      </c>
      <c r="Q127" s="808">
        <v>5.0</v>
      </c>
      <c r="R127" s="808">
        <v>2.0</v>
      </c>
      <c r="S127" s="808">
        <v>10.0</v>
      </c>
      <c r="T127" s="808">
        <v>3.0</v>
      </c>
      <c r="U127" s="808">
        <v>0.0</v>
      </c>
      <c r="V127" s="808">
        <v>0.0</v>
      </c>
      <c r="W127">
        <v>0.0</v>
      </c>
      <c r="X127">
        <v>1.0</v>
      </c>
      <c r="Y127" t="b">
        <v>1</v>
      </c>
      <c r="Z127" t="b">
        <v>1</v>
      </c>
      <c r="AA127">
        <v>0.0</v>
      </c>
      <c r="AB127">
        <v>1.0</v>
      </c>
      <c r="AC127">
        <v>1.0</v>
      </c>
      <c r="AD127">
        <v>0.0</v>
      </c>
      <c r="AE127">
        <v>0.0</v>
      </c>
      <c r="AF127">
        <v>0.0</v>
      </c>
      <c r="AG127" t="s">
        <v>1</v>
      </c>
    </row>
    <row r="128">
      <c r="A128" s="820" t="s">
        <v>1</v>
      </c>
      <c r="B128" s="821">
        <v>5.0</v>
      </c>
      <c r="C128" s="822" t="s">
        <v>1439</v>
      </c>
      <c r="D128" s="823" t="s">
        <v>23</v>
      </c>
      <c r="E128" s="823" t="s">
        <v>35</v>
      </c>
      <c r="F128" s="823" t="s">
        <v>77</v>
      </c>
      <c r="G128" s="823">
        <v>0.0</v>
      </c>
      <c r="H128" s="823">
        <v>0.0</v>
      </c>
      <c r="I128" s="823">
        <v>1.0</v>
      </c>
      <c r="J128" s="823"/>
      <c r="K128" s="823" t="s">
        <v>188</v>
      </c>
      <c r="L128" s="823" t="s">
        <v>198</v>
      </c>
      <c r="M128" s="822">
        <v>4.0</v>
      </c>
      <c r="N128" s="823">
        <v>5.0</v>
      </c>
      <c r="O128" s="824" t="s">
        <v>1440</v>
      </c>
      <c r="P128" s="808" t="s">
        <v>1</v>
      </c>
      <c r="Q128" s="808">
        <v>5.0</v>
      </c>
      <c r="R128" s="808">
        <v>5.0</v>
      </c>
      <c r="S128" s="808">
        <v>10.0</v>
      </c>
      <c r="T128" s="808">
        <v>3.0</v>
      </c>
      <c r="U128" s="808">
        <v>0.0</v>
      </c>
      <c r="V128" s="808">
        <v>0.0</v>
      </c>
      <c r="W128">
        <v>0.0</v>
      </c>
      <c r="X128">
        <v>1.0</v>
      </c>
      <c r="Y128" t="b">
        <v>1</v>
      </c>
      <c r="Z128" t="b">
        <v>1</v>
      </c>
      <c r="AA128">
        <v>0.0</v>
      </c>
      <c r="AB128">
        <v>1.0</v>
      </c>
      <c r="AC128">
        <v>1.0</v>
      </c>
      <c r="AD128">
        <v>0.0</v>
      </c>
      <c r="AE128">
        <v>0.0</v>
      </c>
      <c r="AF128">
        <v>0.0</v>
      </c>
      <c r="AG128" t="s">
        <v>1</v>
      </c>
    </row>
    <row r="129">
      <c r="A129" s="820" t="s">
        <v>1</v>
      </c>
      <c r="B129" s="821">
        <v>5.0</v>
      </c>
      <c r="C129" s="822" t="s">
        <v>1441</v>
      </c>
      <c r="D129" s="823" t="s">
        <v>23</v>
      </c>
      <c r="E129" s="823" t="s">
        <v>36</v>
      </c>
      <c r="F129" s="823" t="s">
        <v>77</v>
      </c>
      <c r="G129" s="823">
        <v>0.0</v>
      </c>
      <c r="H129" s="823">
        <v>0.0</v>
      </c>
      <c r="I129" s="823">
        <v>1.0</v>
      </c>
      <c r="J129" s="823">
        <v>1.0</v>
      </c>
      <c r="K129" s="823" t="s">
        <v>188</v>
      </c>
      <c r="L129" s="823" t="s">
        <v>1</v>
      </c>
      <c r="M129" s="822">
        <v>4.0</v>
      </c>
      <c r="N129" s="823">
        <v>5.0</v>
      </c>
      <c r="O129" s="824" t="s">
        <v>1442</v>
      </c>
      <c r="P129" s="808" t="s">
        <v>1</v>
      </c>
      <c r="Q129" s="808">
        <v>5.0</v>
      </c>
      <c r="R129" s="808">
        <v>7.0</v>
      </c>
      <c r="S129" s="808">
        <v>10.0</v>
      </c>
      <c r="T129" s="808">
        <v>3.0</v>
      </c>
      <c r="U129" s="808">
        <v>0.0</v>
      </c>
      <c r="V129" s="808">
        <v>0.0</v>
      </c>
      <c r="W129">
        <v>0.0</v>
      </c>
      <c r="X129">
        <v>1.0</v>
      </c>
      <c r="Y129" t="b">
        <v>1</v>
      </c>
      <c r="Z129" t="b">
        <v>1</v>
      </c>
      <c r="AA129">
        <v>0.0</v>
      </c>
      <c r="AB129">
        <v>0.0</v>
      </c>
      <c r="AC129">
        <v>0.0</v>
      </c>
      <c r="AD129">
        <v>0.0</v>
      </c>
      <c r="AE129">
        <v>0.0</v>
      </c>
      <c r="AF129">
        <v>0.0</v>
      </c>
      <c r="AG129" t="s">
        <v>1</v>
      </c>
    </row>
    <row r="130">
      <c r="A130" s="820" t="s">
        <v>1</v>
      </c>
      <c r="B130" s="821">
        <v>6.0</v>
      </c>
      <c r="C130" s="822" t="s">
        <v>1445</v>
      </c>
      <c r="D130" s="823" t="s">
        <v>23</v>
      </c>
      <c r="E130" s="823" t="s">
        <v>36</v>
      </c>
      <c r="F130" s="823" t="s">
        <v>77</v>
      </c>
      <c r="G130" s="823">
        <v>0.0</v>
      </c>
      <c r="H130" s="823">
        <v>0.0</v>
      </c>
      <c r="I130" s="823">
        <v>1.0</v>
      </c>
      <c r="J130" s="823">
        <v>1.0</v>
      </c>
      <c r="K130" s="823" t="s">
        <v>188</v>
      </c>
      <c r="L130" s="823" t="s">
        <v>1</v>
      </c>
      <c r="M130" s="822">
        <v>3.0</v>
      </c>
      <c r="N130" s="823">
        <v>9.0</v>
      </c>
      <c r="O130" s="824" t="s">
        <v>1446</v>
      </c>
      <c r="P130" s="808" t="s">
        <v>1</v>
      </c>
      <c r="Q130" s="808">
        <v>5.0</v>
      </c>
      <c r="R130" s="808">
        <v>7.0</v>
      </c>
      <c r="S130" s="808">
        <v>10.0</v>
      </c>
      <c r="T130" s="808">
        <v>3.0</v>
      </c>
      <c r="U130" s="808">
        <v>0.0</v>
      </c>
      <c r="V130" s="808">
        <v>0.0</v>
      </c>
      <c r="W130">
        <v>0.0</v>
      </c>
      <c r="X130">
        <v>1.0</v>
      </c>
      <c r="Y130" t="b">
        <v>1</v>
      </c>
      <c r="Z130" t="b">
        <v>1</v>
      </c>
      <c r="AA130">
        <v>0.0</v>
      </c>
      <c r="AB130">
        <v>0.0</v>
      </c>
      <c r="AC130">
        <v>0.0</v>
      </c>
      <c r="AD130">
        <v>0.0</v>
      </c>
      <c r="AE130">
        <v>0.0</v>
      </c>
      <c r="AF130">
        <v>0.0</v>
      </c>
      <c r="AG130" t="s">
        <v>1</v>
      </c>
    </row>
    <row r="131">
      <c r="A131" s="820" t="s">
        <v>1</v>
      </c>
      <c r="B131" s="821">
        <v>6.0</v>
      </c>
      <c r="C131" s="822" t="s">
        <v>1447</v>
      </c>
      <c r="D131" s="823" t="s">
        <v>23</v>
      </c>
      <c r="E131" s="823" t="s">
        <v>33</v>
      </c>
      <c r="F131" s="823" t="s">
        <v>77</v>
      </c>
      <c r="G131" s="823">
        <v>0.0</v>
      </c>
      <c r="H131" s="823">
        <v>0.0</v>
      </c>
      <c r="I131" s="823">
        <v>1.0</v>
      </c>
      <c r="J131" s="823"/>
      <c r="K131" s="823" t="s">
        <v>188</v>
      </c>
      <c r="L131" s="823" t="s">
        <v>1</v>
      </c>
      <c r="M131" s="822">
        <v>4.0</v>
      </c>
      <c r="N131" s="823">
        <v>5.0</v>
      </c>
      <c r="O131" s="824" t="s">
        <v>1448</v>
      </c>
      <c r="P131" s="808" t="s">
        <v>1</v>
      </c>
      <c r="Q131" s="808">
        <v>5.0</v>
      </c>
      <c r="R131" s="808">
        <v>2.0</v>
      </c>
      <c r="S131" s="808">
        <v>10.0</v>
      </c>
      <c r="T131" s="808">
        <v>3.0</v>
      </c>
      <c r="U131" s="808">
        <v>0.0</v>
      </c>
      <c r="V131" s="808">
        <v>0.0</v>
      </c>
      <c r="W131">
        <v>0.0</v>
      </c>
      <c r="X131">
        <v>1.0</v>
      </c>
      <c r="Y131" t="b">
        <v>1</v>
      </c>
      <c r="Z131" t="b">
        <v>1</v>
      </c>
      <c r="AA131">
        <v>0.0</v>
      </c>
      <c r="AB131">
        <v>1.0</v>
      </c>
      <c r="AC131">
        <v>1.0</v>
      </c>
      <c r="AD131">
        <v>0.0</v>
      </c>
      <c r="AE131">
        <v>0.0</v>
      </c>
      <c r="AF131">
        <v>0.0</v>
      </c>
      <c r="AG131" t="s">
        <v>1</v>
      </c>
    </row>
    <row r="132">
      <c r="A132" s="820" t="s">
        <v>1</v>
      </c>
      <c r="B132" s="821">
        <v>6.0</v>
      </c>
      <c r="C132" s="822" t="s">
        <v>1453</v>
      </c>
      <c r="D132" s="823" t="s">
        <v>23</v>
      </c>
      <c r="E132" s="823" t="s">
        <v>37</v>
      </c>
      <c r="F132" s="823" t="s">
        <v>77</v>
      </c>
      <c r="G132" s="823">
        <v>0.0</v>
      </c>
      <c r="H132" s="823">
        <v>0.0</v>
      </c>
      <c r="I132" s="823">
        <v>1.0</v>
      </c>
      <c r="J132" s="823"/>
      <c r="K132" s="823" t="s">
        <v>188</v>
      </c>
      <c r="L132" s="823" t="s">
        <v>1</v>
      </c>
      <c r="M132" s="822">
        <v>6.0</v>
      </c>
      <c r="N132" s="823">
        <v>6.0</v>
      </c>
      <c r="O132" s="824" t="s">
        <v>1454</v>
      </c>
      <c r="P132" s="808" t="s">
        <v>1</v>
      </c>
      <c r="Q132" s="808">
        <v>5.0</v>
      </c>
      <c r="R132" s="808">
        <v>3.0</v>
      </c>
      <c r="S132" s="808">
        <v>10.0</v>
      </c>
      <c r="T132" s="808">
        <v>3.0</v>
      </c>
      <c r="U132" s="808">
        <v>0.0</v>
      </c>
      <c r="V132" s="808">
        <v>0.0</v>
      </c>
      <c r="W132">
        <v>0.0</v>
      </c>
      <c r="X132">
        <v>1.0</v>
      </c>
      <c r="Y132" t="b">
        <v>1</v>
      </c>
      <c r="Z132" t="b">
        <v>1</v>
      </c>
      <c r="AA132">
        <v>0.0</v>
      </c>
      <c r="AB132">
        <v>1.0</v>
      </c>
      <c r="AC132">
        <v>1.0</v>
      </c>
      <c r="AD132">
        <v>0.0</v>
      </c>
      <c r="AE132">
        <v>0.0</v>
      </c>
      <c r="AF132">
        <v>0.0</v>
      </c>
      <c r="AG132" t="s">
        <v>1</v>
      </c>
    </row>
    <row r="133">
      <c r="A133" s="820" t="s">
        <v>1</v>
      </c>
      <c r="B133" s="821">
        <v>6.0</v>
      </c>
      <c r="C133" s="822" t="s">
        <v>1457</v>
      </c>
      <c r="D133" s="823" t="s">
        <v>23</v>
      </c>
      <c r="E133" s="823" t="s">
        <v>33</v>
      </c>
      <c r="F133" s="823" t="s">
        <v>77</v>
      </c>
      <c r="G133" s="823">
        <v>0.0</v>
      </c>
      <c r="H133" s="823">
        <v>0.0</v>
      </c>
      <c r="I133" s="823">
        <v>1.0</v>
      </c>
      <c r="J133" s="823"/>
      <c r="K133" s="823" t="s">
        <v>188</v>
      </c>
      <c r="L133" s="823" t="s">
        <v>828</v>
      </c>
      <c r="M133" s="822">
        <v>7.0</v>
      </c>
      <c r="N133" s="823">
        <v>5.0</v>
      </c>
      <c r="O133" s="824" t="s">
        <v>1458</v>
      </c>
      <c r="P133" s="808" t="s">
        <v>1</v>
      </c>
      <c r="Q133" s="808">
        <v>5.0</v>
      </c>
      <c r="R133" s="808">
        <v>2.0</v>
      </c>
      <c r="S133" s="808">
        <v>10.0</v>
      </c>
      <c r="T133" s="808">
        <v>3.0</v>
      </c>
      <c r="U133" s="808">
        <v>0.0</v>
      </c>
      <c r="V133" s="808">
        <v>0.0</v>
      </c>
      <c r="W133">
        <v>0.0</v>
      </c>
      <c r="X133">
        <v>1.0</v>
      </c>
      <c r="Y133" t="b">
        <v>1</v>
      </c>
      <c r="Z133" t="b">
        <v>1</v>
      </c>
      <c r="AA133">
        <v>0.0</v>
      </c>
      <c r="AB133">
        <v>1.0</v>
      </c>
      <c r="AC133">
        <v>1.0</v>
      </c>
      <c r="AD133">
        <v>0.0</v>
      </c>
      <c r="AE133">
        <v>0.0</v>
      </c>
      <c r="AF133">
        <v>0.0</v>
      </c>
      <c r="AG133" t="s">
        <v>1</v>
      </c>
    </row>
    <row r="134">
      <c r="A134" s="820" t="s">
        <v>1</v>
      </c>
      <c r="B134" s="821">
        <v>6.0</v>
      </c>
      <c r="C134" s="822" t="s">
        <v>1462</v>
      </c>
      <c r="D134" s="823" t="s">
        <v>23</v>
      </c>
      <c r="E134" s="823" t="s">
        <v>35</v>
      </c>
      <c r="F134" s="823" t="s">
        <v>77</v>
      </c>
      <c r="G134" s="823">
        <v>0.0</v>
      </c>
      <c r="H134" s="823">
        <v>0.0</v>
      </c>
      <c r="I134" s="823">
        <v>1.0</v>
      </c>
      <c r="J134" s="823"/>
      <c r="K134" s="823" t="s">
        <v>188</v>
      </c>
      <c r="L134" s="823" t="s">
        <v>1</v>
      </c>
      <c r="M134" s="822">
        <v>7.0</v>
      </c>
      <c r="N134" s="823">
        <v>6.0</v>
      </c>
      <c r="O134" s="824" t="s">
        <v>1463</v>
      </c>
      <c r="P134" s="808" t="s">
        <v>1</v>
      </c>
      <c r="Q134" s="808">
        <v>5.0</v>
      </c>
      <c r="R134" s="808">
        <v>5.0</v>
      </c>
      <c r="S134" s="808">
        <v>10.0</v>
      </c>
      <c r="T134" s="808">
        <v>3.0</v>
      </c>
      <c r="U134" s="808">
        <v>0.0</v>
      </c>
      <c r="V134" s="808">
        <v>0.0</v>
      </c>
      <c r="W134">
        <v>0.0</v>
      </c>
      <c r="X134">
        <v>1.0</v>
      </c>
      <c r="Y134" t="b">
        <v>1</v>
      </c>
      <c r="Z134" t="b">
        <v>1</v>
      </c>
      <c r="AA134">
        <v>0.0</v>
      </c>
      <c r="AB134">
        <v>1.0</v>
      </c>
      <c r="AC134">
        <v>1.0</v>
      </c>
      <c r="AD134">
        <v>0.0</v>
      </c>
      <c r="AE134">
        <v>0.0</v>
      </c>
      <c r="AF134">
        <v>0.0</v>
      </c>
      <c r="AG134" t="s">
        <v>1</v>
      </c>
    </row>
    <row r="135">
      <c r="A135" s="820" t="s">
        <v>1</v>
      </c>
      <c r="B135" s="821">
        <v>6.0</v>
      </c>
      <c r="C135" s="822" t="s">
        <v>1466</v>
      </c>
      <c r="D135" s="823" t="s">
        <v>23</v>
      </c>
      <c r="E135" s="823" t="s">
        <v>33</v>
      </c>
      <c r="F135" s="823" t="s">
        <v>77</v>
      </c>
      <c r="G135" s="823">
        <v>0.0</v>
      </c>
      <c r="H135" s="823">
        <v>0.0</v>
      </c>
      <c r="I135" s="823">
        <v>1.0</v>
      </c>
      <c r="J135" s="823"/>
      <c r="K135" s="823" t="s">
        <v>188</v>
      </c>
      <c r="L135" s="823" t="s">
        <v>238</v>
      </c>
      <c r="M135" s="822">
        <v>9.0</v>
      </c>
      <c r="N135" s="823">
        <v>7.0</v>
      </c>
      <c r="O135" s="824" t="s">
        <v>1467</v>
      </c>
      <c r="P135" s="808" t="s">
        <v>1</v>
      </c>
      <c r="Q135" s="808">
        <v>5.0</v>
      </c>
      <c r="R135" s="808">
        <v>2.0</v>
      </c>
      <c r="S135" s="808">
        <v>10.0</v>
      </c>
      <c r="T135" s="808">
        <v>3.0</v>
      </c>
      <c r="U135" s="808">
        <v>0.0</v>
      </c>
      <c r="V135" s="808">
        <v>0.0</v>
      </c>
      <c r="W135">
        <v>0.0</v>
      </c>
      <c r="X135">
        <v>1.0</v>
      </c>
      <c r="Y135" t="b">
        <v>1</v>
      </c>
      <c r="Z135" t="b">
        <v>1</v>
      </c>
      <c r="AA135">
        <v>0.0</v>
      </c>
      <c r="AB135">
        <v>1.0</v>
      </c>
      <c r="AC135">
        <v>1.0</v>
      </c>
      <c r="AD135">
        <v>0.0</v>
      </c>
      <c r="AE135">
        <v>0.0</v>
      </c>
      <c r="AF135">
        <v>0.0</v>
      </c>
      <c r="AG135" t="s">
        <v>1</v>
      </c>
    </row>
    <row r="136">
      <c r="A136" s="820" t="s">
        <v>1</v>
      </c>
      <c r="B136" s="821">
        <v>6.0</v>
      </c>
      <c r="C136" s="822" t="s">
        <v>1468</v>
      </c>
      <c r="D136" s="823" t="s">
        <v>23</v>
      </c>
      <c r="E136" s="823" t="s">
        <v>33</v>
      </c>
      <c r="F136" s="823" t="s">
        <v>77</v>
      </c>
      <c r="G136" s="823">
        <v>0.0</v>
      </c>
      <c r="H136" s="823">
        <v>0.0</v>
      </c>
      <c r="I136" s="823">
        <v>1.0</v>
      </c>
      <c r="J136" s="823"/>
      <c r="K136" s="823" t="s">
        <v>188</v>
      </c>
      <c r="L136" s="823" t="s">
        <v>1</v>
      </c>
      <c r="M136" s="822">
        <v>4.0</v>
      </c>
      <c r="N136" s="823">
        <v>5.0</v>
      </c>
      <c r="O136" s="824" t="s">
        <v>1469</v>
      </c>
      <c r="P136" s="808" t="s">
        <v>1</v>
      </c>
      <c r="Q136" s="808">
        <v>5.0</v>
      </c>
      <c r="R136" s="808">
        <v>2.0</v>
      </c>
      <c r="S136" s="808">
        <v>10.0</v>
      </c>
      <c r="T136" s="808">
        <v>3.0</v>
      </c>
      <c r="U136" s="808">
        <v>0.0</v>
      </c>
      <c r="V136" s="808">
        <v>0.0</v>
      </c>
      <c r="W136">
        <v>0.0</v>
      </c>
      <c r="X136">
        <v>1.0</v>
      </c>
      <c r="Y136" t="b">
        <v>1</v>
      </c>
      <c r="Z136" t="b">
        <v>1</v>
      </c>
      <c r="AA136">
        <v>0.0</v>
      </c>
      <c r="AB136">
        <v>1.0</v>
      </c>
      <c r="AC136">
        <v>1.0</v>
      </c>
      <c r="AD136">
        <v>0.0</v>
      </c>
      <c r="AE136">
        <v>0.0</v>
      </c>
      <c r="AF136">
        <v>0.0</v>
      </c>
      <c r="AG136" t="s">
        <v>1</v>
      </c>
    </row>
    <row r="137">
      <c r="A137" s="820" t="s">
        <v>1</v>
      </c>
      <c r="B137" s="821">
        <v>6.0</v>
      </c>
      <c r="C137" s="822" t="s">
        <v>1470</v>
      </c>
      <c r="D137" s="823" t="s">
        <v>23</v>
      </c>
      <c r="E137" s="823" t="s">
        <v>36</v>
      </c>
      <c r="F137" s="823" t="s">
        <v>77</v>
      </c>
      <c r="G137" s="823">
        <v>0.0</v>
      </c>
      <c r="H137" s="823">
        <v>0.0</v>
      </c>
      <c r="I137" s="823">
        <v>1.0</v>
      </c>
      <c r="J137" s="823">
        <v>1.0</v>
      </c>
      <c r="K137" s="823" t="s">
        <v>188</v>
      </c>
      <c r="L137" s="823" t="s">
        <v>1</v>
      </c>
      <c r="M137" s="822">
        <v>7.0</v>
      </c>
      <c r="N137" s="823">
        <v>4.0</v>
      </c>
      <c r="O137" s="824" t="s">
        <v>1471</v>
      </c>
      <c r="P137" s="808" t="s">
        <v>1</v>
      </c>
      <c r="Q137" s="808">
        <v>5.0</v>
      </c>
      <c r="R137" s="808">
        <v>7.0</v>
      </c>
      <c r="S137" s="808">
        <v>10.0</v>
      </c>
      <c r="T137" s="808">
        <v>3.0</v>
      </c>
      <c r="U137" s="808">
        <v>0.0</v>
      </c>
      <c r="V137" s="808">
        <v>0.0</v>
      </c>
      <c r="W137">
        <v>0.0</v>
      </c>
      <c r="X137">
        <v>1.0</v>
      </c>
      <c r="Y137" t="b">
        <v>1</v>
      </c>
      <c r="Z137" t="b">
        <v>1</v>
      </c>
      <c r="AA137">
        <v>0.0</v>
      </c>
      <c r="AB137">
        <v>0.0</v>
      </c>
      <c r="AC137">
        <v>0.0</v>
      </c>
      <c r="AD137">
        <v>0.0</v>
      </c>
      <c r="AE137">
        <v>0.0</v>
      </c>
      <c r="AF137">
        <v>0.0</v>
      </c>
      <c r="AG137" t="s">
        <v>1</v>
      </c>
    </row>
    <row r="138">
      <c r="A138" s="820" t="s">
        <v>1</v>
      </c>
      <c r="B138" s="821">
        <v>6.0</v>
      </c>
      <c r="C138" s="822" t="s">
        <v>1472</v>
      </c>
      <c r="D138" s="823" t="s">
        <v>23</v>
      </c>
      <c r="E138" s="823" t="s">
        <v>35</v>
      </c>
      <c r="F138" s="823" t="s">
        <v>77</v>
      </c>
      <c r="G138" s="823">
        <v>0.0</v>
      </c>
      <c r="H138" s="823">
        <v>0.0</v>
      </c>
      <c r="I138" s="823">
        <v>1.0</v>
      </c>
      <c r="J138" s="823"/>
      <c r="K138" s="823" t="s">
        <v>188</v>
      </c>
      <c r="L138" s="823" t="s">
        <v>1</v>
      </c>
      <c r="M138" s="822">
        <v>5.0</v>
      </c>
      <c r="N138" s="823">
        <v>7.0</v>
      </c>
      <c r="O138" s="824" t="s">
        <v>1473</v>
      </c>
      <c r="P138" s="808" t="s">
        <v>1</v>
      </c>
      <c r="Q138" s="808">
        <v>5.0</v>
      </c>
      <c r="R138" s="808">
        <v>5.0</v>
      </c>
      <c r="S138" s="808">
        <v>10.0</v>
      </c>
      <c r="T138" s="808">
        <v>3.0</v>
      </c>
      <c r="U138" s="808">
        <v>0.0</v>
      </c>
      <c r="V138" s="808">
        <v>0.0</v>
      </c>
      <c r="W138">
        <v>0.0</v>
      </c>
      <c r="X138">
        <v>1.0</v>
      </c>
      <c r="Y138" t="b">
        <v>1</v>
      </c>
      <c r="Z138" t="b">
        <v>1</v>
      </c>
      <c r="AA138">
        <v>0.0</v>
      </c>
      <c r="AB138">
        <v>1.0</v>
      </c>
      <c r="AC138">
        <v>1.0</v>
      </c>
      <c r="AD138">
        <v>0.0</v>
      </c>
      <c r="AE138">
        <v>0.0</v>
      </c>
      <c r="AF138">
        <v>0.0</v>
      </c>
      <c r="AG138" t="s">
        <v>1</v>
      </c>
    </row>
    <row r="139">
      <c r="A139" s="820" t="s">
        <v>1</v>
      </c>
      <c r="B139" s="821">
        <v>7.0</v>
      </c>
      <c r="C139" s="822" t="s">
        <v>1482</v>
      </c>
      <c r="D139" s="823" t="s">
        <v>23</v>
      </c>
      <c r="E139" s="823" t="s">
        <v>36</v>
      </c>
      <c r="F139" s="823" t="s">
        <v>77</v>
      </c>
      <c r="G139" s="823">
        <v>0.0</v>
      </c>
      <c r="H139" s="823">
        <v>0.0</v>
      </c>
      <c r="I139" s="823">
        <v>1.0</v>
      </c>
      <c r="J139" s="823">
        <v>1.0</v>
      </c>
      <c r="K139" s="823" t="s">
        <v>188</v>
      </c>
      <c r="L139" s="823" t="s">
        <v>660</v>
      </c>
      <c r="M139" s="822">
        <v>4.0</v>
      </c>
      <c r="N139" s="823">
        <v>6.0</v>
      </c>
      <c r="O139" s="824" t="s">
        <v>1483</v>
      </c>
      <c r="P139" s="808" t="s">
        <v>1</v>
      </c>
      <c r="Q139" s="808">
        <v>5.0</v>
      </c>
      <c r="R139" s="808">
        <v>7.0</v>
      </c>
      <c r="S139" s="808">
        <v>10.0</v>
      </c>
      <c r="T139" s="808">
        <v>3.0</v>
      </c>
      <c r="U139" s="808">
        <v>0.0</v>
      </c>
      <c r="V139" s="808">
        <v>0.0</v>
      </c>
      <c r="W139">
        <v>0.0</v>
      </c>
      <c r="X139">
        <v>1.0</v>
      </c>
      <c r="Y139" t="b">
        <v>1</v>
      </c>
      <c r="Z139" t="b">
        <v>1</v>
      </c>
      <c r="AA139">
        <v>0.0</v>
      </c>
      <c r="AB139">
        <v>0.0</v>
      </c>
      <c r="AC139">
        <v>0.0</v>
      </c>
      <c r="AD139">
        <v>0.0</v>
      </c>
      <c r="AE139">
        <v>0.0</v>
      </c>
      <c r="AF139">
        <v>0.0</v>
      </c>
      <c r="AG139" t="s">
        <v>1</v>
      </c>
    </row>
    <row r="140">
      <c r="A140" s="820" t="s">
        <v>1</v>
      </c>
      <c r="B140" s="821">
        <v>8.0</v>
      </c>
      <c r="C140" s="822" t="s">
        <v>1488</v>
      </c>
      <c r="D140" s="823" t="s">
        <v>23</v>
      </c>
      <c r="E140" s="823" t="s">
        <v>35</v>
      </c>
      <c r="F140" s="823" t="s">
        <v>77</v>
      </c>
      <c r="G140" s="823">
        <v>0.0</v>
      </c>
      <c r="H140" s="823">
        <v>0.0</v>
      </c>
      <c r="I140" s="823">
        <v>1.0</v>
      </c>
      <c r="J140" s="823"/>
      <c r="K140" s="823" t="s">
        <v>188</v>
      </c>
      <c r="L140" s="823" t="s">
        <v>198</v>
      </c>
      <c r="M140" s="822">
        <v>6.0</v>
      </c>
      <c r="N140" s="823">
        <v>9.0</v>
      </c>
      <c r="O140" s="824" t="s">
        <v>980</v>
      </c>
      <c r="P140" s="808" t="s">
        <v>1</v>
      </c>
      <c r="Q140" s="808">
        <v>5.0</v>
      </c>
      <c r="R140" s="808">
        <v>5.0</v>
      </c>
      <c r="S140" s="808">
        <v>10.0</v>
      </c>
      <c r="T140" s="808">
        <v>3.0</v>
      </c>
      <c r="U140" s="808">
        <v>0.0</v>
      </c>
      <c r="V140" s="808">
        <v>0.0</v>
      </c>
      <c r="W140">
        <v>0.0</v>
      </c>
      <c r="X140">
        <v>1.0</v>
      </c>
      <c r="Y140" t="b">
        <v>1</v>
      </c>
      <c r="Z140" t="b">
        <v>1</v>
      </c>
      <c r="AA140">
        <v>0.0</v>
      </c>
      <c r="AB140">
        <v>1.0</v>
      </c>
      <c r="AC140">
        <v>1.0</v>
      </c>
      <c r="AD140">
        <v>0.0</v>
      </c>
      <c r="AE140">
        <v>0.0</v>
      </c>
      <c r="AF140">
        <v>0.0</v>
      </c>
      <c r="AG140" t="s">
        <v>1</v>
      </c>
    </row>
    <row r="141">
      <c r="A141" s="820" t="s">
        <v>1</v>
      </c>
      <c r="B141" s="821">
        <v>8.0</v>
      </c>
      <c r="C141" s="822" t="s">
        <v>1489</v>
      </c>
      <c r="D141" s="823" t="s">
        <v>23</v>
      </c>
      <c r="E141" s="823" t="s">
        <v>33</v>
      </c>
      <c r="F141" s="823" t="s">
        <v>77</v>
      </c>
      <c r="G141" s="823">
        <v>0.0</v>
      </c>
      <c r="H141" s="823">
        <v>0.0</v>
      </c>
      <c r="I141" s="823">
        <v>1.0</v>
      </c>
      <c r="J141" s="823"/>
      <c r="K141" s="823" t="s">
        <v>188</v>
      </c>
      <c r="L141" s="823" t="s">
        <v>1</v>
      </c>
      <c r="M141" s="822">
        <v>7.0</v>
      </c>
      <c r="N141" s="823">
        <v>7.0</v>
      </c>
      <c r="O141" s="824" t="s">
        <v>1490</v>
      </c>
      <c r="P141" s="808" t="s">
        <v>1</v>
      </c>
      <c r="Q141" s="808">
        <v>5.0</v>
      </c>
      <c r="R141" s="808">
        <v>2.0</v>
      </c>
      <c r="S141" s="808">
        <v>10.0</v>
      </c>
      <c r="T141" s="808">
        <v>3.0</v>
      </c>
      <c r="U141" s="808">
        <v>0.0</v>
      </c>
      <c r="V141" s="808">
        <v>0.0</v>
      </c>
      <c r="W141">
        <v>0.0</v>
      </c>
      <c r="X141">
        <v>1.0</v>
      </c>
      <c r="Y141" t="b">
        <v>1</v>
      </c>
      <c r="Z141" t="b">
        <v>1</v>
      </c>
      <c r="AA141">
        <v>0.0</v>
      </c>
      <c r="AB141">
        <v>1.0</v>
      </c>
      <c r="AC141">
        <v>1.0</v>
      </c>
      <c r="AD141">
        <v>0.0</v>
      </c>
      <c r="AE141">
        <v>0.0</v>
      </c>
      <c r="AF141">
        <v>0.0</v>
      </c>
      <c r="AG141" t="s">
        <v>1</v>
      </c>
    </row>
    <row r="142">
      <c r="A142" s="820" t="s">
        <v>1</v>
      </c>
      <c r="B142" s="821">
        <v>8.0</v>
      </c>
      <c r="C142" s="822" t="s">
        <v>1495</v>
      </c>
      <c r="D142" s="823" t="s">
        <v>23</v>
      </c>
      <c r="E142" s="823" t="s">
        <v>35</v>
      </c>
      <c r="F142" s="823" t="s">
        <v>77</v>
      </c>
      <c r="G142" s="823">
        <v>0.0</v>
      </c>
      <c r="H142" s="823">
        <v>0.0</v>
      </c>
      <c r="I142" s="823">
        <v>1.0</v>
      </c>
      <c r="J142" s="823"/>
      <c r="K142" s="823" t="s">
        <v>188</v>
      </c>
      <c r="L142" s="823" t="s">
        <v>198</v>
      </c>
      <c r="M142" s="822">
        <v>5.0</v>
      </c>
      <c r="N142" s="823">
        <v>7.0</v>
      </c>
      <c r="O142" s="824" t="s">
        <v>1496</v>
      </c>
      <c r="P142" s="808" t="s">
        <v>1</v>
      </c>
      <c r="Q142" s="808">
        <v>5.0</v>
      </c>
      <c r="R142" s="808">
        <v>5.0</v>
      </c>
      <c r="S142" s="808">
        <v>10.0</v>
      </c>
      <c r="T142" s="808">
        <v>3.0</v>
      </c>
      <c r="U142" s="808">
        <v>0.0</v>
      </c>
      <c r="V142" s="808">
        <v>0.0</v>
      </c>
      <c r="W142">
        <v>0.0</v>
      </c>
      <c r="X142">
        <v>1.0</v>
      </c>
      <c r="Y142" t="b">
        <v>1</v>
      </c>
      <c r="Z142" t="b">
        <v>1</v>
      </c>
      <c r="AA142">
        <v>0.0</v>
      </c>
      <c r="AB142">
        <v>1.0</v>
      </c>
      <c r="AC142">
        <v>1.0</v>
      </c>
      <c r="AD142">
        <v>0.0</v>
      </c>
      <c r="AE142">
        <v>0.0</v>
      </c>
      <c r="AF142">
        <v>0.0</v>
      </c>
      <c r="AG142" t="s">
        <v>1</v>
      </c>
    </row>
    <row r="143">
      <c r="A143" s="820" t="s">
        <v>1</v>
      </c>
      <c r="B143" s="821">
        <v>9.0</v>
      </c>
      <c r="C143" s="822" t="s">
        <v>1505</v>
      </c>
      <c r="D143" s="823" t="s">
        <v>23</v>
      </c>
      <c r="E143" s="823" t="s">
        <v>35</v>
      </c>
      <c r="F143" s="823" t="s">
        <v>77</v>
      </c>
      <c r="G143" s="823">
        <v>0.0</v>
      </c>
      <c r="H143" s="823">
        <v>0.0</v>
      </c>
      <c r="I143" s="823">
        <v>1.0</v>
      </c>
      <c r="J143" s="823"/>
      <c r="K143" s="823" t="s">
        <v>188</v>
      </c>
      <c r="L143" s="823" t="s">
        <v>198</v>
      </c>
      <c r="M143" s="822">
        <v>9.0</v>
      </c>
      <c r="N143" s="823">
        <v>7.0</v>
      </c>
      <c r="O143" s="824" t="s">
        <v>1506</v>
      </c>
      <c r="P143" s="808" t="s">
        <v>1</v>
      </c>
      <c r="Q143" s="808">
        <v>5.0</v>
      </c>
      <c r="R143" s="808">
        <v>5.0</v>
      </c>
      <c r="S143" s="808">
        <v>10.0</v>
      </c>
      <c r="T143" s="808">
        <v>3.0</v>
      </c>
      <c r="U143" s="808">
        <v>0.0</v>
      </c>
      <c r="V143" s="808">
        <v>0.0</v>
      </c>
      <c r="W143">
        <v>0.0</v>
      </c>
      <c r="X143">
        <v>1.0</v>
      </c>
      <c r="Y143" t="b">
        <v>1</v>
      </c>
      <c r="Z143" t="b">
        <v>1</v>
      </c>
      <c r="AA143">
        <v>0.0</v>
      </c>
      <c r="AB143">
        <v>1.0</v>
      </c>
      <c r="AC143">
        <v>1.0</v>
      </c>
      <c r="AD143">
        <v>0.0</v>
      </c>
      <c r="AE143">
        <v>0.0</v>
      </c>
      <c r="AF143">
        <v>0.0</v>
      </c>
      <c r="AG143" t="s">
        <v>1</v>
      </c>
    </row>
    <row r="144">
      <c r="A144" s="820" t="s">
        <v>1</v>
      </c>
      <c r="B144" s="821">
        <v>9.0</v>
      </c>
      <c r="C144" s="822" t="s">
        <v>1509</v>
      </c>
      <c r="D144" s="823" t="s">
        <v>23</v>
      </c>
      <c r="E144" s="823" t="s">
        <v>33</v>
      </c>
      <c r="F144" s="823" t="s">
        <v>77</v>
      </c>
      <c r="G144" s="823">
        <v>0.0</v>
      </c>
      <c r="H144" s="823">
        <v>0.0</v>
      </c>
      <c r="I144" s="823">
        <v>1.0</v>
      </c>
      <c r="J144" s="823"/>
      <c r="K144" s="823" t="s">
        <v>188</v>
      </c>
      <c r="L144" s="823" t="s">
        <v>446</v>
      </c>
      <c r="M144" s="822">
        <v>8.0</v>
      </c>
      <c r="N144" s="823">
        <v>8.0</v>
      </c>
      <c r="O144" s="824" t="s">
        <v>1510</v>
      </c>
      <c r="P144" s="808" t="s">
        <v>1</v>
      </c>
      <c r="Q144" s="808">
        <v>5.0</v>
      </c>
      <c r="R144" s="808">
        <v>2.0</v>
      </c>
      <c r="S144" s="808">
        <v>10.0</v>
      </c>
      <c r="T144" s="808">
        <v>3.0</v>
      </c>
      <c r="U144" s="808">
        <v>0.0</v>
      </c>
      <c r="V144" s="808">
        <v>0.0</v>
      </c>
      <c r="W144">
        <v>0.0</v>
      </c>
      <c r="X144">
        <v>1.0</v>
      </c>
      <c r="Y144" t="b">
        <v>1</v>
      </c>
      <c r="Z144" t="b">
        <v>1</v>
      </c>
      <c r="AA144">
        <v>0.0</v>
      </c>
      <c r="AB144">
        <v>1.0</v>
      </c>
      <c r="AC144">
        <v>1.0</v>
      </c>
      <c r="AD144">
        <v>0.0</v>
      </c>
      <c r="AE144">
        <v>0.0</v>
      </c>
      <c r="AF144">
        <v>0.0</v>
      </c>
      <c r="AG144" t="s">
        <v>1</v>
      </c>
    </row>
    <row r="145">
      <c r="A145" s="820" t="s">
        <v>1</v>
      </c>
      <c r="B145" s="821">
        <v>10.0</v>
      </c>
      <c r="C145" s="822" t="s">
        <v>1515</v>
      </c>
      <c r="D145" s="823" t="s">
        <v>23</v>
      </c>
      <c r="E145" s="823" t="s">
        <v>33</v>
      </c>
      <c r="F145" s="823" t="s">
        <v>77</v>
      </c>
      <c r="G145" s="823">
        <v>0.0</v>
      </c>
      <c r="H145" s="823">
        <v>0.0</v>
      </c>
      <c r="I145" s="823">
        <v>1.33</v>
      </c>
      <c r="J145" s="823"/>
      <c r="K145" s="823" t="s">
        <v>188</v>
      </c>
      <c r="L145" s="823" t="s">
        <v>446</v>
      </c>
      <c r="M145" s="822">
        <v>12.0</v>
      </c>
      <c r="N145" s="823">
        <v>12.0</v>
      </c>
      <c r="O145" s="824" t="s">
        <v>1516</v>
      </c>
      <c r="P145" s="808" t="s">
        <v>1</v>
      </c>
      <c r="Q145" s="808">
        <v>5.0</v>
      </c>
      <c r="R145" s="808">
        <v>2.0</v>
      </c>
      <c r="S145" s="808">
        <v>10.0</v>
      </c>
      <c r="T145" s="808">
        <v>3.0</v>
      </c>
      <c r="U145" s="808">
        <v>0.0</v>
      </c>
      <c r="V145" s="808">
        <v>0.0</v>
      </c>
      <c r="W145">
        <v>0.0</v>
      </c>
      <c r="X145">
        <v>1.0</v>
      </c>
      <c r="Y145" t="b">
        <v>1</v>
      </c>
      <c r="Z145" t="b">
        <v>1</v>
      </c>
      <c r="AA145">
        <v>-0.33000000000000007</v>
      </c>
      <c r="AB145">
        <v>1.0</v>
      </c>
      <c r="AC145">
        <v>0.6699999999999999</v>
      </c>
      <c r="AD145">
        <v>0.0</v>
      </c>
      <c r="AE145">
        <v>0.0</v>
      </c>
      <c r="AF145">
        <v>0.0</v>
      </c>
      <c r="AG145" t="s">
        <v>1</v>
      </c>
    </row>
    <row r="146">
      <c r="A146" s="820" t="s">
        <v>1</v>
      </c>
      <c r="B146" s="821"/>
      <c r="C146" s="822" t="s">
        <v>1</v>
      </c>
      <c r="D146" s="823" t="s">
        <v>1</v>
      </c>
      <c r="E146" s="823" t="s">
        <v>1</v>
      </c>
      <c r="F146" s="823" t="s">
        <v>1</v>
      </c>
      <c r="G146" s="823"/>
      <c r="H146" s="823"/>
      <c r="I146" s="823"/>
      <c r="J146" s="823"/>
      <c r="K146" s="823" t="s">
        <v>1</v>
      </c>
      <c r="L146" s="823" t="s">
        <v>1</v>
      </c>
      <c r="M146" s="822"/>
      <c r="N146" s="823"/>
      <c r="O146" s="824" t="s">
        <v>1</v>
      </c>
      <c r="P146" s="808" t="s">
        <v>1</v>
      </c>
      <c r="Q146" s="808"/>
      <c r="R146" s="808"/>
      <c r="S146" s="808"/>
      <c r="T146" s="808"/>
      <c r="U146" s="808"/>
      <c r="V146" s="808"/>
      <c r="AG146" t="s">
        <v>1</v>
      </c>
    </row>
    <row r="147">
      <c r="A147" s="820"/>
      <c r="B147" s="821"/>
      <c r="C147" s="822"/>
      <c r="D147" s="823"/>
      <c r="E147" s="823"/>
      <c r="F147" s="823"/>
      <c r="G147" s="823"/>
      <c r="H147" s="823"/>
      <c r="I147" s="823"/>
      <c r="J147" s="823"/>
      <c r="K147" s="823"/>
      <c r="L147" s="823"/>
      <c r="M147" s="822"/>
      <c r="N147" s="823"/>
      <c r="O147" s="824"/>
      <c r="P147" s="808"/>
      <c r="Q147" s="808"/>
      <c r="R147" s="808"/>
      <c r="S147" s="808"/>
      <c r="T147" s="808"/>
      <c r="U147" s="808"/>
      <c r="V147" s="808"/>
    </row>
    <row r="148">
      <c r="A148" s="820"/>
      <c r="B148" s="821"/>
      <c r="C148" s="822"/>
      <c r="D148" s="823"/>
      <c r="E148" s="823"/>
      <c r="F148" s="823"/>
      <c r="G148" s="823"/>
      <c r="H148" s="823"/>
      <c r="I148" s="823"/>
      <c r="J148" s="823"/>
      <c r="K148" s="823"/>
      <c r="L148" s="823"/>
      <c r="M148" s="822"/>
      <c r="N148" s="823"/>
      <c r="O148" s="824"/>
      <c r="P148" s="808"/>
      <c r="Q148" s="808"/>
      <c r="R148" s="808"/>
      <c r="S148" s="808"/>
      <c r="T148" s="808"/>
      <c r="U148" s="808"/>
      <c r="V148" s="808"/>
    </row>
    <row r="149">
      <c r="A149" s="820"/>
      <c r="B149" s="821"/>
      <c r="C149" s="822"/>
      <c r="D149" s="823"/>
      <c r="E149" s="823"/>
      <c r="F149" s="823"/>
      <c r="G149" s="823"/>
      <c r="H149" s="823"/>
      <c r="I149" s="823"/>
      <c r="J149" s="823"/>
      <c r="K149" s="823"/>
      <c r="L149" s="823"/>
      <c r="M149" s="822"/>
      <c r="N149" s="823"/>
      <c r="O149" s="824"/>
      <c r="P149" s="808"/>
      <c r="Q149" s="808"/>
      <c r="R149" s="808"/>
      <c r="S149" s="808"/>
      <c r="T149" s="808"/>
      <c r="U149" s="808"/>
      <c r="V149" s="808"/>
    </row>
    <row r="150">
      <c r="A150" s="820"/>
      <c r="B150" s="821"/>
      <c r="C150" s="822"/>
      <c r="D150" s="823"/>
      <c r="E150" s="823"/>
      <c r="F150" s="823"/>
      <c r="G150" s="823"/>
      <c r="H150" s="823"/>
      <c r="I150" s="823"/>
      <c r="J150" s="823"/>
      <c r="K150" s="823"/>
      <c r="L150" s="823"/>
      <c r="M150" s="822"/>
      <c r="N150" s="823"/>
      <c r="O150" s="824"/>
      <c r="P150" s="808"/>
      <c r="Q150" s="808"/>
      <c r="R150" s="808"/>
      <c r="S150" s="808"/>
      <c r="T150" s="808"/>
      <c r="U150" s="808"/>
      <c r="V150" s="808"/>
    </row>
    <row r="151">
      <c r="A151" s="820"/>
      <c r="B151" s="821"/>
      <c r="C151" s="822"/>
      <c r="D151" s="823"/>
      <c r="E151" s="823"/>
      <c r="F151" s="823"/>
      <c r="G151" s="823"/>
      <c r="H151" s="823"/>
      <c r="I151" s="823"/>
      <c r="J151" s="823"/>
      <c r="K151" s="823"/>
      <c r="L151" s="823"/>
      <c r="M151" s="822"/>
      <c r="N151" s="823"/>
      <c r="O151" s="824"/>
      <c r="P151" s="808"/>
      <c r="Q151" s="808"/>
      <c r="R151" s="808"/>
      <c r="S151" s="808"/>
      <c r="T151" s="808"/>
      <c r="U151" s="808"/>
      <c r="V151" s="808"/>
    </row>
    <row r="152">
      <c r="A152" s="820"/>
      <c r="B152" s="821"/>
      <c r="C152" s="822"/>
      <c r="D152" s="823"/>
      <c r="E152" s="823"/>
      <c r="F152" s="823"/>
      <c r="G152" s="823"/>
      <c r="H152" s="823"/>
      <c r="I152" s="823"/>
      <c r="J152" s="823"/>
      <c r="K152" s="823"/>
      <c r="L152" s="823"/>
      <c r="M152" s="822"/>
      <c r="N152" s="823"/>
      <c r="O152" s="824"/>
      <c r="P152" s="808"/>
      <c r="Q152" s="808"/>
      <c r="R152" s="808"/>
      <c r="S152" s="808"/>
      <c r="T152" s="808"/>
      <c r="U152" s="808"/>
      <c r="V152" s="808"/>
    </row>
    <row r="153">
      <c r="A153" s="820"/>
      <c r="B153" s="821"/>
      <c r="C153" s="822"/>
      <c r="D153" s="823"/>
      <c r="E153" s="823"/>
      <c r="F153" s="823"/>
      <c r="G153" s="823"/>
      <c r="H153" s="823"/>
      <c r="I153" s="823"/>
      <c r="J153" s="823"/>
      <c r="K153" s="823"/>
      <c r="L153" s="823"/>
      <c r="M153" s="822"/>
      <c r="N153" s="823"/>
      <c r="O153" s="824"/>
      <c r="P153" s="808"/>
      <c r="Q153" s="808"/>
      <c r="R153" s="808"/>
      <c r="S153" s="808"/>
      <c r="T153" s="808"/>
      <c r="U153" s="808"/>
      <c r="V153" s="808"/>
    </row>
    <row r="154">
      <c r="A154" s="820"/>
      <c r="B154" s="821"/>
      <c r="C154" s="822"/>
      <c r="D154" s="823"/>
      <c r="E154" s="823"/>
      <c r="F154" s="823"/>
      <c r="G154" s="823"/>
      <c r="H154" s="823"/>
      <c r="I154" s="823"/>
      <c r="J154" s="823"/>
      <c r="K154" s="823"/>
      <c r="L154" s="823"/>
      <c r="M154" s="822"/>
      <c r="N154" s="823"/>
      <c r="O154" s="824"/>
      <c r="P154" s="808"/>
      <c r="Q154" s="808"/>
      <c r="R154" s="808"/>
      <c r="S154" s="808"/>
      <c r="T154" s="808"/>
      <c r="U154" s="808"/>
      <c r="V154" s="808"/>
    </row>
    <row r="155">
      <c r="A155" s="820"/>
      <c r="B155" s="821"/>
      <c r="C155" s="822"/>
      <c r="D155" s="823"/>
      <c r="E155" s="823"/>
      <c r="F155" s="823"/>
      <c r="G155" s="823"/>
      <c r="H155" s="823"/>
      <c r="I155" s="823"/>
      <c r="J155" s="823"/>
      <c r="K155" s="823"/>
      <c r="L155" s="823"/>
      <c r="M155" s="822"/>
      <c r="N155" s="823"/>
      <c r="O155" s="824"/>
      <c r="P155" s="808"/>
      <c r="Q155" s="808"/>
      <c r="R155" s="808"/>
      <c r="S155" s="808"/>
      <c r="T155" s="808"/>
      <c r="U155" s="808"/>
      <c r="V155" s="808"/>
    </row>
    <row r="156">
      <c r="A156" s="820"/>
      <c r="B156" s="821"/>
      <c r="C156" s="822"/>
      <c r="D156" s="823"/>
      <c r="E156" s="823"/>
      <c r="F156" s="823"/>
      <c r="G156" s="823"/>
      <c r="H156" s="823"/>
      <c r="I156" s="823"/>
      <c r="J156" s="823"/>
      <c r="K156" s="823"/>
      <c r="L156" s="823"/>
      <c r="M156" s="822"/>
      <c r="N156" s="823"/>
      <c r="O156" s="824"/>
      <c r="P156" s="808"/>
      <c r="Q156" s="808"/>
      <c r="R156" s="808"/>
      <c r="S156" s="808"/>
      <c r="T156" s="808"/>
      <c r="U156" s="808"/>
      <c r="V156" s="808"/>
    </row>
    <row r="157">
      <c r="A157" s="820"/>
      <c r="B157" s="821"/>
      <c r="C157" s="822"/>
      <c r="D157" s="823"/>
      <c r="E157" s="823"/>
      <c r="F157" s="823"/>
      <c r="G157" s="823"/>
      <c r="H157" s="823"/>
      <c r="I157" s="823"/>
      <c r="J157" s="823"/>
      <c r="K157" s="823"/>
      <c r="L157" s="823"/>
      <c r="M157" s="822"/>
      <c r="N157" s="823"/>
      <c r="O157" s="824"/>
      <c r="P157" s="808"/>
      <c r="Q157" s="808"/>
      <c r="R157" s="808"/>
      <c r="S157" s="808"/>
      <c r="T157" s="808"/>
      <c r="U157" s="808"/>
      <c r="V157" s="808"/>
    </row>
    <row r="158">
      <c r="A158" s="820"/>
      <c r="B158" s="821"/>
      <c r="C158" s="822"/>
      <c r="D158" s="823"/>
      <c r="E158" s="823"/>
      <c r="F158" s="823"/>
      <c r="G158" s="823"/>
      <c r="H158" s="823"/>
      <c r="I158" s="823"/>
      <c r="J158" s="823"/>
      <c r="K158" s="823"/>
      <c r="L158" s="823"/>
      <c r="M158" s="822"/>
      <c r="N158" s="823"/>
      <c r="O158" s="824"/>
      <c r="P158" s="808"/>
      <c r="Q158" s="808"/>
      <c r="R158" s="808"/>
      <c r="S158" s="808"/>
      <c r="T158" s="808"/>
      <c r="U158" s="808"/>
      <c r="V158" s="808"/>
    </row>
    <row r="159">
      <c r="A159" s="820"/>
      <c r="B159" s="821"/>
      <c r="C159" s="822"/>
      <c r="D159" s="823"/>
      <c r="E159" s="823"/>
      <c r="F159" s="823"/>
      <c r="G159" s="823"/>
      <c r="H159" s="823"/>
      <c r="I159" s="823"/>
      <c r="J159" s="823"/>
      <c r="K159" s="823"/>
      <c r="L159" s="823"/>
      <c r="M159" s="822"/>
      <c r="N159" s="823"/>
      <c r="O159" s="824"/>
      <c r="P159" s="808"/>
      <c r="Q159" s="808"/>
      <c r="R159" s="808"/>
      <c r="S159" s="808"/>
      <c r="T159" s="808"/>
      <c r="U159" s="808"/>
      <c r="V159" s="808"/>
    </row>
    <row r="160">
      <c r="A160" s="820"/>
      <c r="B160" s="821"/>
      <c r="C160" s="822"/>
      <c r="D160" s="823"/>
      <c r="E160" s="823"/>
      <c r="F160" s="823"/>
      <c r="G160" s="823"/>
      <c r="H160" s="823"/>
      <c r="I160" s="823"/>
      <c r="J160" s="823"/>
      <c r="K160" s="823"/>
      <c r="L160" s="823"/>
      <c r="M160" s="822"/>
      <c r="N160" s="823"/>
      <c r="O160" s="824"/>
      <c r="P160" s="808"/>
      <c r="Q160" s="808"/>
      <c r="R160" s="808"/>
      <c r="S160" s="808"/>
      <c r="T160" s="808"/>
      <c r="U160" s="808"/>
      <c r="V160" s="808"/>
    </row>
    <row r="161">
      <c r="A161" s="820"/>
      <c r="B161" s="821"/>
      <c r="C161" s="822"/>
      <c r="D161" s="823"/>
      <c r="E161" s="823"/>
      <c r="F161" s="823"/>
      <c r="G161" s="823"/>
      <c r="H161" s="823"/>
      <c r="I161" s="823"/>
      <c r="J161" s="823"/>
      <c r="K161" s="823"/>
      <c r="L161" s="823"/>
      <c r="M161" s="822"/>
      <c r="N161" s="823"/>
      <c r="O161" s="824"/>
      <c r="P161" s="808"/>
      <c r="Q161" s="808"/>
      <c r="R161" s="808"/>
      <c r="S161" s="808"/>
      <c r="T161" s="808"/>
      <c r="U161" s="808"/>
      <c r="V161" s="808"/>
    </row>
    <row r="162">
      <c r="A162" s="820"/>
      <c r="B162" s="821"/>
      <c r="C162" s="822"/>
      <c r="D162" s="823"/>
      <c r="E162" s="823"/>
      <c r="F162" s="823"/>
      <c r="G162" s="823"/>
      <c r="H162" s="823"/>
      <c r="I162" s="823"/>
      <c r="J162" s="823"/>
      <c r="K162" s="823"/>
      <c r="L162" s="823"/>
      <c r="M162" s="822"/>
      <c r="N162" s="823"/>
      <c r="O162" s="824"/>
      <c r="P162" s="808"/>
      <c r="Q162" s="808"/>
      <c r="R162" s="808"/>
      <c r="S162" s="808"/>
      <c r="T162" s="808"/>
      <c r="U162" s="808"/>
      <c r="V162" s="808"/>
    </row>
    <row r="163">
      <c r="A163" s="820"/>
      <c r="B163" s="821"/>
      <c r="C163" s="822"/>
      <c r="D163" s="823"/>
      <c r="E163" s="823"/>
      <c r="F163" s="823"/>
      <c r="G163" s="823"/>
      <c r="H163" s="823"/>
      <c r="I163" s="823"/>
      <c r="J163" s="823"/>
      <c r="K163" s="823"/>
      <c r="L163" s="823"/>
      <c r="M163" s="822"/>
      <c r="N163" s="823"/>
      <c r="O163" s="824"/>
      <c r="P163" s="808"/>
      <c r="Q163" s="808"/>
      <c r="R163" s="808"/>
      <c r="S163" s="808"/>
      <c r="T163" s="808"/>
      <c r="U163" s="808"/>
      <c r="V163" s="808"/>
    </row>
    <row r="164">
      <c r="A164" s="820"/>
      <c r="B164" s="821"/>
      <c r="C164" s="822"/>
      <c r="D164" s="823"/>
      <c r="E164" s="823"/>
      <c r="F164" s="823"/>
      <c r="G164" s="823"/>
      <c r="H164" s="823"/>
      <c r="I164" s="823"/>
      <c r="J164" s="823"/>
      <c r="K164" s="823"/>
      <c r="L164" s="823"/>
      <c r="M164" s="822"/>
      <c r="N164" s="823"/>
      <c r="O164" s="824"/>
      <c r="P164" s="808"/>
      <c r="Q164" s="808"/>
      <c r="R164" s="808"/>
      <c r="S164" s="808"/>
      <c r="T164" s="808"/>
      <c r="U164" s="808"/>
      <c r="V164" s="808"/>
    </row>
    <row r="165">
      <c r="A165" s="820"/>
      <c r="B165" s="821"/>
      <c r="C165" s="822"/>
      <c r="D165" s="823"/>
      <c r="E165" s="823"/>
      <c r="F165" s="823"/>
      <c r="G165" s="823"/>
      <c r="H165" s="823"/>
      <c r="I165" s="823"/>
      <c r="J165" s="823"/>
      <c r="K165" s="823"/>
      <c r="L165" s="823"/>
      <c r="M165" s="822"/>
      <c r="N165" s="823"/>
      <c r="O165" s="824"/>
      <c r="P165" s="808"/>
      <c r="Q165" s="808"/>
      <c r="R165" s="808"/>
      <c r="S165" s="808"/>
      <c r="T165" s="808"/>
      <c r="U165" s="808"/>
      <c r="V165" s="808"/>
    </row>
    <row r="166">
      <c r="A166" s="820"/>
      <c r="B166" s="821"/>
      <c r="C166" s="822"/>
      <c r="D166" s="823"/>
      <c r="E166" s="823"/>
      <c r="F166" s="823"/>
      <c r="G166" s="823"/>
      <c r="H166" s="823"/>
      <c r="I166" s="823"/>
      <c r="J166" s="823"/>
      <c r="K166" s="823"/>
      <c r="L166" s="823"/>
      <c r="M166" s="822"/>
      <c r="N166" s="823"/>
      <c r="O166" s="824"/>
      <c r="P166" s="808"/>
      <c r="Q166" s="808"/>
      <c r="R166" s="808"/>
      <c r="S166" s="808"/>
      <c r="T166" s="808"/>
      <c r="U166" s="808"/>
      <c r="V166" s="808"/>
    </row>
    <row r="167">
      <c r="A167" s="820"/>
      <c r="B167" s="821"/>
      <c r="C167" s="822"/>
      <c r="D167" s="823"/>
      <c r="E167" s="823"/>
      <c r="F167" s="823"/>
      <c r="G167" s="823"/>
      <c r="H167" s="823"/>
      <c r="I167" s="823"/>
      <c r="J167" s="823"/>
      <c r="K167" s="823"/>
      <c r="L167" s="823"/>
      <c r="M167" s="822"/>
      <c r="N167" s="823"/>
      <c r="O167" s="824"/>
      <c r="P167" s="808"/>
      <c r="Q167" s="808"/>
      <c r="R167" s="808"/>
      <c r="S167" s="808"/>
      <c r="T167" s="808"/>
      <c r="U167" s="808"/>
      <c r="V167" s="808"/>
    </row>
    <row r="168">
      <c r="B168" s="825"/>
      <c r="C168" s="106"/>
      <c r="D168" s="826"/>
      <c r="E168" s="826"/>
      <c r="F168" s="826"/>
      <c r="G168" s="826"/>
      <c r="H168" s="826"/>
      <c r="I168" s="826"/>
      <c r="J168" s="826"/>
      <c r="K168" s="826"/>
      <c r="L168" s="826"/>
      <c r="M168" s="106"/>
      <c r="N168" s="826"/>
      <c r="O168" s="827"/>
      <c r="P168" s="808"/>
      <c r="Q168" s="808"/>
      <c r="R168" s="808"/>
      <c r="S168" s="808"/>
      <c r="T168" s="808"/>
      <c r="U168" s="808"/>
      <c r="V168" s="808"/>
    </row>
    <row r="169">
      <c r="B169" s="825"/>
      <c r="C169" s="106"/>
      <c r="D169" s="826"/>
      <c r="E169" s="826"/>
      <c r="F169" s="826"/>
      <c r="G169" s="826"/>
      <c r="H169" s="826"/>
      <c r="I169" s="826"/>
      <c r="J169" s="826"/>
      <c r="K169" s="826"/>
      <c r="L169" s="826"/>
      <c r="M169" s="106"/>
      <c r="N169" s="826"/>
      <c r="O169" s="827"/>
      <c r="P169" s="808"/>
      <c r="Q169" s="808"/>
      <c r="R169" s="808"/>
      <c r="S169" s="808"/>
      <c r="T169" s="808"/>
      <c r="U169" s="808"/>
      <c r="V169" s="808"/>
    </row>
    <row r="170">
      <c r="B170" s="825"/>
      <c r="C170" s="106"/>
      <c r="D170" s="826"/>
      <c r="E170" s="826"/>
      <c r="F170" s="826"/>
      <c r="G170" s="826"/>
      <c r="H170" s="826"/>
      <c r="I170" s="826"/>
      <c r="J170" s="826"/>
      <c r="K170" s="826"/>
      <c r="L170" s="826"/>
      <c r="M170" s="106"/>
      <c r="N170" s="826"/>
      <c r="O170" s="827"/>
      <c r="P170" s="808"/>
      <c r="Q170" s="808"/>
      <c r="R170" s="808"/>
      <c r="S170" s="808"/>
      <c r="T170" s="808"/>
      <c r="U170" s="808"/>
      <c r="V170" s="808"/>
    </row>
    <row r="171">
      <c r="B171" s="825"/>
      <c r="C171" s="106"/>
      <c r="D171" s="826"/>
      <c r="E171" s="826"/>
      <c r="F171" s="826"/>
      <c r="G171" s="826"/>
      <c r="H171" s="826"/>
      <c r="I171" s="826"/>
      <c r="J171" s="826"/>
      <c r="K171" s="826"/>
      <c r="L171" s="826"/>
      <c r="M171" s="106"/>
      <c r="N171" s="826"/>
      <c r="O171" s="827"/>
      <c r="P171" s="808"/>
      <c r="Q171" s="808"/>
      <c r="R171" s="808"/>
      <c r="S171" s="808"/>
      <c r="T171" s="808"/>
      <c r="U171" s="808"/>
      <c r="V171" s="808"/>
    </row>
    <row r="172">
      <c r="B172" s="825"/>
      <c r="C172" s="106"/>
      <c r="D172" s="826"/>
      <c r="E172" s="826"/>
      <c r="F172" s="826"/>
      <c r="G172" s="826"/>
      <c r="H172" s="826"/>
      <c r="I172" s="826"/>
      <c r="J172" s="826"/>
      <c r="K172" s="826"/>
      <c r="L172" s="826"/>
      <c r="M172" s="106"/>
      <c r="N172" s="826"/>
      <c r="O172" s="827"/>
      <c r="P172" s="808"/>
      <c r="Q172" s="808"/>
      <c r="R172" s="808"/>
      <c r="S172" s="808"/>
      <c r="T172" s="808"/>
      <c r="U172" s="808"/>
      <c r="V172" s="808"/>
    </row>
    <row r="173">
      <c r="B173" s="825"/>
      <c r="C173" s="106"/>
      <c r="D173" s="826"/>
      <c r="E173" s="826"/>
      <c r="F173" s="826"/>
      <c r="G173" s="826"/>
      <c r="H173" s="826"/>
      <c r="I173" s="826"/>
      <c r="J173" s="826"/>
      <c r="K173" s="826"/>
      <c r="L173" s="826"/>
      <c r="M173" s="106"/>
      <c r="N173" s="826"/>
      <c r="O173" s="827"/>
      <c r="P173" s="808"/>
      <c r="Q173" s="808"/>
      <c r="R173" s="808"/>
      <c r="S173" s="808"/>
      <c r="T173" s="808"/>
      <c r="U173" s="808"/>
      <c r="V173" s="808"/>
    </row>
    <row r="174">
      <c r="B174" s="825"/>
      <c r="C174" s="106"/>
      <c r="D174" s="826"/>
      <c r="E174" s="826"/>
      <c r="F174" s="826"/>
      <c r="G174" s="826"/>
      <c r="H174" s="826"/>
      <c r="I174" s="826"/>
      <c r="J174" s="826"/>
      <c r="K174" s="826"/>
      <c r="L174" s="826"/>
      <c r="M174" s="106"/>
      <c r="N174" s="826"/>
      <c r="O174" s="827"/>
      <c r="P174" s="808"/>
      <c r="Q174" s="808"/>
      <c r="R174" s="808"/>
      <c r="S174" s="808"/>
      <c r="T174" s="808"/>
      <c r="U174" s="808"/>
      <c r="V174" s="808"/>
    </row>
    <row r="175">
      <c r="B175" s="825"/>
      <c r="C175" s="106"/>
      <c r="D175" s="826"/>
      <c r="E175" s="826"/>
      <c r="F175" s="826"/>
      <c r="G175" s="826"/>
      <c r="H175" s="826"/>
      <c r="I175" s="826"/>
      <c r="J175" s="826"/>
      <c r="K175" s="826"/>
      <c r="L175" s="826"/>
      <c r="M175" s="106"/>
      <c r="N175" s="826"/>
      <c r="O175" s="827"/>
      <c r="P175" s="808"/>
      <c r="Q175" s="808"/>
      <c r="R175" s="808"/>
      <c r="S175" s="808"/>
      <c r="T175" s="808"/>
      <c r="U175" s="808"/>
      <c r="V175" s="808"/>
    </row>
    <row r="176">
      <c r="B176" s="825"/>
      <c r="C176" s="106"/>
      <c r="D176" s="826"/>
      <c r="E176" s="826"/>
      <c r="F176" s="826"/>
      <c r="G176" s="826"/>
      <c r="H176" s="826"/>
      <c r="I176" s="826"/>
      <c r="J176" s="826"/>
      <c r="K176" s="826"/>
      <c r="L176" s="826"/>
      <c r="M176" s="106"/>
      <c r="N176" s="826"/>
      <c r="O176" s="827"/>
      <c r="P176" s="808"/>
      <c r="Q176" s="808"/>
      <c r="R176" s="808"/>
      <c r="S176" s="808"/>
      <c r="T176" s="808"/>
      <c r="U176" s="808"/>
      <c r="V176" s="808"/>
    </row>
    <row r="177">
      <c r="B177" s="825"/>
      <c r="C177" s="106"/>
      <c r="D177" s="826"/>
      <c r="E177" s="826"/>
      <c r="F177" s="826"/>
      <c r="G177" s="826"/>
      <c r="H177" s="826"/>
      <c r="I177" s="826"/>
      <c r="J177" s="826"/>
      <c r="K177" s="826"/>
      <c r="L177" s="826"/>
      <c r="M177" s="106"/>
      <c r="N177" s="826"/>
      <c r="O177" s="827"/>
      <c r="P177" s="808"/>
      <c r="Q177" s="808"/>
      <c r="R177" s="808"/>
      <c r="S177" s="808"/>
      <c r="T177" s="808"/>
      <c r="U177" s="808"/>
      <c r="V177" s="808"/>
    </row>
    <row r="178">
      <c r="B178" s="825"/>
      <c r="C178" s="106"/>
      <c r="D178" s="826"/>
      <c r="E178" s="826"/>
      <c r="F178" s="826"/>
      <c r="G178" s="826"/>
      <c r="H178" s="826"/>
      <c r="I178" s="826"/>
      <c r="J178" s="826"/>
      <c r="K178" s="826"/>
      <c r="L178" s="826"/>
      <c r="M178" s="106"/>
      <c r="N178" s="826"/>
      <c r="O178" s="827"/>
      <c r="P178" s="808"/>
      <c r="Q178" s="808"/>
      <c r="R178" s="808"/>
      <c r="S178" s="808"/>
      <c r="T178" s="808"/>
      <c r="U178" s="808"/>
      <c r="V178" s="808"/>
    </row>
    <row r="179">
      <c r="B179" s="825"/>
      <c r="C179" s="106"/>
      <c r="D179" s="826"/>
      <c r="E179" s="826"/>
      <c r="F179" s="826"/>
      <c r="G179" s="826"/>
      <c r="H179" s="826"/>
      <c r="I179" s="826"/>
      <c r="J179" s="826"/>
      <c r="K179" s="826"/>
      <c r="L179" s="826"/>
      <c r="M179" s="106"/>
      <c r="N179" s="826"/>
      <c r="O179" s="827"/>
      <c r="P179" s="808"/>
      <c r="Q179" s="808"/>
      <c r="R179" s="808"/>
      <c r="S179" s="808"/>
      <c r="T179" s="808"/>
      <c r="U179" s="808"/>
      <c r="V179" s="808"/>
    </row>
    <row r="180">
      <c r="B180" s="825"/>
      <c r="C180" s="106"/>
      <c r="D180" s="826"/>
      <c r="E180" s="826"/>
      <c r="F180" s="826"/>
      <c r="G180" s="826"/>
      <c r="H180" s="826"/>
      <c r="I180" s="826"/>
      <c r="J180" s="826"/>
      <c r="K180" s="826"/>
      <c r="L180" s="826"/>
      <c r="M180" s="106"/>
      <c r="N180" s="826"/>
      <c r="O180" s="827"/>
      <c r="P180" s="808"/>
      <c r="Q180" s="808"/>
      <c r="R180" s="808"/>
      <c r="S180" s="808"/>
      <c r="T180" s="808"/>
      <c r="U180" s="808"/>
      <c r="V180" s="808"/>
    </row>
    <row r="181">
      <c r="B181" s="825"/>
      <c r="C181" s="106"/>
      <c r="D181" s="826"/>
      <c r="E181" s="826"/>
      <c r="F181" s="826"/>
      <c r="G181" s="826"/>
      <c r="H181" s="826"/>
      <c r="I181" s="826"/>
      <c r="J181" s="826"/>
      <c r="K181" s="826"/>
      <c r="L181" s="826"/>
      <c r="M181" s="106"/>
      <c r="N181" s="826"/>
      <c r="O181" s="827"/>
      <c r="P181" s="808"/>
      <c r="Q181" s="808"/>
      <c r="R181" s="808"/>
      <c r="S181" s="808"/>
      <c r="T181" s="808"/>
      <c r="U181" s="808"/>
      <c r="V181" s="808"/>
    </row>
    <row r="182">
      <c r="B182" s="825"/>
      <c r="C182" s="106"/>
      <c r="D182" s="826"/>
      <c r="E182" s="826"/>
      <c r="F182" s="826"/>
      <c r="G182" s="826"/>
      <c r="H182" s="826"/>
      <c r="I182" s="826"/>
      <c r="J182" s="826"/>
      <c r="K182" s="826"/>
      <c r="L182" s="826"/>
      <c r="M182" s="106"/>
      <c r="N182" s="826"/>
      <c r="O182" s="827"/>
      <c r="P182" s="808"/>
      <c r="Q182" s="808"/>
      <c r="R182" s="808"/>
      <c r="S182" s="808"/>
      <c r="T182" s="808"/>
      <c r="U182" s="808"/>
      <c r="V182" s="808"/>
    </row>
    <row r="183">
      <c r="B183" s="825"/>
      <c r="C183" s="106"/>
      <c r="D183" s="826"/>
      <c r="E183" s="826"/>
      <c r="F183" s="826"/>
      <c r="G183" s="826"/>
      <c r="H183" s="826"/>
      <c r="I183" s="826"/>
      <c r="J183" s="826"/>
      <c r="K183" s="826"/>
      <c r="L183" s="826"/>
      <c r="M183" s="106"/>
      <c r="N183" s="826"/>
      <c r="O183" s="827"/>
      <c r="P183" s="808"/>
      <c r="Q183" s="808"/>
      <c r="R183" s="808"/>
      <c r="S183" s="808"/>
      <c r="T183" s="808"/>
      <c r="U183" s="808"/>
      <c r="V183" s="808"/>
    </row>
    <row r="184">
      <c r="B184" s="825"/>
      <c r="C184" s="106"/>
      <c r="D184" s="826"/>
      <c r="E184" s="826"/>
      <c r="F184" s="826"/>
      <c r="G184" s="826"/>
      <c r="H184" s="826"/>
      <c r="I184" s="826"/>
      <c r="J184" s="826"/>
      <c r="K184" s="826"/>
      <c r="L184" s="826"/>
      <c r="M184" s="106"/>
      <c r="N184" s="826"/>
      <c r="O184" s="827"/>
      <c r="P184" s="808"/>
      <c r="Q184" s="808"/>
      <c r="R184" s="808"/>
      <c r="S184" s="808"/>
      <c r="T184" s="808"/>
      <c r="U184" s="808"/>
      <c r="V184" s="808"/>
    </row>
    <row r="185">
      <c r="B185" s="825"/>
      <c r="C185" s="106"/>
      <c r="D185" s="826"/>
      <c r="E185" s="826"/>
      <c r="F185" s="826"/>
      <c r="G185" s="826"/>
      <c r="H185" s="826"/>
      <c r="I185" s="826"/>
      <c r="J185" s="826"/>
      <c r="K185" s="826"/>
      <c r="L185" s="826"/>
      <c r="M185" s="106"/>
      <c r="N185" s="826"/>
      <c r="O185" s="827"/>
      <c r="P185" s="808"/>
      <c r="Q185" s="808"/>
      <c r="R185" s="808"/>
      <c r="S185" s="808"/>
      <c r="T185" s="808"/>
      <c r="U185" s="808"/>
      <c r="V185" s="808"/>
    </row>
    <row r="186">
      <c r="B186" s="825"/>
      <c r="C186" s="106"/>
      <c r="D186" s="826"/>
      <c r="E186" s="826"/>
      <c r="F186" s="826"/>
      <c r="G186" s="826"/>
      <c r="H186" s="826"/>
      <c r="I186" s="826"/>
      <c r="J186" s="826"/>
      <c r="K186" s="826"/>
      <c r="L186" s="826"/>
      <c r="M186" s="106"/>
      <c r="N186" s="826"/>
      <c r="O186" s="827"/>
      <c r="P186" s="808"/>
      <c r="Q186" s="808"/>
      <c r="R186" s="808"/>
      <c r="S186" s="808"/>
      <c r="T186" s="808"/>
      <c r="U186" s="808"/>
      <c r="V186" s="808"/>
    </row>
    <row r="187">
      <c r="B187" s="825"/>
      <c r="C187" s="106"/>
      <c r="D187" s="826"/>
      <c r="E187" s="826"/>
      <c r="F187" s="826"/>
      <c r="G187" s="826"/>
      <c r="H187" s="826"/>
      <c r="I187" s="826"/>
      <c r="J187" s="826"/>
      <c r="K187" s="826"/>
      <c r="L187" s="826"/>
      <c r="M187" s="106"/>
      <c r="N187" s="826"/>
      <c r="O187" s="827"/>
      <c r="P187" s="808"/>
      <c r="Q187" s="808"/>
      <c r="R187" s="808"/>
      <c r="S187" s="808"/>
      <c r="T187" s="808"/>
      <c r="U187" s="808"/>
      <c r="V187" s="808"/>
    </row>
    <row r="188">
      <c r="B188" s="825"/>
      <c r="C188" s="106"/>
      <c r="D188" s="826"/>
      <c r="E188" s="826"/>
      <c r="F188" s="826"/>
      <c r="G188" s="826"/>
      <c r="H188" s="826"/>
      <c r="I188" s="826"/>
      <c r="J188" s="826"/>
      <c r="K188" s="826"/>
      <c r="L188" s="826"/>
      <c r="M188" s="106"/>
      <c r="N188" s="826"/>
      <c r="O188" s="827"/>
      <c r="P188" s="808"/>
      <c r="Q188" s="808"/>
      <c r="R188" s="808"/>
      <c r="S188" s="808"/>
      <c r="T188" s="808"/>
      <c r="U188" s="808"/>
      <c r="V188" s="808"/>
    </row>
    <row r="189">
      <c r="B189" s="825"/>
      <c r="C189" s="106"/>
      <c r="D189" s="826"/>
      <c r="E189" s="826"/>
      <c r="F189" s="826"/>
      <c r="G189" s="826"/>
      <c r="H189" s="826"/>
      <c r="I189" s="826"/>
      <c r="J189" s="826"/>
      <c r="K189" s="826"/>
      <c r="L189" s="826"/>
      <c r="M189" s="106"/>
      <c r="N189" s="826"/>
      <c r="O189" s="827"/>
      <c r="P189" s="808"/>
      <c r="Q189" s="808"/>
      <c r="R189" s="808"/>
      <c r="S189" s="808"/>
      <c r="T189" s="808"/>
      <c r="U189" s="808"/>
      <c r="V189" s="808"/>
    </row>
    <row r="190">
      <c r="B190" s="825"/>
      <c r="C190" s="106"/>
      <c r="D190" s="826"/>
      <c r="E190" s="826"/>
      <c r="F190" s="826"/>
      <c r="G190" s="826"/>
      <c r="H190" s="826"/>
      <c r="I190" s="826"/>
      <c r="J190" s="826"/>
      <c r="K190" s="826"/>
      <c r="L190" s="826"/>
      <c r="M190" s="106"/>
      <c r="N190" s="826"/>
      <c r="O190" s="827"/>
      <c r="P190" s="808"/>
      <c r="Q190" s="808"/>
      <c r="R190" s="808"/>
      <c r="S190" s="808"/>
      <c r="T190" s="808"/>
      <c r="U190" s="808"/>
      <c r="V190" s="808"/>
    </row>
    <row r="191">
      <c r="B191" s="825"/>
      <c r="C191" s="106"/>
      <c r="D191" s="826"/>
      <c r="E191" s="826"/>
      <c r="F191" s="826"/>
      <c r="G191" s="826"/>
      <c r="H191" s="826"/>
      <c r="I191" s="826"/>
      <c r="J191" s="826"/>
      <c r="K191" s="826"/>
      <c r="L191" s="826"/>
      <c r="M191" s="106"/>
      <c r="N191" s="826"/>
      <c r="O191" s="827"/>
      <c r="P191" s="808"/>
      <c r="Q191" s="808"/>
      <c r="R191" s="808"/>
      <c r="S191" s="808"/>
      <c r="T191" s="808"/>
      <c r="U191" s="808"/>
      <c r="V191" s="808"/>
    </row>
    <row r="192">
      <c r="B192" s="825"/>
      <c r="C192" s="106"/>
      <c r="D192" s="826"/>
      <c r="E192" s="826"/>
      <c r="F192" s="826"/>
      <c r="G192" s="826"/>
      <c r="H192" s="826"/>
      <c r="I192" s="826"/>
      <c r="J192" s="826"/>
      <c r="K192" s="826"/>
      <c r="L192" s="826"/>
      <c r="M192" s="106"/>
      <c r="N192" s="826"/>
      <c r="O192" s="827"/>
      <c r="P192" s="808"/>
      <c r="Q192" s="808"/>
      <c r="R192" s="808"/>
      <c r="S192" s="808"/>
      <c r="T192" s="808"/>
      <c r="U192" s="808"/>
      <c r="V192" s="808"/>
    </row>
    <row r="193">
      <c r="B193" s="825"/>
      <c r="C193" s="106"/>
      <c r="D193" s="826"/>
      <c r="E193" s="826"/>
      <c r="F193" s="826"/>
      <c r="G193" s="826"/>
      <c r="H193" s="826"/>
      <c r="I193" s="826"/>
      <c r="J193" s="826"/>
      <c r="K193" s="826"/>
      <c r="L193" s="826"/>
      <c r="M193" s="106"/>
      <c r="N193" s="826"/>
      <c r="O193" s="827"/>
      <c r="P193" s="808"/>
      <c r="Q193" s="808"/>
      <c r="R193" s="808"/>
      <c r="S193" s="808"/>
      <c r="T193" s="808"/>
      <c r="U193" s="808"/>
      <c r="V193" s="808"/>
    </row>
    <row r="194">
      <c r="B194" s="825"/>
      <c r="C194" s="106"/>
      <c r="D194" s="826"/>
      <c r="E194" s="826"/>
      <c r="F194" s="826"/>
      <c r="G194" s="826"/>
      <c r="H194" s="826"/>
      <c r="I194" s="826"/>
      <c r="J194" s="826"/>
      <c r="K194" s="826"/>
      <c r="L194" s="826"/>
      <c r="M194" s="106"/>
      <c r="N194" s="826"/>
      <c r="O194" s="827"/>
      <c r="P194" s="808"/>
      <c r="Q194" s="808"/>
      <c r="R194" s="808"/>
      <c r="S194" s="808"/>
      <c r="T194" s="808"/>
      <c r="U194" s="808"/>
      <c r="V194" s="808"/>
    </row>
    <row r="195">
      <c r="B195" s="825"/>
      <c r="C195" s="106"/>
      <c r="D195" s="826"/>
      <c r="E195" s="826"/>
      <c r="F195" s="826"/>
      <c r="G195" s="826"/>
      <c r="H195" s="826"/>
      <c r="I195" s="826"/>
      <c r="J195" s="826"/>
      <c r="K195" s="826"/>
      <c r="L195" s="826"/>
      <c r="M195" s="106"/>
      <c r="N195" s="826"/>
      <c r="O195" s="827"/>
      <c r="P195" s="808"/>
      <c r="Q195" s="808"/>
      <c r="R195" s="808"/>
      <c r="S195" s="808"/>
      <c r="T195" s="808"/>
      <c r="U195" s="808"/>
      <c r="V195" s="808"/>
    </row>
    <row r="196">
      <c r="B196" s="825"/>
      <c r="C196" s="106"/>
      <c r="D196" s="826"/>
      <c r="E196" s="826"/>
      <c r="F196" s="826"/>
      <c r="G196" s="826"/>
      <c r="H196" s="826"/>
      <c r="I196" s="826"/>
      <c r="J196" s="826"/>
      <c r="K196" s="826"/>
      <c r="L196" s="826"/>
      <c r="M196" s="106"/>
      <c r="N196" s="826"/>
      <c r="O196" s="827"/>
      <c r="P196" s="808"/>
      <c r="Q196" s="808"/>
      <c r="R196" s="808"/>
      <c r="S196" s="808"/>
      <c r="T196" s="808"/>
      <c r="U196" s="808"/>
      <c r="V196" s="808"/>
    </row>
    <row r="197">
      <c r="B197" s="825"/>
      <c r="C197" s="106"/>
      <c r="D197" s="826"/>
      <c r="E197" s="826"/>
      <c r="F197" s="826"/>
      <c r="G197" s="826"/>
      <c r="H197" s="826"/>
      <c r="I197" s="826"/>
      <c r="J197" s="826"/>
      <c r="K197" s="826"/>
      <c r="L197" s="826"/>
      <c r="M197" s="106"/>
      <c r="N197" s="826"/>
      <c r="O197" s="827"/>
      <c r="P197" s="808"/>
      <c r="Q197" s="808"/>
      <c r="R197" s="808"/>
      <c r="S197" s="808"/>
      <c r="T197" s="808"/>
      <c r="U197" s="808"/>
      <c r="V197" s="808"/>
    </row>
    <row r="198">
      <c r="B198" s="825"/>
      <c r="C198" s="106"/>
      <c r="D198" s="826"/>
      <c r="E198" s="826"/>
      <c r="F198" s="826"/>
      <c r="G198" s="826"/>
      <c r="H198" s="826"/>
      <c r="I198" s="826"/>
      <c r="J198" s="826"/>
      <c r="K198" s="826"/>
      <c r="L198" s="826"/>
      <c r="M198" s="106"/>
      <c r="N198" s="826"/>
      <c r="O198" s="827"/>
      <c r="P198" s="808"/>
      <c r="Q198" s="808"/>
      <c r="R198" s="808"/>
      <c r="S198" s="808"/>
      <c r="T198" s="808"/>
      <c r="U198" s="808"/>
      <c r="V198" s="808"/>
    </row>
    <row r="199">
      <c r="B199" s="825"/>
      <c r="C199" s="106"/>
      <c r="D199" s="826"/>
      <c r="E199" s="826"/>
      <c r="F199" s="826"/>
      <c r="G199" s="826"/>
      <c r="H199" s="826"/>
      <c r="I199" s="826"/>
      <c r="J199" s="826"/>
      <c r="K199" s="826"/>
      <c r="L199" s="826"/>
      <c r="M199" s="106"/>
      <c r="N199" s="826"/>
      <c r="O199" s="827"/>
      <c r="P199" s="808"/>
      <c r="Q199" s="808"/>
      <c r="R199" s="808"/>
      <c r="S199" s="808"/>
      <c r="T199" s="808"/>
      <c r="U199" s="808"/>
      <c r="V199" s="808"/>
    </row>
    <row r="200">
      <c r="B200" s="825"/>
      <c r="C200" s="106"/>
      <c r="D200" s="826"/>
      <c r="E200" s="826"/>
      <c r="F200" s="826"/>
      <c r="G200" s="826"/>
      <c r="H200" s="826"/>
      <c r="I200" s="826"/>
      <c r="J200" s="826"/>
      <c r="K200" s="826"/>
      <c r="L200" s="826"/>
      <c r="M200" s="106"/>
      <c r="N200" s="826"/>
      <c r="O200" s="827"/>
      <c r="P200" s="808"/>
      <c r="Q200" s="808"/>
      <c r="R200" s="808"/>
      <c r="S200" s="808"/>
      <c r="T200" s="808"/>
      <c r="U200" s="808"/>
      <c r="V200" s="808"/>
    </row>
    <row r="201">
      <c r="B201" s="825"/>
      <c r="C201" s="106"/>
      <c r="D201" s="826"/>
      <c r="E201" s="826"/>
      <c r="F201" s="826"/>
      <c r="G201" s="826"/>
      <c r="H201" s="826"/>
      <c r="I201" s="826"/>
      <c r="J201" s="826"/>
      <c r="K201" s="826"/>
      <c r="L201" s="826"/>
      <c r="M201" s="106"/>
      <c r="N201" s="826"/>
      <c r="O201" s="827"/>
      <c r="P201" s="808"/>
      <c r="Q201" s="808"/>
      <c r="R201" s="808"/>
      <c r="S201" s="808"/>
      <c r="T201" s="808"/>
      <c r="U201" s="808"/>
      <c r="V201" s="808"/>
    </row>
    <row r="202">
      <c r="B202" s="825"/>
      <c r="C202" s="106"/>
      <c r="D202" s="826"/>
      <c r="E202" s="826"/>
      <c r="F202" s="826"/>
      <c r="G202" s="826"/>
      <c r="H202" s="826"/>
      <c r="I202" s="826"/>
      <c r="J202" s="826"/>
      <c r="K202" s="826"/>
      <c r="L202" s="826"/>
      <c r="M202" s="106"/>
      <c r="N202" s="826"/>
      <c r="O202" s="827"/>
      <c r="P202" s="808"/>
      <c r="Q202" s="808"/>
      <c r="R202" s="808"/>
      <c r="S202" s="808"/>
      <c r="T202" s="808"/>
      <c r="U202" s="808"/>
      <c r="V202" s="808"/>
    </row>
    <row r="203">
      <c r="B203" s="825"/>
      <c r="C203" s="106"/>
      <c r="D203" s="826"/>
      <c r="E203" s="826"/>
      <c r="F203" s="826"/>
      <c r="G203" s="826"/>
      <c r="H203" s="826"/>
      <c r="I203" s="826"/>
      <c r="J203" s="826"/>
      <c r="K203" s="826"/>
      <c r="L203" s="826"/>
      <c r="M203" s="106"/>
      <c r="N203" s="826"/>
      <c r="O203" s="827"/>
      <c r="P203" s="808"/>
      <c r="Q203" s="808"/>
      <c r="R203" s="808"/>
      <c r="S203" s="808"/>
      <c r="T203" s="808"/>
      <c r="U203" s="808"/>
      <c r="V203" s="808"/>
    </row>
    <row r="204">
      <c r="B204" s="825"/>
      <c r="C204" s="106"/>
      <c r="D204" s="826"/>
      <c r="E204" s="826"/>
      <c r="F204" s="826"/>
      <c r="G204" s="826"/>
      <c r="H204" s="826"/>
      <c r="I204" s="826"/>
      <c r="J204" s="826"/>
      <c r="K204" s="826"/>
      <c r="L204" s="826"/>
      <c r="M204" s="106"/>
      <c r="N204" s="826"/>
      <c r="O204" s="827"/>
      <c r="P204" s="808"/>
      <c r="Q204" s="808"/>
      <c r="R204" s="808"/>
      <c r="S204" s="808"/>
      <c r="T204" s="808"/>
      <c r="U204" s="808"/>
      <c r="V204" s="808"/>
    </row>
    <row r="205">
      <c r="B205" s="825"/>
      <c r="C205" s="106"/>
      <c r="D205" s="826"/>
      <c r="E205" s="826"/>
      <c r="F205" s="826"/>
      <c r="G205" s="826"/>
      <c r="H205" s="826"/>
      <c r="I205" s="826"/>
      <c r="J205" s="826"/>
      <c r="K205" s="826"/>
      <c r="L205" s="826"/>
      <c r="M205" s="106"/>
      <c r="N205" s="826"/>
      <c r="O205" s="827"/>
      <c r="P205" s="808"/>
      <c r="Q205" s="808"/>
      <c r="R205" s="808"/>
      <c r="S205" s="808"/>
      <c r="T205" s="808"/>
      <c r="U205" s="808"/>
      <c r="V205" s="808"/>
    </row>
    <row r="206">
      <c r="B206" s="825"/>
      <c r="C206" s="106"/>
      <c r="D206" s="826"/>
      <c r="E206" s="826"/>
      <c r="F206" s="826"/>
      <c r="G206" s="826"/>
      <c r="H206" s="826"/>
      <c r="I206" s="826"/>
      <c r="J206" s="826"/>
      <c r="K206" s="826"/>
      <c r="L206" s="826"/>
      <c r="M206" s="106"/>
      <c r="N206" s="826"/>
      <c r="O206" s="827"/>
      <c r="P206" s="808"/>
      <c r="Q206" s="808"/>
      <c r="R206" s="808"/>
      <c r="S206" s="808"/>
      <c r="T206" s="808"/>
      <c r="U206" s="808"/>
      <c r="V206" s="808"/>
    </row>
    <row r="207">
      <c r="B207" s="825"/>
      <c r="C207" s="106"/>
      <c r="D207" s="826"/>
      <c r="E207" s="826"/>
      <c r="F207" s="826"/>
      <c r="G207" s="826"/>
      <c r="H207" s="826"/>
      <c r="I207" s="826"/>
      <c r="J207" s="826"/>
      <c r="K207" s="826"/>
      <c r="L207" s="826"/>
      <c r="M207" s="106"/>
      <c r="N207" s="826"/>
      <c r="O207" s="827"/>
      <c r="P207" s="808"/>
      <c r="Q207" s="808"/>
      <c r="R207" s="808"/>
      <c r="S207" s="808"/>
      <c r="T207" s="808"/>
      <c r="U207" s="808"/>
      <c r="V207" s="808"/>
    </row>
    <row r="208">
      <c r="B208" s="825"/>
      <c r="C208" s="106"/>
      <c r="D208" s="826"/>
      <c r="E208" s="826"/>
      <c r="F208" s="826"/>
      <c r="G208" s="826"/>
      <c r="H208" s="826"/>
      <c r="I208" s="826"/>
      <c r="J208" s="826"/>
      <c r="K208" s="826"/>
      <c r="L208" s="826"/>
      <c r="M208" s="106"/>
      <c r="N208" s="826"/>
      <c r="O208" s="827"/>
      <c r="P208" s="808"/>
      <c r="Q208" s="808"/>
      <c r="R208" s="808"/>
      <c r="S208" s="808"/>
      <c r="T208" s="808"/>
      <c r="U208" s="808"/>
      <c r="V208" s="808"/>
    </row>
    <row r="209">
      <c r="B209" s="825"/>
      <c r="C209" s="106"/>
      <c r="D209" s="826"/>
      <c r="E209" s="826"/>
      <c r="F209" s="826"/>
      <c r="G209" s="826"/>
      <c r="H209" s="826"/>
      <c r="I209" s="826"/>
      <c r="J209" s="826"/>
      <c r="K209" s="826"/>
      <c r="L209" s="826"/>
      <c r="M209" s="106"/>
      <c r="N209" s="826"/>
      <c r="O209" s="827"/>
      <c r="P209" s="808"/>
      <c r="Q209" s="808"/>
      <c r="R209" s="808"/>
      <c r="S209" s="808"/>
      <c r="T209" s="808"/>
      <c r="U209" s="808"/>
      <c r="V209" s="808"/>
    </row>
    <row r="210">
      <c r="B210" s="825"/>
      <c r="C210" s="106"/>
      <c r="D210" s="826"/>
      <c r="E210" s="826"/>
      <c r="F210" s="826"/>
      <c r="G210" s="826"/>
      <c r="H210" s="826"/>
      <c r="I210" s="826"/>
      <c r="J210" s="826"/>
      <c r="K210" s="826"/>
      <c r="L210" s="826"/>
      <c r="M210" s="106"/>
      <c r="N210" s="826"/>
      <c r="O210" s="827"/>
      <c r="P210" s="808"/>
      <c r="Q210" s="808"/>
      <c r="R210" s="808"/>
      <c r="S210" s="808"/>
      <c r="T210" s="808"/>
      <c r="U210" s="808"/>
      <c r="V210" s="808"/>
    </row>
    <row r="211">
      <c r="B211" s="825"/>
      <c r="C211" s="106"/>
      <c r="D211" s="826"/>
      <c r="E211" s="826"/>
      <c r="F211" s="826"/>
      <c r="G211" s="826"/>
      <c r="H211" s="826"/>
      <c r="I211" s="826"/>
      <c r="J211" s="826"/>
      <c r="K211" s="826"/>
      <c r="L211" s="826"/>
      <c r="M211" s="106"/>
      <c r="N211" s="826"/>
      <c r="O211" s="827"/>
      <c r="P211" s="808"/>
      <c r="Q211" s="808"/>
      <c r="R211" s="808"/>
      <c r="S211" s="808"/>
      <c r="T211" s="808"/>
      <c r="U211" s="808"/>
      <c r="V211" s="808"/>
    </row>
    <row r="212">
      <c r="B212" s="825"/>
      <c r="C212" s="106"/>
      <c r="D212" s="826"/>
      <c r="E212" s="826"/>
      <c r="F212" s="826"/>
      <c r="G212" s="826"/>
      <c r="H212" s="826"/>
      <c r="I212" s="826"/>
      <c r="J212" s="826"/>
      <c r="K212" s="826"/>
      <c r="L212" s="826"/>
      <c r="M212" s="106"/>
      <c r="N212" s="826"/>
      <c r="O212" s="827"/>
      <c r="P212" s="808"/>
      <c r="Q212" s="808"/>
      <c r="R212" s="808"/>
      <c r="S212" s="808"/>
      <c r="T212" s="808"/>
      <c r="U212" s="808"/>
      <c r="V212" s="808"/>
    </row>
    <row r="213">
      <c r="B213" s="825"/>
      <c r="C213" s="106"/>
      <c r="D213" s="826"/>
      <c r="E213" s="826"/>
      <c r="F213" s="826"/>
      <c r="G213" s="826"/>
      <c r="H213" s="826"/>
      <c r="I213" s="826"/>
      <c r="J213" s="826"/>
      <c r="K213" s="826"/>
      <c r="L213" s="826"/>
      <c r="M213" s="106"/>
      <c r="N213" s="826"/>
      <c r="O213" s="827"/>
      <c r="P213" s="808"/>
      <c r="Q213" s="808"/>
      <c r="R213" s="808"/>
      <c r="S213" s="808"/>
      <c r="T213" s="808"/>
      <c r="U213" s="808"/>
      <c r="V213" s="808"/>
    </row>
    <row r="214">
      <c r="B214" s="825"/>
      <c r="C214" s="106"/>
      <c r="D214" s="826"/>
      <c r="E214" s="826"/>
      <c r="F214" s="826"/>
      <c r="G214" s="826"/>
      <c r="H214" s="826"/>
      <c r="I214" s="826"/>
      <c r="J214" s="826"/>
      <c r="K214" s="826"/>
      <c r="L214" s="826"/>
      <c r="M214" s="106"/>
      <c r="N214" s="826"/>
      <c r="O214" s="827"/>
      <c r="P214" s="808"/>
      <c r="Q214" s="808"/>
      <c r="R214" s="808"/>
      <c r="S214" s="808"/>
      <c r="T214" s="808"/>
      <c r="U214" s="808"/>
      <c r="V214" s="808"/>
    </row>
    <row r="215">
      <c r="B215" s="825"/>
      <c r="C215" s="106"/>
      <c r="D215" s="826"/>
      <c r="E215" s="826"/>
      <c r="F215" s="826"/>
      <c r="G215" s="826"/>
      <c r="H215" s="826"/>
      <c r="I215" s="826"/>
      <c r="J215" s="826"/>
      <c r="K215" s="826"/>
      <c r="L215" s="826"/>
      <c r="M215" s="106"/>
      <c r="N215" s="826"/>
      <c r="O215" s="827"/>
      <c r="P215" s="808"/>
      <c r="Q215" s="808"/>
      <c r="R215" s="808"/>
      <c r="S215" s="808"/>
      <c r="T215" s="808"/>
      <c r="U215" s="808"/>
      <c r="V215" s="808"/>
    </row>
    <row r="216">
      <c r="B216" s="825"/>
      <c r="C216" s="106"/>
      <c r="D216" s="826"/>
      <c r="E216" s="826"/>
      <c r="F216" s="826"/>
      <c r="G216" s="826"/>
      <c r="H216" s="826"/>
      <c r="I216" s="826"/>
      <c r="J216" s="826"/>
      <c r="K216" s="826"/>
      <c r="L216" s="826"/>
      <c r="M216" s="106"/>
      <c r="N216" s="826"/>
      <c r="O216" s="827"/>
      <c r="P216" s="808"/>
      <c r="Q216" s="808"/>
      <c r="R216" s="808"/>
      <c r="S216" s="808"/>
      <c r="T216" s="808"/>
      <c r="U216" s="808"/>
      <c r="V216" s="808"/>
    </row>
    <row r="217">
      <c r="B217" s="825"/>
      <c r="C217" s="106"/>
      <c r="D217" s="826"/>
      <c r="E217" s="826"/>
      <c r="F217" s="826"/>
      <c r="G217" s="826"/>
      <c r="H217" s="826"/>
      <c r="I217" s="826"/>
      <c r="J217" s="826"/>
      <c r="K217" s="826"/>
      <c r="L217" s="826"/>
      <c r="M217" s="106"/>
      <c r="N217" s="826"/>
      <c r="O217" s="827"/>
      <c r="P217" s="808"/>
      <c r="Q217" s="808"/>
      <c r="R217" s="808"/>
      <c r="S217" s="808"/>
      <c r="T217" s="808"/>
      <c r="U217" s="808"/>
      <c r="V217" s="808"/>
    </row>
    <row r="218">
      <c r="B218" s="825"/>
      <c r="C218" s="106"/>
      <c r="D218" s="826"/>
      <c r="E218" s="826"/>
      <c r="F218" s="826"/>
      <c r="G218" s="826"/>
      <c r="H218" s="826"/>
      <c r="I218" s="826"/>
      <c r="J218" s="826"/>
      <c r="K218" s="826"/>
      <c r="L218" s="826"/>
      <c r="M218" s="106"/>
      <c r="N218" s="826"/>
      <c r="O218" s="827"/>
      <c r="P218" s="808"/>
      <c r="Q218" s="808"/>
      <c r="R218" s="808"/>
      <c r="S218" s="808"/>
      <c r="T218" s="808"/>
      <c r="U218" s="808"/>
      <c r="V218" s="808"/>
    </row>
    <row r="219">
      <c r="B219" s="825"/>
      <c r="C219" s="106"/>
      <c r="D219" s="826"/>
      <c r="E219" s="826"/>
      <c r="F219" s="826"/>
      <c r="G219" s="826"/>
      <c r="H219" s="826"/>
      <c r="I219" s="826"/>
      <c r="J219" s="826"/>
      <c r="K219" s="826"/>
      <c r="L219" s="826"/>
      <c r="M219" s="106"/>
      <c r="N219" s="826"/>
      <c r="O219" s="827"/>
      <c r="P219" s="808"/>
      <c r="Q219" s="808"/>
      <c r="R219" s="808"/>
      <c r="S219" s="808"/>
      <c r="T219" s="808"/>
      <c r="U219" s="808"/>
      <c r="V219" s="808"/>
    </row>
    <row r="220">
      <c r="B220" s="825"/>
      <c r="C220" s="106"/>
      <c r="D220" s="826"/>
      <c r="E220" s="826"/>
      <c r="F220" s="826"/>
      <c r="G220" s="826"/>
      <c r="H220" s="826"/>
      <c r="I220" s="826"/>
      <c r="J220" s="826"/>
      <c r="K220" s="826"/>
      <c r="L220" s="826"/>
      <c r="M220" s="106"/>
      <c r="N220" s="826"/>
      <c r="O220" s="827"/>
      <c r="P220" s="808"/>
      <c r="Q220" s="808"/>
      <c r="R220" s="808"/>
      <c r="S220" s="808"/>
      <c r="T220" s="808"/>
      <c r="U220" s="808"/>
      <c r="V220" s="808"/>
    </row>
    <row r="221">
      <c r="B221" s="825"/>
      <c r="C221" s="106"/>
      <c r="D221" s="826"/>
      <c r="E221" s="826"/>
      <c r="F221" s="826"/>
      <c r="G221" s="826"/>
      <c r="H221" s="826"/>
      <c r="I221" s="826"/>
      <c r="J221" s="826"/>
      <c r="K221" s="826"/>
      <c r="L221" s="826"/>
      <c r="M221" s="106"/>
      <c r="N221" s="826"/>
      <c r="O221" s="827"/>
      <c r="P221" s="808"/>
      <c r="Q221" s="808"/>
      <c r="R221" s="808"/>
      <c r="S221" s="808"/>
      <c r="T221" s="808"/>
      <c r="U221" s="808"/>
      <c r="V221" s="808"/>
    </row>
    <row r="222">
      <c r="B222" s="825"/>
      <c r="C222" s="106"/>
      <c r="D222" s="826"/>
      <c r="E222" s="826"/>
      <c r="F222" s="826"/>
      <c r="G222" s="826"/>
      <c r="H222" s="826"/>
      <c r="I222" s="826"/>
      <c r="J222" s="826"/>
      <c r="K222" s="826"/>
      <c r="L222" s="826"/>
      <c r="M222" s="106"/>
      <c r="N222" s="826"/>
      <c r="O222" s="827"/>
      <c r="P222" s="808"/>
      <c r="Q222" s="808"/>
      <c r="R222" s="808"/>
      <c r="S222" s="808"/>
      <c r="T222" s="808"/>
      <c r="U222" s="808"/>
      <c r="V222" s="808"/>
    </row>
    <row r="223">
      <c r="B223" s="825"/>
      <c r="C223" s="106"/>
      <c r="D223" s="826"/>
      <c r="E223" s="826"/>
      <c r="F223" s="826"/>
      <c r="G223" s="826"/>
      <c r="H223" s="826"/>
      <c r="I223" s="826"/>
      <c r="J223" s="826"/>
      <c r="K223" s="826"/>
      <c r="L223" s="826"/>
      <c r="M223" s="106"/>
      <c r="N223" s="826"/>
      <c r="O223" s="827"/>
      <c r="P223" s="808"/>
      <c r="Q223" s="808"/>
      <c r="R223" s="808"/>
      <c r="S223" s="808"/>
      <c r="T223" s="808"/>
      <c r="U223" s="808"/>
      <c r="V223" s="808"/>
    </row>
    <row r="224">
      <c r="B224" s="825"/>
      <c r="C224" s="106"/>
      <c r="D224" s="826"/>
      <c r="E224" s="826"/>
      <c r="F224" s="826"/>
      <c r="G224" s="826"/>
      <c r="H224" s="826"/>
      <c r="I224" s="826"/>
      <c r="J224" s="826"/>
      <c r="K224" s="826"/>
      <c r="L224" s="826"/>
      <c r="M224" s="106"/>
      <c r="N224" s="826"/>
      <c r="O224" s="827"/>
      <c r="P224" s="808"/>
      <c r="Q224" s="808"/>
      <c r="R224" s="808"/>
      <c r="S224" s="808"/>
      <c r="T224" s="808"/>
      <c r="U224" s="808"/>
      <c r="V224" s="808"/>
    </row>
    <row r="225">
      <c r="B225" s="825"/>
      <c r="C225" s="106"/>
      <c r="D225" s="826"/>
      <c r="E225" s="826"/>
      <c r="F225" s="826"/>
      <c r="G225" s="826"/>
      <c r="H225" s="826"/>
      <c r="I225" s="826"/>
      <c r="J225" s="826"/>
      <c r="K225" s="826"/>
      <c r="L225" s="826"/>
      <c r="M225" s="106"/>
      <c r="N225" s="826"/>
      <c r="O225" s="827"/>
      <c r="P225" s="808"/>
      <c r="Q225" s="808"/>
      <c r="R225" s="808"/>
      <c r="S225" s="808"/>
      <c r="T225" s="808"/>
      <c r="U225" s="808"/>
      <c r="V225" s="808"/>
    </row>
    <row r="226">
      <c r="B226" s="825"/>
      <c r="C226" s="106"/>
      <c r="D226" s="826"/>
      <c r="E226" s="826"/>
      <c r="F226" s="826"/>
      <c r="G226" s="826"/>
      <c r="H226" s="826"/>
      <c r="I226" s="826"/>
      <c r="J226" s="826"/>
      <c r="K226" s="826"/>
      <c r="L226" s="826"/>
      <c r="M226" s="106"/>
      <c r="N226" s="826"/>
      <c r="O226" s="827"/>
      <c r="P226" s="808"/>
      <c r="Q226" s="808"/>
      <c r="R226" s="808"/>
      <c r="S226" s="808"/>
      <c r="T226" s="808"/>
      <c r="U226" s="808"/>
      <c r="V226" s="808"/>
    </row>
    <row r="227">
      <c r="B227" s="825"/>
      <c r="C227" s="106"/>
      <c r="D227" s="826"/>
      <c r="E227" s="826"/>
      <c r="F227" s="826"/>
      <c r="G227" s="826"/>
      <c r="H227" s="826"/>
      <c r="I227" s="826"/>
      <c r="J227" s="826"/>
      <c r="K227" s="826"/>
      <c r="L227" s="826"/>
      <c r="M227" s="106"/>
      <c r="N227" s="826"/>
      <c r="O227" s="827"/>
      <c r="P227" s="808"/>
      <c r="Q227" s="808"/>
      <c r="R227" s="808"/>
      <c r="S227" s="808"/>
      <c r="T227" s="808"/>
      <c r="U227" s="808"/>
      <c r="V227" s="808"/>
    </row>
    <row r="228">
      <c r="B228" s="825"/>
      <c r="C228" s="106"/>
      <c r="D228" s="826"/>
      <c r="E228" s="826"/>
      <c r="F228" s="826"/>
      <c r="G228" s="826"/>
      <c r="H228" s="826"/>
      <c r="I228" s="826"/>
      <c r="J228" s="826"/>
      <c r="K228" s="826"/>
      <c r="L228" s="826"/>
      <c r="M228" s="106"/>
      <c r="N228" s="826"/>
      <c r="O228" s="827"/>
      <c r="P228" s="808"/>
      <c r="Q228" s="808"/>
      <c r="R228" s="808"/>
      <c r="S228" s="808"/>
      <c r="T228" s="808"/>
      <c r="U228" s="808"/>
      <c r="V228" s="808"/>
    </row>
    <row r="229">
      <c r="B229" s="825"/>
      <c r="C229" s="106"/>
      <c r="D229" s="826"/>
      <c r="E229" s="826"/>
      <c r="F229" s="826"/>
      <c r="G229" s="826"/>
      <c r="H229" s="826"/>
      <c r="I229" s="826"/>
      <c r="J229" s="826"/>
      <c r="K229" s="826"/>
      <c r="L229" s="826"/>
      <c r="M229" s="106"/>
      <c r="N229" s="826"/>
      <c r="O229" s="827"/>
      <c r="P229" s="808"/>
      <c r="Q229" s="808"/>
      <c r="R229" s="808"/>
      <c r="S229" s="808"/>
      <c r="T229" s="808"/>
      <c r="U229" s="808"/>
      <c r="V229" s="808"/>
    </row>
    <row r="230">
      <c r="B230" s="825"/>
      <c r="C230" s="106"/>
      <c r="D230" s="826"/>
      <c r="E230" s="826"/>
      <c r="F230" s="826"/>
      <c r="G230" s="826"/>
      <c r="H230" s="826"/>
      <c r="I230" s="826"/>
      <c r="J230" s="826"/>
      <c r="K230" s="826"/>
      <c r="L230" s="826"/>
      <c r="M230" s="106"/>
      <c r="N230" s="826"/>
      <c r="O230" s="827"/>
      <c r="P230" s="808"/>
      <c r="Q230" s="808"/>
      <c r="R230" s="808"/>
      <c r="S230" s="808"/>
      <c r="T230" s="808"/>
      <c r="U230" s="808"/>
      <c r="V230" s="808"/>
    </row>
    <row r="231">
      <c r="B231" s="825"/>
      <c r="C231" s="106"/>
      <c r="D231" s="826"/>
      <c r="E231" s="826"/>
      <c r="F231" s="826"/>
      <c r="G231" s="826"/>
      <c r="H231" s="826"/>
      <c r="I231" s="826"/>
      <c r="J231" s="826"/>
      <c r="K231" s="826"/>
      <c r="L231" s="826"/>
      <c r="M231" s="106"/>
      <c r="N231" s="826"/>
      <c r="O231" s="827"/>
      <c r="P231" s="808"/>
      <c r="Q231" s="808"/>
      <c r="R231" s="808"/>
      <c r="S231" s="808"/>
      <c r="T231" s="808"/>
      <c r="U231" s="808"/>
      <c r="V231" s="808"/>
    </row>
    <row r="232">
      <c r="B232" s="825"/>
      <c r="C232" s="106"/>
      <c r="D232" s="826"/>
      <c r="E232" s="826"/>
      <c r="F232" s="826"/>
      <c r="G232" s="826"/>
      <c r="H232" s="826"/>
      <c r="I232" s="826"/>
      <c r="J232" s="826"/>
      <c r="K232" s="826"/>
      <c r="L232" s="826"/>
      <c r="M232" s="106"/>
      <c r="N232" s="826"/>
      <c r="O232" s="827"/>
      <c r="P232" s="808"/>
      <c r="Q232" s="808"/>
      <c r="R232" s="808"/>
      <c r="S232" s="808"/>
      <c r="T232" s="808"/>
      <c r="U232" s="808"/>
      <c r="V232" s="808"/>
    </row>
    <row r="233">
      <c r="B233" s="825"/>
      <c r="C233" s="106"/>
      <c r="D233" s="826"/>
      <c r="E233" s="826"/>
      <c r="F233" s="826"/>
      <c r="G233" s="826"/>
      <c r="H233" s="826"/>
      <c r="I233" s="826"/>
      <c r="J233" s="826"/>
      <c r="K233" s="826"/>
      <c r="L233" s="826"/>
      <c r="M233" s="106"/>
      <c r="N233" s="826"/>
      <c r="O233" s="827"/>
      <c r="P233" s="808"/>
      <c r="Q233" s="808"/>
      <c r="R233" s="808"/>
      <c r="S233" s="808"/>
      <c r="T233" s="808"/>
      <c r="U233" s="808"/>
      <c r="V233" s="808"/>
    </row>
    <row r="234">
      <c r="B234" s="825"/>
      <c r="C234" s="106"/>
      <c r="D234" s="826"/>
      <c r="E234" s="826"/>
      <c r="F234" s="826"/>
      <c r="G234" s="826"/>
      <c r="H234" s="826"/>
      <c r="I234" s="826"/>
      <c r="J234" s="826"/>
      <c r="K234" s="826"/>
      <c r="L234" s="826"/>
      <c r="M234" s="106"/>
      <c r="N234" s="826"/>
      <c r="O234" s="827"/>
      <c r="P234" s="808"/>
      <c r="Q234" s="808"/>
      <c r="R234" s="808"/>
      <c r="S234" s="808"/>
      <c r="T234" s="808"/>
      <c r="U234" s="808"/>
      <c r="V234" s="808"/>
    </row>
    <row r="235">
      <c r="B235" s="825"/>
      <c r="C235" s="106"/>
      <c r="D235" s="826"/>
      <c r="E235" s="826"/>
      <c r="F235" s="826"/>
      <c r="G235" s="826"/>
      <c r="H235" s="826"/>
      <c r="I235" s="826"/>
      <c r="J235" s="826"/>
      <c r="K235" s="826"/>
      <c r="L235" s="826"/>
      <c r="M235" s="106"/>
      <c r="N235" s="826"/>
      <c r="O235" s="827"/>
      <c r="P235" s="808"/>
      <c r="Q235" s="808"/>
      <c r="R235" s="808"/>
      <c r="S235" s="808"/>
      <c r="T235" s="808"/>
      <c r="U235" s="808"/>
      <c r="V235" s="808"/>
    </row>
    <row r="236">
      <c r="B236" s="825"/>
      <c r="C236" s="106"/>
      <c r="D236" s="826"/>
      <c r="E236" s="826"/>
      <c r="F236" s="826"/>
      <c r="G236" s="826"/>
      <c r="H236" s="826"/>
      <c r="I236" s="826"/>
      <c r="J236" s="826"/>
      <c r="K236" s="826"/>
      <c r="L236" s="826"/>
      <c r="M236" s="106"/>
      <c r="N236" s="826"/>
      <c r="O236" s="827"/>
      <c r="P236" s="808"/>
      <c r="Q236" s="808"/>
      <c r="R236" s="808"/>
      <c r="S236" s="808"/>
      <c r="T236" s="808"/>
      <c r="U236" s="808"/>
      <c r="V236" s="808"/>
    </row>
    <row r="237">
      <c r="B237" s="825"/>
      <c r="C237" s="106"/>
      <c r="D237" s="826"/>
      <c r="E237" s="826"/>
      <c r="F237" s="826"/>
      <c r="G237" s="826"/>
      <c r="H237" s="826"/>
      <c r="I237" s="826"/>
      <c r="J237" s="826"/>
      <c r="K237" s="826"/>
      <c r="L237" s="826"/>
      <c r="M237" s="106"/>
      <c r="N237" s="826"/>
      <c r="O237" s="827"/>
      <c r="P237" s="808"/>
      <c r="Q237" s="808"/>
      <c r="R237" s="808"/>
      <c r="S237" s="808"/>
      <c r="T237" s="808"/>
      <c r="U237" s="808"/>
      <c r="V237" s="808"/>
    </row>
    <row r="238">
      <c r="B238" s="825"/>
      <c r="C238" s="106"/>
      <c r="D238" s="826"/>
      <c r="E238" s="826"/>
      <c r="F238" s="826"/>
      <c r="G238" s="826"/>
      <c r="H238" s="826"/>
      <c r="I238" s="826"/>
      <c r="J238" s="826"/>
      <c r="K238" s="826"/>
      <c r="L238" s="826"/>
      <c r="M238" s="106"/>
      <c r="N238" s="826"/>
      <c r="O238" s="827"/>
      <c r="P238" s="808"/>
      <c r="Q238" s="808"/>
      <c r="R238" s="808"/>
      <c r="S238" s="808"/>
      <c r="T238" s="808"/>
      <c r="U238" s="808"/>
      <c r="V238" s="808"/>
    </row>
    <row r="239">
      <c r="B239" s="825"/>
      <c r="C239" s="106"/>
      <c r="D239" s="826"/>
      <c r="E239" s="826"/>
      <c r="F239" s="826"/>
      <c r="G239" s="826"/>
      <c r="H239" s="826"/>
      <c r="I239" s="826"/>
      <c r="J239" s="826"/>
      <c r="K239" s="826"/>
      <c r="L239" s="826"/>
      <c r="M239" s="106"/>
      <c r="N239" s="826"/>
      <c r="O239" s="827"/>
      <c r="P239" s="808"/>
      <c r="Q239" s="808"/>
      <c r="R239" s="808"/>
      <c r="S239" s="808"/>
      <c r="T239" s="808"/>
      <c r="U239" s="808"/>
      <c r="V239" s="808"/>
    </row>
    <row r="240">
      <c r="B240" s="825"/>
      <c r="C240" s="106"/>
      <c r="D240" s="826"/>
      <c r="E240" s="826"/>
      <c r="F240" s="826"/>
      <c r="G240" s="826"/>
      <c r="H240" s="826"/>
      <c r="I240" s="826"/>
      <c r="J240" s="826"/>
      <c r="K240" s="826"/>
      <c r="L240" s="826"/>
      <c r="M240" s="106"/>
      <c r="N240" s="826"/>
      <c r="O240" s="827"/>
      <c r="P240" s="808"/>
      <c r="Q240" s="808"/>
      <c r="R240" s="808"/>
      <c r="S240" s="808"/>
      <c r="T240" s="808"/>
      <c r="U240" s="808"/>
      <c r="V240" s="808"/>
    </row>
    <row r="241">
      <c r="B241" s="825"/>
      <c r="C241" s="106"/>
      <c r="D241" s="826"/>
      <c r="E241" s="826"/>
      <c r="F241" s="826"/>
      <c r="G241" s="826"/>
      <c r="H241" s="826"/>
      <c r="I241" s="826"/>
      <c r="J241" s="826"/>
      <c r="K241" s="826"/>
      <c r="L241" s="826"/>
      <c r="M241" s="106"/>
      <c r="N241" s="826"/>
      <c r="O241" s="827"/>
      <c r="P241" s="808"/>
      <c r="Q241" s="808"/>
      <c r="R241" s="808"/>
      <c r="S241" s="808"/>
      <c r="T241" s="808"/>
      <c r="U241" s="808"/>
      <c r="V241" s="808"/>
    </row>
    <row r="242">
      <c r="B242" s="825"/>
      <c r="C242" s="106"/>
      <c r="D242" s="826"/>
      <c r="E242" s="826"/>
      <c r="F242" s="826"/>
      <c r="G242" s="826"/>
      <c r="H242" s="826"/>
      <c r="I242" s="826"/>
      <c r="J242" s="826"/>
      <c r="K242" s="826"/>
      <c r="L242" s="826"/>
      <c r="M242" s="106"/>
      <c r="N242" s="826"/>
      <c r="O242" s="827"/>
      <c r="P242" s="808"/>
      <c r="Q242" s="808"/>
      <c r="R242" s="808"/>
      <c r="S242" s="808"/>
      <c r="T242" s="808"/>
      <c r="U242" s="808"/>
      <c r="V242" s="808"/>
    </row>
    <row r="243">
      <c r="B243" s="825"/>
      <c r="C243" s="106"/>
      <c r="D243" s="826"/>
      <c r="E243" s="826"/>
      <c r="F243" s="826"/>
      <c r="G243" s="826"/>
      <c r="H243" s="826"/>
      <c r="I243" s="826"/>
      <c r="J243" s="826"/>
      <c r="K243" s="826"/>
      <c r="L243" s="826"/>
      <c r="M243" s="106"/>
      <c r="N243" s="826"/>
      <c r="O243" s="827"/>
      <c r="P243" s="808"/>
      <c r="Q243" s="808"/>
      <c r="R243" s="808"/>
      <c r="S243" s="808"/>
      <c r="T243" s="808"/>
      <c r="U243" s="808"/>
      <c r="V243" s="808"/>
    </row>
    <row r="244">
      <c r="B244" s="825"/>
      <c r="C244" s="106"/>
      <c r="D244" s="826"/>
      <c r="E244" s="826"/>
      <c r="F244" s="826"/>
      <c r="G244" s="826"/>
      <c r="H244" s="826"/>
      <c r="I244" s="826"/>
      <c r="J244" s="826"/>
      <c r="K244" s="826"/>
      <c r="L244" s="826"/>
      <c r="M244" s="106"/>
      <c r="N244" s="826"/>
      <c r="O244" s="827"/>
      <c r="P244" s="808"/>
      <c r="Q244" s="808"/>
      <c r="R244" s="808"/>
      <c r="S244" s="808"/>
      <c r="T244" s="808"/>
      <c r="U244" s="808"/>
      <c r="V244" s="808"/>
    </row>
    <row r="245">
      <c r="B245" s="825"/>
      <c r="C245" s="106"/>
      <c r="D245" s="826"/>
      <c r="E245" s="826"/>
      <c r="F245" s="826"/>
      <c r="G245" s="826"/>
      <c r="H245" s="826"/>
      <c r="I245" s="826"/>
      <c r="J245" s="826"/>
      <c r="K245" s="826"/>
      <c r="L245" s="826"/>
      <c r="M245" s="106"/>
      <c r="N245" s="826"/>
      <c r="O245" s="827"/>
      <c r="P245" s="808"/>
      <c r="Q245" s="808"/>
      <c r="R245" s="808"/>
      <c r="S245" s="808"/>
      <c r="T245" s="808"/>
      <c r="U245" s="808"/>
      <c r="V245" s="808"/>
    </row>
    <row r="246">
      <c r="B246" s="825"/>
      <c r="C246" s="106"/>
      <c r="D246" s="826"/>
      <c r="E246" s="826"/>
      <c r="F246" s="826"/>
      <c r="G246" s="826"/>
      <c r="H246" s="826"/>
      <c r="I246" s="826"/>
      <c r="J246" s="826"/>
      <c r="K246" s="826"/>
      <c r="L246" s="826"/>
      <c r="M246" s="106"/>
      <c r="N246" s="826"/>
      <c r="O246" s="827"/>
      <c r="P246" s="808"/>
      <c r="Q246" s="808"/>
      <c r="R246" s="808"/>
      <c r="S246" s="808"/>
      <c r="T246" s="808"/>
      <c r="U246" s="808"/>
      <c r="V246" s="808"/>
    </row>
    <row r="247">
      <c r="B247" s="825"/>
      <c r="C247" s="106"/>
      <c r="D247" s="826"/>
      <c r="E247" s="826"/>
      <c r="F247" s="826"/>
      <c r="G247" s="826"/>
      <c r="H247" s="826"/>
      <c r="I247" s="826"/>
      <c r="J247" s="826"/>
      <c r="K247" s="826"/>
      <c r="L247" s="826"/>
      <c r="M247" s="106"/>
      <c r="N247" s="826"/>
      <c r="O247" s="827"/>
      <c r="P247" s="808"/>
      <c r="Q247" s="808"/>
      <c r="R247" s="808"/>
      <c r="S247" s="808"/>
      <c r="T247" s="808"/>
      <c r="U247" s="808"/>
      <c r="V247" s="808"/>
    </row>
    <row r="248">
      <c r="B248" s="825"/>
      <c r="C248" s="106"/>
      <c r="D248" s="826"/>
      <c r="E248" s="826"/>
      <c r="F248" s="826"/>
      <c r="G248" s="826"/>
      <c r="H248" s="826"/>
      <c r="I248" s="826"/>
      <c r="J248" s="826"/>
      <c r="K248" s="826"/>
      <c r="L248" s="826"/>
      <c r="M248" s="106"/>
      <c r="N248" s="826"/>
      <c r="O248" s="827"/>
      <c r="P248" s="808"/>
      <c r="Q248" s="808"/>
      <c r="R248" s="808"/>
      <c r="S248" s="808"/>
      <c r="T248" s="808"/>
      <c r="U248" s="808"/>
      <c r="V248" s="808"/>
    </row>
    <row r="249">
      <c r="B249" s="825"/>
      <c r="C249" s="106"/>
      <c r="D249" s="826"/>
      <c r="E249" s="826"/>
      <c r="F249" s="826"/>
      <c r="G249" s="826"/>
      <c r="H249" s="826"/>
      <c r="I249" s="826"/>
      <c r="J249" s="826"/>
      <c r="K249" s="826"/>
      <c r="L249" s="826"/>
      <c r="M249" s="106"/>
      <c r="N249" s="826"/>
      <c r="O249" s="827"/>
      <c r="P249" s="808"/>
      <c r="Q249" s="808"/>
      <c r="R249" s="808"/>
      <c r="S249" s="808"/>
      <c r="T249" s="808"/>
      <c r="U249" s="808"/>
      <c r="V249" s="808"/>
    </row>
    <row r="250">
      <c r="B250" s="825"/>
      <c r="C250" s="106"/>
      <c r="D250" s="826"/>
      <c r="E250" s="826"/>
      <c r="F250" s="826"/>
      <c r="G250" s="826"/>
      <c r="H250" s="826"/>
      <c r="I250" s="826"/>
      <c r="J250" s="826"/>
      <c r="K250" s="826"/>
      <c r="L250" s="826"/>
      <c r="M250" s="106"/>
      <c r="N250" s="826"/>
      <c r="O250" s="827"/>
      <c r="P250" s="808"/>
      <c r="Q250" s="808"/>
      <c r="R250" s="808"/>
      <c r="S250" s="808"/>
      <c r="T250" s="808"/>
      <c r="U250" s="808"/>
      <c r="V250" s="808"/>
    </row>
    <row r="251">
      <c r="B251" s="825"/>
      <c r="C251" s="106"/>
      <c r="D251" s="826"/>
      <c r="E251" s="826"/>
      <c r="F251" s="826"/>
      <c r="G251" s="826"/>
      <c r="H251" s="826"/>
      <c r="I251" s="826"/>
      <c r="J251" s="826"/>
      <c r="K251" s="826"/>
      <c r="L251" s="826"/>
      <c r="M251" s="106"/>
      <c r="N251" s="826"/>
      <c r="O251" s="827"/>
      <c r="P251" s="808"/>
      <c r="Q251" s="808"/>
      <c r="R251" s="808"/>
      <c r="S251" s="808"/>
      <c r="T251" s="808"/>
      <c r="U251" s="808"/>
      <c r="V251" s="808"/>
    </row>
    <row r="252">
      <c r="B252" s="825"/>
      <c r="C252" s="106"/>
      <c r="D252" s="826"/>
      <c r="E252" s="826"/>
      <c r="F252" s="826"/>
      <c r="G252" s="826"/>
      <c r="H252" s="826"/>
      <c r="I252" s="826"/>
      <c r="J252" s="826"/>
      <c r="K252" s="826"/>
      <c r="L252" s="826"/>
      <c r="M252" s="106"/>
      <c r="N252" s="826"/>
      <c r="O252" s="827"/>
      <c r="P252" s="808"/>
      <c r="Q252" s="808"/>
      <c r="R252" s="808"/>
      <c r="S252" s="808"/>
      <c r="T252" s="808"/>
      <c r="U252" s="808"/>
      <c r="V252" s="808"/>
    </row>
    <row r="253">
      <c r="B253" s="825"/>
      <c r="C253" s="106"/>
      <c r="D253" s="826"/>
      <c r="E253" s="826"/>
      <c r="F253" s="826"/>
      <c r="G253" s="826"/>
      <c r="H253" s="826"/>
      <c r="I253" s="826"/>
      <c r="J253" s="826"/>
      <c r="K253" s="826"/>
      <c r="L253" s="826"/>
      <c r="M253" s="106"/>
      <c r="N253" s="826"/>
      <c r="O253" s="827"/>
      <c r="P253" s="808"/>
      <c r="Q253" s="808"/>
      <c r="R253" s="808"/>
      <c r="S253" s="808"/>
      <c r="T253" s="808"/>
      <c r="U253" s="808"/>
      <c r="V253" s="808"/>
    </row>
    <row r="254">
      <c r="B254" s="825"/>
      <c r="C254" s="106"/>
      <c r="D254" s="826"/>
      <c r="E254" s="826"/>
      <c r="F254" s="826"/>
      <c r="G254" s="826"/>
      <c r="H254" s="826"/>
      <c r="I254" s="826"/>
      <c r="J254" s="826"/>
      <c r="K254" s="826"/>
      <c r="L254" s="826"/>
      <c r="M254" s="106"/>
      <c r="N254" s="826"/>
      <c r="O254" s="827"/>
      <c r="P254" s="808"/>
      <c r="Q254" s="808"/>
      <c r="R254" s="808"/>
      <c r="S254" s="808"/>
      <c r="T254" s="808"/>
      <c r="U254" s="808"/>
      <c r="V254" s="808"/>
    </row>
    <row r="255">
      <c r="B255" s="825"/>
      <c r="C255" s="106"/>
      <c r="D255" s="826"/>
      <c r="E255" s="826"/>
      <c r="F255" s="826"/>
      <c r="G255" s="826"/>
      <c r="H255" s="826"/>
      <c r="I255" s="826"/>
      <c r="J255" s="826"/>
      <c r="K255" s="826"/>
      <c r="L255" s="826"/>
      <c r="M255" s="106"/>
      <c r="N255" s="826"/>
      <c r="O255" s="827"/>
      <c r="P255" s="808"/>
      <c r="Q255" s="808"/>
      <c r="R255" s="808"/>
      <c r="S255" s="808"/>
      <c r="T255" s="808"/>
      <c r="U255" s="808"/>
      <c r="V255" s="808"/>
    </row>
    <row r="256">
      <c r="B256" s="825"/>
      <c r="C256" s="106"/>
      <c r="D256" s="826"/>
      <c r="E256" s="826"/>
      <c r="F256" s="826"/>
      <c r="G256" s="826"/>
      <c r="H256" s="826"/>
      <c r="I256" s="826"/>
      <c r="J256" s="826"/>
      <c r="K256" s="826"/>
      <c r="L256" s="826"/>
      <c r="M256" s="106"/>
      <c r="N256" s="826"/>
      <c r="O256" s="827"/>
      <c r="P256" s="808"/>
      <c r="Q256" s="808"/>
      <c r="R256" s="808"/>
      <c r="S256" s="808"/>
      <c r="T256" s="808"/>
      <c r="U256" s="808"/>
      <c r="V256" s="808"/>
    </row>
    <row r="257">
      <c r="B257" s="825"/>
      <c r="C257" s="106"/>
      <c r="D257" s="826"/>
      <c r="E257" s="826"/>
      <c r="F257" s="826"/>
      <c r="G257" s="826"/>
      <c r="H257" s="826"/>
      <c r="I257" s="826"/>
      <c r="J257" s="826"/>
      <c r="K257" s="826"/>
      <c r="L257" s="826"/>
      <c r="M257" s="106"/>
      <c r="N257" s="826"/>
      <c r="O257" s="827"/>
      <c r="P257" s="808"/>
      <c r="Q257" s="808"/>
      <c r="R257" s="808"/>
      <c r="S257" s="808"/>
      <c r="T257" s="808"/>
      <c r="U257" s="808"/>
      <c r="V257" s="808"/>
    </row>
    <row r="258">
      <c r="B258" s="825"/>
      <c r="C258" s="106"/>
      <c r="D258" s="826"/>
      <c r="E258" s="826"/>
      <c r="F258" s="826"/>
      <c r="G258" s="826"/>
      <c r="H258" s="826"/>
      <c r="I258" s="826"/>
      <c r="J258" s="826"/>
      <c r="K258" s="826"/>
      <c r="L258" s="826"/>
      <c r="M258" s="106"/>
      <c r="N258" s="826"/>
      <c r="O258" s="827"/>
      <c r="P258" s="808"/>
      <c r="Q258" s="808"/>
      <c r="R258" s="808"/>
      <c r="S258" s="808"/>
      <c r="T258" s="808"/>
      <c r="U258" s="808"/>
      <c r="V258" s="808"/>
    </row>
    <row r="259">
      <c r="B259" s="825"/>
      <c r="C259" s="106"/>
      <c r="D259" s="826"/>
      <c r="E259" s="826"/>
      <c r="F259" s="826"/>
      <c r="G259" s="826"/>
      <c r="H259" s="826"/>
      <c r="I259" s="826"/>
      <c r="J259" s="826"/>
      <c r="K259" s="826"/>
      <c r="L259" s="826"/>
      <c r="M259" s="106"/>
      <c r="N259" s="826"/>
      <c r="O259" s="827"/>
      <c r="P259" s="808"/>
      <c r="Q259" s="808"/>
      <c r="R259" s="808"/>
      <c r="S259" s="808"/>
      <c r="T259" s="808"/>
      <c r="U259" s="808"/>
      <c r="V259" s="808"/>
    </row>
    <row r="260">
      <c r="B260" s="825"/>
      <c r="C260" s="106"/>
      <c r="D260" s="826"/>
      <c r="E260" s="826"/>
      <c r="F260" s="826"/>
      <c r="G260" s="826"/>
      <c r="H260" s="826"/>
      <c r="I260" s="826"/>
      <c r="J260" s="826"/>
      <c r="K260" s="826"/>
      <c r="L260" s="826"/>
      <c r="M260" s="106"/>
      <c r="N260" s="826"/>
      <c r="O260" s="827"/>
      <c r="P260" s="808"/>
      <c r="Q260" s="808"/>
      <c r="R260" s="808"/>
      <c r="S260" s="808"/>
      <c r="T260" s="808"/>
      <c r="U260" s="808"/>
      <c r="V260" s="808"/>
    </row>
    <row r="261">
      <c r="B261" s="825"/>
      <c r="C261" s="106"/>
      <c r="D261" s="826"/>
      <c r="E261" s="826"/>
      <c r="F261" s="826"/>
      <c r="G261" s="826"/>
      <c r="H261" s="826"/>
      <c r="I261" s="826"/>
      <c r="J261" s="826"/>
      <c r="K261" s="826"/>
      <c r="L261" s="826"/>
      <c r="M261" s="106"/>
      <c r="N261" s="826"/>
      <c r="O261" s="827"/>
      <c r="P261" s="808"/>
      <c r="Q261" s="808"/>
      <c r="R261" s="808"/>
      <c r="S261" s="808"/>
      <c r="T261" s="808"/>
      <c r="U261" s="808"/>
      <c r="V261" s="808"/>
    </row>
    <row r="262">
      <c r="B262" s="825"/>
      <c r="C262" s="106"/>
      <c r="D262" s="826"/>
      <c r="E262" s="826"/>
      <c r="F262" s="826"/>
      <c r="G262" s="826"/>
      <c r="H262" s="826"/>
      <c r="I262" s="826"/>
      <c r="J262" s="826"/>
      <c r="K262" s="826"/>
      <c r="L262" s="826"/>
      <c r="M262" s="106"/>
      <c r="N262" s="826"/>
      <c r="O262" s="827"/>
      <c r="P262" s="808"/>
      <c r="Q262" s="808"/>
      <c r="R262" s="808"/>
      <c r="S262" s="808"/>
      <c r="T262" s="808"/>
      <c r="U262" s="808"/>
      <c r="V262" s="808"/>
    </row>
    <row r="263">
      <c r="B263" s="825"/>
      <c r="C263" s="106"/>
      <c r="D263" s="826"/>
      <c r="E263" s="826"/>
      <c r="F263" s="826"/>
      <c r="G263" s="826"/>
      <c r="H263" s="826"/>
      <c r="I263" s="826"/>
      <c r="J263" s="826"/>
      <c r="K263" s="826"/>
      <c r="L263" s="826"/>
      <c r="M263" s="106"/>
      <c r="N263" s="826"/>
      <c r="O263" s="827"/>
      <c r="P263" s="808"/>
      <c r="Q263" s="808"/>
      <c r="R263" s="808"/>
      <c r="S263" s="808"/>
      <c r="T263" s="808"/>
      <c r="U263" s="808"/>
      <c r="V263" s="808"/>
    </row>
    <row r="264">
      <c r="B264" s="825"/>
      <c r="C264" s="106"/>
      <c r="D264" s="826"/>
      <c r="E264" s="826"/>
      <c r="F264" s="826"/>
      <c r="G264" s="826"/>
      <c r="H264" s="826"/>
      <c r="I264" s="826"/>
      <c r="J264" s="826"/>
      <c r="K264" s="826"/>
      <c r="L264" s="826"/>
      <c r="M264" s="106"/>
      <c r="N264" s="826"/>
      <c r="O264" s="827"/>
      <c r="P264" s="808"/>
      <c r="Q264" s="808"/>
      <c r="R264" s="808"/>
      <c r="S264" s="808"/>
      <c r="T264" s="808"/>
      <c r="U264" s="808"/>
      <c r="V264" s="808"/>
    </row>
    <row r="265">
      <c r="B265" s="825"/>
      <c r="C265" s="106"/>
      <c r="D265" s="826"/>
      <c r="E265" s="826"/>
      <c r="F265" s="826"/>
      <c r="G265" s="826"/>
      <c r="H265" s="826"/>
      <c r="I265" s="826"/>
      <c r="J265" s="826"/>
      <c r="K265" s="826"/>
      <c r="L265" s="826"/>
      <c r="M265" s="106"/>
      <c r="N265" s="826"/>
      <c r="O265" s="827"/>
      <c r="P265" s="808"/>
      <c r="Q265" s="808"/>
      <c r="R265" s="808"/>
      <c r="S265" s="808"/>
      <c r="T265" s="808"/>
      <c r="U265" s="808"/>
      <c r="V265" s="808"/>
    </row>
    <row r="266">
      <c r="B266" s="825"/>
      <c r="C266" s="106"/>
      <c r="D266" s="826"/>
      <c r="E266" s="826"/>
      <c r="F266" s="826"/>
      <c r="G266" s="826"/>
      <c r="H266" s="826"/>
      <c r="I266" s="826"/>
      <c r="J266" s="826"/>
      <c r="K266" s="826"/>
      <c r="L266" s="826"/>
      <c r="M266" s="106"/>
      <c r="N266" s="826"/>
      <c r="O266" s="827"/>
      <c r="P266" s="808"/>
      <c r="Q266" s="808"/>
      <c r="R266" s="808"/>
      <c r="S266" s="808"/>
      <c r="T266" s="808"/>
      <c r="U266" s="808"/>
      <c r="V266" s="808"/>
    </row>
    <row r="267">
      <c r="B267" s="825"/>
      <c r="C267" s="106"/>
      <c r="D267" s="826"/>
      <c r="E267" s="826"/>
      <c r="F267" s="826"/>
      <c r="G267" s="826"/>
      <c r="H267" s="826"/>
      <c r="I267" s="826"/>
      <c r="J267" s="826"/>
      <c r="K267" s="826"/>
      <c r="L267" s="826"/>
      <c r="M267" s="106"/>
      <c r="N267" s="826"/>
      <c r="O267" s="827"/>
      <c r="P267" s="808"/>
      <c r="Q267" s="808"/>
      <c r="R267" s="808"/>
      <c r="S267" s="808"/>
      <c r="T267" s="808"/>
      <c r="U267" s="808"/>
      <c r="V267" s="808"/>
    </row>
    <row r="268">
      <c r="B268" s="825"/>
      <c r="C268" s="106"/>
      <c r="D268" s="826"/>
      <c r="E268" s="826"/>
      <c r="F268" s="826"/>
      <c r="G268" s="826"/>
      <c r="H268" s="826"/>
      <c r="I268" s="826"/>
      <c r="J268" s="826"/>
      <c r="K268" s="826"/>
      <c r="L268" s="826"/>
      <c r="M268" s="106"/>
      <c r="N268" s="826"/>
      <c r="O268" s="827"/>
      <c r="P268" s="808"/>
      <c r="Q268" s="808"/>
      <c r="R268" s="808"/>
      <c r="S268" s="808"/>
      <c r="T268" s="808"/>
      <c r="U268" s="808"/>
      <c r="V268" s="808"/>
    </row>
    <row r="269">
      <c r="B269" s="825"/>
      <c r="C269" s="106"/>
      <c r="D269" s="826"/>
      <c r="E269" s="826"/>
      <c r="F269" s="826"/>
      <c r="G269" s="826"/>
      <c r="H269" s="826"/>
      <c r="I269" s="826"/>
      <c r="J269" s="826"/>
      <c r="K269" s="826"/>
      <c r="L269" s="826"/>
      <c r="M269" s="106"/>
      <c r="N269" s="826"/>
      <c r="O269" s="827"/>
      <c r="P269" s="808"/>
      <c r="Q269" s="808"/>
      <c r="R269" s="808"/>
      <c r="S269" s="808"/>
      <c r="T269" s="808"/>
      <c r="U269" s="808"/>
      <c r="V269" s="808"/>
    </row>
    <row r="270">
      <c r="B270" s="825"/>
      <c r="C270" s="106"/>
      <c r="D270" s="826"/>
      <c r="E270" s="826"/>
      <c r="F270" s="826"/>
      <c r="G270" s="826"/>
      <c r="H270" s="826"/>
      <c r="I270" s="826"/>
      <c r="J270" s="826"/>
      <c r="K270" s="826"/>
      <c r="L270" s="826"/>
      <c r="M270" s="106"/>
      <c r="N270" s="826"/>
      <c r="O270" s="827"/>
      <c r="P270" s="808"/>
      <c r="Q270" s="808"/>
      <c r="R270" s="808"/>
      <c r="S270" s="808"/>
      <c r="T270" s="808"/>
      <c r="U270" s="808"/>
      <c r="V270" s="808"/>
    </row>
    <row r="271">
      <c r="B271" s="825"/>
      <c r="C271" s="106"/>
      <c r="D271" s="826"/>
      <c r="E271" s="826"/>
      <c r="F271" s="826"/>
      <c r="G271" s="826"/>
      <c r="H271" s="826"/>
      <c r="I271" s="826"/>
      <c r="J271" s="826"/>
      <c r="K271" s="826"/>
      <c r="L271" s="826"/>
      <c r="M271" s="106"/>
      <c r="N271" s="826"/>
      <c r="O271" s="827"/>
      <c r="P271" s="808"/>
      <c r="Q271" s="808"/>
      <c r="R271" s="808"/>
      <c r="S271" s="808"/>
      <c r="T271" s="808"/>
      <c r="U271" s="808"/>
      <c r="V271" s="808"/>
    </row>
    <row r="272">
      <c r="B272" s="825"/>
      <c r="C272" s="106"/>
      <c r="D272" s="826"/>
      <c r="E272" s="826"/>
      <c r="F272" s="826"/>
      <c r="G272" s="826"/>
      <c r="H272" s="826"/>
      <c r="I272" s="826"/>
      <c r="J272" s="826"/>
      <c r="K272" s="826"/>
      <c r="L272" s="826"/>
      <c r="M272" s="106"/>
      <c r="N272" s="826"/>
      <c r="O272" s="827"/>
      <c r="P272" s="808"/>
      <c r="Q272" s="808"/>
      <c r="R272" s="808"/>
      <c r="S272" s="808"/>
      <c r="T272" s="808"/>
      <c r="U272" s="808"/>
      <c r="V272" s="808"/>
    </row>
    <row r="273">
      <c r="B273" s="825"/>
      <c r="C273" s="106"/>
      <c r="D273" s="826"/>
      <c r="E273" s="826"/>
      <c r="F273" s="826"/>
      <c r="G273" s="826"/>
      <c r="H273" s="826"/>
      <c r="I273" s="826"/>
      <c r="J273" s="826"/>
      <c r="K273" s="826"/>
      <c r="L273" s="826"/>
      <c r="M273" s="106"/>
      <c r="N273" s="826"/>
      <c r="O273" s="827"/>
      <c r="P273" s="808"/>
      <c r="Q273" s="808"/>
      <c r="R273" s="808"/>
      <c r="S273" s="808"/>
      <c r="T273" s="808"/>
      <c r="U273" s="808"/>
      <c r="V273" s="808"/>
    </row>
    <row r="274">
      <c r="B274" s="825"/>
      <c r="C274" s="106"/>
      <c r="D274" s="826"/>
      <c r="E274" s="826"/>
      <c r="F274" s="826"/>
      <c r="G274" s="826"/>
      <c r="H274" s="826"/>
      <c r="I274" s="826"/>
      <c r="J274" s="826"/>
      <c r="K274" s="826"/>
      <c r="L274" s="826"/>
      <c r="M274" s="106"/>
      <c r="N274" s="826"/>
      <c r="O274" s="827"/>
      <c r="P274" s="808"/>
      <c r="Q274" s="808"/>
      <c r="R274" s="808"/>
      <c r="S274" s="808"/>
      <c r="T274" s="808"/>
      <c r="U274" s="808"/>
      <c r="V274" s="808"/>
    </row>
    <row r="275">
      <c r="B275" s="825"/>
      <c r="C275" s="106"/>
      <c r="D275" s="826"/>
      <c r="E275" s="826"/>
      <c r="F275" s="826"/>
      <c r="G275" s="826"/>
      <c r="H275" s="826"/>
      <c r="I275" s="826"/>
      <c r="J275" s="826"/>
      <c r="K275" s="826"/>
      <c r="L275" s="826"/>
      <c r="M275" s="106"/>
      <c r="N275" s="826"/>
      <c r="O275" s="827"/>
      <c r="P275" s="808"/>
      <c r="Q275" s="808"/>
      <c r="R275" s="808"/>
      <c r="S275" s="808"/>
      <c r="T275" s="808"/>
      <c r="U275" s="808"/>
      <c r="V275" s="808"/>
    </row>
    <row r="276">
      <c r="B276" s="825"/>
      <c r="C276" s="106"/>
      <c r="D276" s="826"/>
      <c r="E276" s="826"/>
      <c r="F276" s="826"/>
      <c r="G276" s="826"/>
      <c r="H276" s="826"/>
      <c r="I276" s="826"/>
      <c r="J276" s="826"/>
      <c r="K276" s="826"/>
      <c r="L276" s="826"/>
      <c r="M276" s="106"/>
      <c r="N276" s="826"/>
      <c r="O276" s="827"/>
      <c r="P276" s="808"/>
      <c r="Q276" s="808"/>
      <c r="R276" s="808"/>
      <c r="S276" s="808"/>
      <c r="T276" s="808"/>
      <c r="U276" s="808"/>
      <c r="V276" s="808"/>
    </row>
    <row r="277">
      <c r="B277" s="825"/>
      <c r="C277" s="106"/>
      <c r="D277" s="826"/>
      <c r="E277" s="826"/>
      <c r="F277" s="826"/>
      <c r="G277" s="826"/>
      <c r="H277" s="826"/>
      <c r="I277" s="826"/>
      <c r="J277" s="826"/>
      <c r="K277" s="826"/>
      <c r="L277" s="826"/>
      <c r="M277" s="106"/>
      <c r="N277" s="826"/>
      <c r="O277" s="827"/>
      <c r="P277" s="808"/>
      <c r="Q277" s="808"/>
      <c r="R277" s="808"/>
      <c r="S277" s="808"/>
      <c r="T277" s="808"/>
      <c r="U277" s="808"/>
      <c r="V277" s="808"/>
    </row>
    <row r="278">
      <c r="B278" s="825"/>
      <c r="C278" s="106"/>
      <c r="D278" s="826"/>
      <c r="E278" s="826"/>
      <c r="F278" s="826"/>
      <c r="G278" s="826"/>
      <c r="H278" s="826"/>
      <c r="I278" s="826"/>
      <c r="J278" s="826"/>
      <c r="K278" s="826"/>
      <c r="L278" s="826"/>
      <c r="M278" s="106"/>
      <c r="N278" s="826"/>
      <c r="O278" s="827"/>
      <c r="P278" s="808"/>
      <c r="Q278" s="808"/>
      <c r="R278" s="808"/>
      <c r="S278" s="808"/>
      <c r="T278" s="808"/>
      <c r="U278" s="808"/>
      <c r="V278" s="808"/>
    </row>
    <row r="279">
      <c r="B279" s="825"/>
      <c r="C279" s="106"/>
      <c r="D279" s="826"/>
      <c r="E279" s="826"/>
      <c r="F279" s="826"/>
      <c r="G279" s="826"/>
      <c r="H279" s="826"/>
      <c r="I279" s="826"/>
      <c r="J279" s="826"/>
      <c r="K279" s="826"/>
      <c r="L279" s="826"/>
      <c r="M279" s="106"/>
      <c r="N279" s="826"/>
      <c r="O279" s="827"/>
      <c r="P279" s="808"/>
      <c r="Q279" s="808"/>
      <c r="R279" s="808"/>
      <c r="S279" s="808"/>
      <c r="T279" s="808"/>
      <c r="U279" s="808"/>
      <c r="V279" s="808"/>
    </row>
    <row r="280">
      <c r="B280" s="825"/>
      <c r="C280" s="106"/>
      <c r="D280" s="826"/>
      <c r="E280" s="826"/>
      <c r="F280" s="826"/>
      <c r="G280" s="826"/>
      <c r="H280" s="826"/>
      <c r="I280" s="826"/>
      <c r="J280" s="826"/>
      <c r="K280" s="826"/>
      <c r="L280" s="826"/>
      <c r="M280" s="106"/>
      <c r="N280" s="826"/>
      <c r="O280" s="827"/>
      <c r="P280" s="808"/>
      <c r="Q280" s="808"/>
      <c r="R280" s="808"/>
      <c r="S280" s="808"/>
      <c r="T280" s="808"/>
      <c r="U280" s="808"/>
      <c r="V280" s="808"/>
    </row>
    <row r="281">
      <c r="B281" s="825"/>
      <c r="C281" s="106"/>
      <c r="D281" s="826"/>
      <c r="E281" s="826"/>
      <c r="F281" s="826"/>
      <c r="G281" s="826"/>
      <c r="H281" s="826"/>
      <c r="I281" s="826"/>
      <c r="J281" s="826"/>
      <c r="K281" s="826"/>
      <c r="L281" s="826"/>
      <c r="M281" s="106"/>
      <c r="N281" s="826"/>
      <c r="O281" s="827"/>
      <c r="P281" s="808"/>
      <c r="Q281" s="808"/>
      <c r="R281" s="808"/>
      <c r="S281" s="808"/>
      <c r="T281" s="808"/>
      <c r="U281" s="808"/>
      <c r="V281" s="808"/>
    </row>
    <row r="282">
      <c r="B282" s="825"/>
      <c r="C282" s="106"/>
      <c r="D282" s="826"/>
      <c r="E282" s="826"/>
      <c r="F282" s="826"/>
      <c r="G282" s="826"/>
      <c r="H282" s="826"/>
      <c r="I282" s="826"/>
      <c r="J282" s="826"/>
      <c r="K282" s="826"/>
      <c r="L282" s="826"/>
      <c r="M282" s="106"/>
      <c r="N282" s="826"/>
      <c r="O282" s="827"/>
      <c r="P282" s="808"/>
      <c r="Q282" s="808"/>
      <c r="R282" s="808"/>
      <c r="S282" s="808"/>
      <c r="T282" s="808"/>
      <c r="U282" s="808"/>
      <c r="V282" s="808"/>
    </row>
    <row r="283">
      <c r="B283" s="825"/>
      <c r="C283" s="106"/>
      <c r="D283" s="826"/>
      <c r="E283" s="826"/>
      <c r="F283" s="826"/>
      <c r="G283" s="826"/>
      <c r="H283" s="826"/>
      <c r="I283" s="826"/>
      <c r="J283" s="826"/>
      <c r="K283" s="826"/>
      <c r="L283" s="826"/>
      <c r="M283" s="106"/>
      <c r="N283" s="826"/>
      <c r="O283" s="827"/>
      <c r="P283" s="808"/>
      <c r="Q283" s="808"/>
      <c r="R283" s="808"/>
      <c r="S283" s="808"/>
      <c r="T283" s="808"/>
      <c r="U283" s="808"/>
      <c r="V283" s="808"/>
    </row>
    <row r="284">
      <c r="B284" s="825"/>
      <c r="C284" s="106"/>
      <c r="D284" s="826"/>
      <c r="E284" s="826"/>
      <c r="F284" s="826"/>
      <c r="G284" s="826"/>
      <c r="H284" s="826"/>
      <c r="I284" s="826"/>
      <c r="J284" s="826"/>
      <c r="K284" s="826"/>
      <c r="L284" s="826"/>
      <c r="M284" s="106"/>
      <c r="N284" s="826"/>
      <c r="O284" s="827"/>
      <c r="P284" s="808"/>
      <c r="Q284" s="808"/>
      <c r="R284" s="808"/>
      <c r="S284" s="808"/>
      <c r="T284" s="808"/>
      <c r="U284" s="808"/>
      <c r="V284" s="808"/>
    </row>
    <row r="285">
      <c r="B285" s="825"/>
      <c r="C285" s="106"/>
      <c r="D285" s="826"/>
      <c r="E285" s="826"/>
      <c r="F285" s="826"/>
      <c r="G285" s="826"/>
      <c r="H285" s="826"/>
      <c r="I285" s="826"/>
      <c r="J285" s="826"/>
      <c r="K285" s="826"/>
      <c r="L285" s="826"/>
      <c r="M285" s="106"/>
      <c r="N285" s="826"/>
      <c r="O285" s="827"/>
      <c r="P285" s="808"/>
      <c r="Q285" s="808"/>
      <c r="R285" s="808"/>
      <c r="S285" s="808"/>
      <c r="T285" s="808"/>
      <c r="U285" s="808"/>
      <c r="V285" s="808"/>
    </row>
    <row r="286">
      <c r="B286" s="825"/>
      <c r="C286" s="106"/>
      <c r="D286" s="826"/>
      <c r="E286" s="826"/>
      <c r="F286" s="826"/>
      <c r="G286" s="826"/>
      <c r="H286" s="826"/>
      <c r="I286" s="826"/>
      <c r="J286" s="826"/>
      <c r="K286" s="826"/>
      <c r="L286" s="826"/>
      <c r="M286" s="106"/>
      <c r="N286" s="826"/>
      <c r="O286" s="827"/>
      <c r="P286" s="808"/>
      <c r="Q286" s="808"/>
      <c r="R286" s="808"/>
      <c r="S286" s="808"/>
      <c r="T286" s="808"/>
      <c r="U286" s="808"/>
      <c r="V286" s="808"/>
    </row>
    <row r="287">
      <c r="B287" s="825"/>
      <c r="C287" s="106"/>
      <c r="D287" s="826"/>
      <c r="E287" s="826"/>
      <c r="F287" s="826"/>
      <c r="G287" s="826"/>
      <c r="H287" s="826"/>
      <c r="I287" s="826"/>
      <c r="J287" s="826"/>
      <c r="K287" s="826"/>
      <c r="L287" s="826"/>
      <c r="M287" s="106"/>
      <c r="N287" s="826"/>
      <c r="O287" s="827"/>
      <c r="P287" s="808"/>
      <c r="Q287" s="808"/>
      <c r="R287" s="808"/>
      <c r="S287" s="808"/>
      <c r="T287" s="808"/>
      <c r="U287" s="808"/>
      <c r="V287" s="808"/>
    </row>
    <row r="288">
      <c r="B288" s="825"/>
      <c r="C288" s="106"/>
      <c r="D288" s="826"/>
      <c r="E288" s="826"/>
      <c r="F288" s="826"/>
      <c r="G288" s="826"/>
      <c r="H288" s="826"/>
      <c r="I288" s="826"/>
      <c r="J288" s="826"/>
      <c r="K288" s="826"/>
      <c r="L288" s="826"/>
      <c r="M288" s="106"/>
      <c r="N288" s="826"/>
      <c r="O288" s="827"/>
      <c r="P288" s="808"/>
      <c r="Q288" s="808"/>
      <c r="R288" s="808"/>
      <c r="S288" s="808"/>
      <c r="T288" s="808"/>
      <c r="U288" s="808"/>
      <c r="V288" s="808"/>
    </row>
    <row r="289">
      <c r="B289" s="825"/>
      <c r="C289" s="106"/>
      <c r="D289" s="826"/>
      <c r="E289" s="826"/>
      <c r="F289" s="826"/>
      <c r="G289" s="826"/>
      <c r="H289" s="826"/>
      <c r="I289" s="826"/>
      <c r="J289" s="826"/>
      <c r="K289" s="826"/>
      <c r="L289" s="826"/>
      <c r="M289" s="106"/>
      <c r="N289" s="826"/>
      <c r="O289" s="827"/>
      <c r="P289" s="808"/>
      <c r="Q289" s="808"/>
      <c r="R289" s="808"/>
      <c r="S289" s="808"/>
      <c r="T289" s="808"/>
      <c r="U289" s="808"/>
      <c r="V289" s="808"/>
    </row>
    <row r="290">
      <c r="B290" s="825"/>
      <c r="C290" s="106"/>
      <c r="D290" s="826"/>
      <c r="E290" s="826"/>
      <c r="F290" s="826"/>
      <c r="G290" s="826"/>
      <c r="H290" s="826"/>
      <c r="I290" s="826"/>
      <c r="J290" s="826"/>
      <c r="K290" s="826"/>
      <c r="L290" s="826"/>
      <c r="M290" s="106"/>
      <c r="N290" s="826"/>
      <c r="O290" s="827"/>
      <c r="P290" s="808"/>
      <c r="Q290" s="808"/>
      <c r="R290" s="808"/>
      <c r="S290" s="808"/>
      <c r="T290" s="808"/>
      <c r="U290" s="808"/>
      <c r="V290" s="808"/>
    </row>
    <row r="291">
      <c r="B291" s="825"/>
      <c r="C291" s="106"/>
      <c r="D291" s="826"/>
      <c r="E291" s="826"/>
      <c r="F291" s="826"/>
      <c r="G291" s="826"/>
      <c r="H291" s="826"/>
      <c r="I291" s="826"/>
      <c r="J291" s="826"/>
      <c r="K291" s="826"/>
      <c r="L291" s="826"/>
      <c r="M291" s="106"/>
      <c r="N291" s="826"/>
      <c r="O291" s="827"/>
      <c r="P291" s="808"/>
      <c r="Q291" s="808"/>
      <c r="R291" s="808"/>
      <c r="S291" s="808"/>
      <c r="T291" s="808"/>
      <c r="U291" s="808"/>
      <c r="V291" s="808"/>
    </row>
    <row r="292">
      <c r="B292" s="825"/>
      <c r="C292" s="106"/>
      <c r="D292" s="826"/>
      <c r="E292" s="826"/>
      <c r="F292" s="826"/>
      <c r="G292" s="826"/>
      <c r="H292" s="826"/>
      <c r="I292" s="826"/>
      <c r="J292" s="826"/>
      <c r="K292" s="826"/>
      <c r="L292" s="826"/>
      <c r="M292" s="106"/>
      <c r="N292" s="826"/>
      <c r="O292" s="827"/>
      <c r="P292" s="808"/>
      <c r="Q292" s="808"/>
      <c r="R292" s="808"/>
      <c r="S292" s="808"/>
      <c r="T292" s="808"/>
      <c r="U292" s="808"/>
      <c r="V292" s="808"/>
    </row>
    <row r="293">
      <c r="B293" s="825"/>
      <c r="C293" s="106"/>
      <c r="D293" s="826"/>
      <c r="E293" s="826"/>
      <c r="F293" s="826"/>
      <c r="G293" s="826"/>
      <c r="H293" s="826"/>
      <c r="I293" s="826"/>
      <c r="J293" s="826"/>
      <c r="K293" s="826"/>
      <c r="L293" s="826"/>
      <c r="M293" s="106"/>
      <c r="N293" s="826"/>
      <c r="O293" s="827"/>
      <c r="P293" s="808"/>
      <c r="Q293" s="808"/>
      <c r="R293" s="808"/>
      <c r="S293" s="808"/>
      <c r="T293" s="808"/>
      <c r="U293" s="808"/>
      <c r="V293" s="808"/>
    </row>
    <row r="294">
      <c r="B294" s="825"/>
      <c r="C294" s="106"/>
      <c r="D294" s="826"/>
      <c r="E294" s="826"/>
      <c r="F294" s="826"/>
      <c r="G294" s="826"/>
      <c r="H294" s="826"/>
      <c r="I294" s="826"/>
      <c r="J294" s="826"/>
      <c r="K294" s="826"/>
      <c r="L294" s="826"/>
      <c r="M294" s="106"/>
      <c r="N294" s="826"/>
      <c r="O294" s="827"/>
      <c r="P294" s="808"/>
      <c r="Q294" s="808"/>
      <c r="R294" s="808"/>
      <c r="S294" s="808"/>
      <c r="T294" s="808"/>
      <c r="U294" s="808"/>
      <c r="V294" s="808"/>
    </row>
    <row r="295">
      <c r="B295" s="825"/>
      <c r="C295" s="106"/>
      <c r="D295" s="826"/>
      <c r="E295" s="826"/>
      <c r="F295" s="826"/>
      <c r="G295" s="826"/>
      <c r="H295" s="826"/>
      <c r="I295" s="826"/>
      <c r="J295" s="826"/>
      <c r="K295" s="826"/>
      <c r="L295" s="826"/>
      <c r="M295" s="106"/>
      <c r="N295" s="826"/>
      <c r="O295" s="827"/>
      <c r="P295" s="808"/>
      <c r="Q295" s="808"/>
      <c r="R295" s="808"/>
      <c r="S295" s="808"/>
      <c r="T295" s="808"/>
      <c r="U295" s="808"/>
      <c r="V295" s="808"/>
    </row>
    <row r="296">
      <c r="B296" s="825"/>
      <c r="C296" s="106"/>
      <c r="D296" s="826"/>
      <c r="E296" s="826"/>
      <c r="F296" s="826"/>
      <c r="G296" s="826"/>
      <c r="H296" s="826"/>
      <c r="I296" s="826"/>
      <c r="J296" s="826"/>
      <c r="K296" s="826"/>
      <c r="L296" s="826"/>
      <c r="M296" s="106"/>
      <c r="N296" s="826"/>
      <c r="O296" s="827"/>
      <c r="P296" s="808"/>
      <c r="Q296" s="808"/>
      <c r="R296" s="808"/>
      <c r="S296" s="808"/>
      <c r="T296" s="808"/>
      <c r="U296" s="808"/>
      <c r="V296" s="808"/>
    </row>
    <row r="297">
      <c r="B297" s="825"/>
      <c r="C297" s="106"/>
      <c r="D297" s="826"/>
      <c r="E297" s="826"/>
      <c r="F297" s="826"/>
      <c r="G297" s="826"/>
      <c r="H297" s="826"/>
      <c r="I297" s="826"/>
      <c r="J297" s="826"/>
      <c r="K297" s="826"/>
      <c r="L297" s="826"/>
      <c r="M297" s="106"/>
      <c r="N297" s="826"/>
      <c r="O297" s="827"/>
      <c r="P297" s="808"/>
      <c r="Q297" s="808"/>
      <c r="R297" s="808"/>
      <c r="S297" s="808"/>
      <c r="T297" s="808"/>
      <c r="U297" s="808"/>
      <c r="V297" s="808"/>
    </row>
    <row r="298">
      <c r="B298" s="825"/>
      <c r="C298" s="106"/>
      <c r="D298" s="826"/>
      <c r="E298" s="826"/>
      <c r="F298" s="826"/>
      <c r="G298" s="826"/>
      <c r="H298" s="826"/>
      <c r="I298" s="826"/>
      <c r="J298" s="826"/>
      <c r="K298" s="826"/>
      <c r="L298" s="826"/>
      <c r="M298" s="106"/>
      <c r="N298" s="826"/>
      <c r="O298" s="827"/>
      <c r="P298" s="808"/>
      <c r="Q298" s="808"/>
      <c r="R298" s="808"/>
      <c r="S298" s="808"/>
      <c r="T298" s="808"/>
      <c r="U298" s="808"/>
      <c r="V298" s="808"/>
    </row>
    <row r="299">
      <c r="B299" s="825"/>
      <c r="C299" s="106"/>
      <c r="D299" s="826"/>
      <c r="E299" s="826"/>
      <c r="F299" s="826"/>
      <c r="G299" s="826"/>
      <c r="H299" s="826"/>
      <c r="I299" s="826"/>
      <c r="J299" s="826"/>
      <c r="K299" s="826"/>
      <c r="L299" s="826"/>
      <c r="M299" s="106"/>
      <c r="N299" s="826"/>
      <c r="O299" s="827"/>
      <c r="P299" s="808"/>
      <c r="Q299" s="808"/>
      <c r="R299" s="808"/>
      <c r="S299" s="808"/>
      <c r="T299" s="808"/>
      <c r="U299" s="808"/>
      <c r="V299" s="808"/>
    </row>
    <row r="300">
      <c r="B300" s="825"/>
      <c r="C300" s="106"/>
      <c r="D300" s="826"/>
      <c r="E300" s="826"/>
      <c r="F300" s="826"/>
      <c r="G300" s="826"/>
      <c r="H300" s="826"/>
      <c r="I300" s="826"/>
      <c r="J300" s="826"/>
      <c r="K300" s="826"/>
      <c r="L300" s="826"/>
      <c r="M300" s="106"/>
      <c r="N300" s="826"/>
      <c r="O300" s="827"/>
      <c r="P300" s="808"/>
      <c r="Q300" s="808"/>
      <c r="R300" s="808"/>
      <c r="S300" s="808"/>
      <c r="T300" s="808"/>
      <c r="U300" s="808"/>
      <c r="V300" s="808"/>
    </row>
    <row r="301">
      <c r="B301" s="825"/>
      <c r="C301" s="106"/>
      <c r="D301" s="826"/>
      <c r="E301" s="826"/>
      <c r="F301" s="826"/>
      <c r="G301" s="826"/>
      <c r="H301" s="826"/>
      <c r="I301" s="826"/>
      <c r="J301" s="826"/>
      <c r="K301" s="826"/>
      <c r="L301" s="826"/>
      <c r="M301" s="106"/>
      <c r="N301" s="826"/>
      <c r="O301" s="827"/>
      <c r="P301" s="808"/>
      <c r="Q301" s="808"/>
      <c r="R301" s="808"/>
      <c r="S301" s="808"/>
      <c r="T301" s="808"/>
      <c r="U301" s="808"/>
      <c r="V301" s="808"/>
    </row>
    <row r="302">
      <c r="B302" s="825"/>
      <c r="C302" s="106"/>
      <c r="D302" s="826"/>
      <c r="E302" s="826"/>
      <c r="F302" s="826"/>
      <c r="G302" s="826"/>
      <c r="H302" s="826"/>
      <c r="I302" s="826"/>
      <c r="J302" s="826"/>
      <c r="K302" s="826"/>
      <c r="L302" s="826"/>
      <c r="M302" s="106"/>
      <c r="N302" s="826"/>
      <c r="O302" s="827"/>
      <c r="P302" s="808"/>
      <c r="Q302" s="808"/>
      <c r="R302" s="808"/>
      <c r="S302" s="808"/>
      <c r="T302" s="808"/>
      <c r="U302" s="808"/>
      <c r="V302" s="808"/>
    </row>
    <row r="303">
      <c r="B303" s="825"/>
      <c r="C303" s="106"/>
      <c r="D303" s="826"/>
      <c r="E303" s="826"/>
      <c r="F303" s="826"/>
      <c r="G303" s="826"/>
      <c r="H303" s="826"/>
      <c r="I303" s="826"/>
      <c r="J303" s="826"/>
      <c r="K303" s="826"/>
      <c r="L303" s="826"/>
      <c r="M303" s="106"/>
      <c r="N303" s="826"/>
      <c r="O303" s="827"/>
      <c r="P303" s="808"/>
      <c r="Q303" s="808"/>
      <c r="R303" s="808"/>
      <c r="S303" s="808"/>
      <c r="T303" s="808"/>
      <c r="U303" s="808"/>
      <c r="V303" s="808"/>
    </row>
    <row r="304">
      <c r="B304" s="825"/>
      <c r="C304" s="106"/>
      <c r="D304" s="826"/>
      <c r="E304" s="826"/>
      <c r="F304" s="826"/>
      <c r="G304" s="826"/>
      <c r="H304" s="826"/>
      <c r="I304" s="826"/>
      <c r="J304" s="826"/>
      <c r="K304" s="826"/>
      <c r="L304" s="826"/>
      <c r="M304" s="106"/>
      <c r="N304" s="826"/>
      <c r="O304" s="827"/>
      <c r="P304" s="808"/>
      <c r="Q304" s="808"/>
      <c r="R304" s="808"/>
      <c r="S304" s="808"/>
      <c r="T304" s="808"/>
      <c r="U304" s="808"/>
      <c r="V304" s="808"/>
    </row>
    <row r="305">
      <c r="B305" s="825"/>
      <c r="C305" s="106"/>
      <c r="D305" s="826"/>
      <c r="E305" s="826"/>
      <c r="F305" s="826"/>
      <c r="G305" s="826"/>
      <c r="H305" s="826"/>
      <c r="I305" s="826"/>
      <c r="J305" s="826"/>
      <c r="K305" s="826"/>
      <c r="L305" s="826"/>
      <c r="M305" s="106"/>
      <c r="N305" s="826"/>
      <c r="O305" s="827"/>
      <c r="P305" s="808"/>
      <c r="Q305" s="808"/>
      <c r="R305" s="808"/>
      <c r="S305" s="808"/>
      <c r="T305" s="808"/>
      <c r="U305" s="808"/>
      <c r="V305" s="808"/>
    </row>
    <row r="306">
      <c r="B306" s="825"/>
      <c r="C306" s="106"/>
      <c r="D306" s="826"/>
      <c r="E306" s="826"/>
      <c r="F306" s="826"/>
      <c r="G306" s="826"/>
      <c r="H306" s="826"/>
      <c r="I306" s="826"/>
      <c r="J306" s="826"/>
      <c r="K306" s="826"/>
      <c r="L306" s="826"/>
      <c r="M306" s="106"/>
      <c r="N306" s="826"/>
      <c r="O306" s="827"/>
      <c r="P306" s="808"/>
      <c r="Q306" s="808"/>
      <c r="R306" s="808"/>
      <c r="S306" s="808"/>
      <c r="T306" s="808"/>
      <c r="U306" s="808"/>
      <c r="V306" s="808"/>
    </row>
    <row r="307">
      <c r="B307" s="825"/>
      <c r="C307" s="106"/>
      <c r="D307" s="826"/>
      <c r="E307" s="826"/>
      <c r="F307" s="826"/>
      <c r="G307" s="826"/>
      <c r="H307" s="826"/>
      <c r="I307" s="826"/>
      <c r="J307" s="826"/>
      <c r="K307" s="826"/>
      <c r="L307" s="826"/>
      <c r="M307" s="106"/>
      <c r="N307" s="826"/>
      <c r="O307" s="827"/>
      <c r="P307" s="808"/>
      <c r="Q307" s="808"/>
      <c r="R307" s="808"/>
      <c r="S307" s="808"/>
      <c r="T307" s="808"/>
      <c r="U307" s="808"/>
      <c r="V307" s="808"/>
    </row>
    <row r="308">
      <c r="B308" s="825"/>
      <c r="C308" s="106"/>
      <c r="D308" s="826"/>
      <c r="E308" s="826"/>
      <c r="F308" s="826"/>
      <c r="G308" s="826"/>
      <c r="H308" s="826"/>
      <c r="I308" s="826"/>
      <c r="J308" s="826"/>
      <c r="K308" s="826"/>
      <c r="L308" s="826"/>
      <c r="M308" s="106"/>
      <c r="N308" s="826"/>
      <c r="O308" s="827"/>
      <c r="P308" s="808"/>
      <c r="Q308" s="808"/>
      <c r="R308" s="808"/>
      <c r="S308" s="808"/>
      <c r="T308" s="808"/>
      <c r="U308" s="808"/>
      <c r="V308" s="808"/>
    </row>
    <row r="309">
      <c r="B309" s="825"/>
      <c r="C309" s="106"/>
      <c r="D309" s="826"/>
      <c r="E309" s="826"/>
      <c r="F309" s="826"/>
      <c r="G309" s="826"/>
      <c r="H309" s="826"/>
      <c r="I309" s="826"/>
      <c r="J309" s="826"/>
      <c r="K309" s="826"/>
      <c r="L309" s="826"/>
      <c r="M309" s="106"/>
      <c r="N309" s="826"/>
      <c r="O309" s="827"/>
      <c r="P309" s="808"/>
      <c r="Q309" s="808"/>
      <c r="R309" s="808"/>
      <c r="S309" s="808"/>
      <c r="T309" s="808"/>
      <c r="U309" s="808"/>
      <c r="V309" s="808"/>
    </row>
    <row r="310">
      <c r="B310" s="825"/>
      <c r="C310" s="106"/>
      <c r="D310" s="826"/>
      <c r="E310" s="826"/>
      <c r="F310" s="826"/>
      <c r="G310" s="826"/>
      <c r="H310" s="826"/>
      <c r="I310" s="826"/>
      <c r="J310" s="826"/>
      <c r="K310" s="826"/>
      <c r="L310" s="826"/>
      <c r="M310" s="106"/>
      <c r="N310" s="826"/>
      <c r="O310" s="827"/>
      <c r="P310" s="808"/>
      <c r="Q310" s="808"/>
      <c r="R310" s="808"/>
      <c r="S310" s="808"/>
      <c r="T310" s="808"/>
      <c r="U310" s="808"/>
      <c r="V310" s="808"/>
    </row>
    <row r="311">
      <c r="B311" s="825"/>
      <c r="C311" s="106"/>
      <c r="D311" s="826"/>
      <c r="E311" s="826"/>
      <c r="F311" s="826"/>
      <c r="G311" s="826"/>
      <c r="H311" s="826"/>
      <c r="I311" s="826"/>
      <c r="J311" s="826"/>
      <c r="K311" s="826"/>
      <c r="L311" s="826"/>
      <c r="M311" s="106"/>
      <c r="N311" s="826"/>
      <c r="O311" s="827"/>
      <c r="P311" s="808"/>
      <c r="Q311" s="808"/>
      <c r="R311" s="808"/>
      <c r="S311" s="808"/>
      <c r="T311" s="808"/>
      <c r="U311" s="808"/>
      <c r="V311" s="808"/>
    </row>
    <row r="312">
      <c r="B312" s="825"/>
      <c r="C312" s="106"/>
      <c r="D312" s="826"/>
      <c r="E312" s="826"/>
      <c r="F312" s="826"/>
      <c r="G312" s="826"/>
      <c r="H312" s="826"/>
      <c r="I312" s="826"/>
      <c r="J312" s="826"/>
      <c r="K312" s="826"/>
      <c r="L312" s="826"/>
      <c r="M312" s="106"/>
      <c r="N312" s="826"/>
      <c r="O312" s="827"/>
      <c r="P312" s="808"/>
      <c r="Q312" s="808"/>
      <c r="R312" s="808"/>
      <c r="S312" s="808"/>
      <c r="T312" s="808"/>
      <c r="U312" s="808"/>
      <c r="V312" s="808"/>
    </row>
    <row r="313">
      <c r="B313" s="825"/>
      <c r="C313" s="106"/>
      <c r="D313" s="826"/>
      <c r="E313" s="826"/>
      <c r="F313" s="826"/>
      <c r="G313" s="826"/>
      <c r="H313" s="826"/>
      <c r="I313" s="826"/>
      <c r="J313" s="826"/>
      <c r="K313" s="826"/>
      <c r="L313" s="826"/>
      <c r="M313" s="106"/>
      <c r="N313" s="826"/>
      <c r="O313" s="827"/>
      <c r="P313" s="808"/>
      <c r="Q313" s="808"/>
      <c r="R313" s="808"/>
      <c r="S313" s="808"/>
      <c r="T313" s="808"/>
      <c r="U313" s="808"/>
      <c r="V313" s="808"/>
    </row>
    <row r="314">
      <c r="B314" s="825"/>
      <c r="C314" s="106"/>
      <c r="D314" s="826"/>
      <c r="E314" s="826"/>
      <c r="F314" s="826"/>
      <c r="G314" s="826"/>
      <c r="H314" s="826"/>
      <c r="I314" s="826"/>
      <c r="J314" s="826"/>
      <c r="K314" s="826"/>
      <c r="L314" s="826"/>
      <c r="M314" s="106"/>
      <c r="N314" s="826"/>
      <c r="O314" s="827"/>
      <c r="P314" s="808"/>
      <c r="Q314" s="808"/>
      <c r="R314" s="808"/>
      <c r="S314" s="808"/>
      <c r="T314" s="808"/>
      <c r="U314" s="808"/>
      <c r="V314" s="808"/>
    </row>
    <row r="315">
      <c r="B315" s="825"/>
      <c r="C315" s="106"/>
      <c r="D315" s="826"/>
      <c r="E315" s="826"/>
      <c r="F315" s="826"/>
      <c r="G315" s="826"/>
      <c r="H315" s="826"/>
      <c r="I315" s="826"/>
      <c r="J315" s="826"/>
      <c r="K315" s="826"/>
      <c r="L315" s="826"/>
      <c r="M315" s="106"/>
      <c r="N315" s="826"/>
      <c r="O315" s="827"/>
      <c r="P315" s="808"/>
      <c r="Q315" s="808"/>
      <c r="R315" s="808"/>
      <c r="S315" s="808"/>
      <c r="T315" s="808"/>
      <c r="U315" s="808"/>
      <c r="V315" s="808"/>
    </row>
    <row r="316">
      <c r="B316" s="825"/>
      <c r="C316" s="106"/>
      <c r="D316" s="826"/>
      <c r="E316" s="826"/>
      <c r="F316" s="826"/>
      <c r="G316" s="826"/>
      <c r="H316" s="826"/>
      <c r="I316" s="826"/>
      <c r="J316" s="826"/>
      <c r="K316" s="826"/>
      <c r="L316" s="826"/>
      <c r="M316" s="106"/>
      <c r="N316" s="826"/>
      <c r="O316" s="827"/>
      <c r="P316" s="808"/>
      <c r="Q316" s="808"/>
      <c r="R316" s="808"/>
      <c r="S316" s="808"/>
      <c r="T316" s="808"/>
      <c r="U316" s="808"/>
      <c r="V316" s="808"/>
    </row>
    <row r="317">
      <c r="B317" s="825"/>
      <c r="C317" s="106"/>
      <c r="D317" s="826"/>
      <c r="E317" s="826"/>
      <c r="F317" s="826"/>
      <c r="G317" s="826"/>
      <c r="H317" s="826"/>
      <c r="I317" s="826"/>
      <c r="J317" s="826"/>
      <c r="K317" s="826"/>
      <c r="L317" s="826"/>
      <c r="M317" s="106"/>
      <c r="N317" s="826"/>
      <c r="O317" s="827"/>
      <c r="P317" s="808"/>
      <c r="Q317" s="808"/>
      <c r="R317" s="808"/>
      <c r="S317" s="808"/>
      <c r="T317" s="808"/>
      <c r="U317" s="808"/>
      <c r="V317" s="808"/>
    </row>
    <row r="318">
      <c r="B318" s="825"/>
      <c r="C318" s="106"/>
      <c r="D318" s="826"/>
      <c r="E318" s="826"/>
      <c r="F318" s="826"/>
      <c r="G318" s="826"/>
      <c r="H318" s="826"/>
      <c r="I318" s="826"/>
      <c r="J318" s="826"/>
      <c r="K318" s="826"/>
      <c r="L318" s="826"/>
      <c r="M318" s="106"/>
      <c r="N318" s="826"/>
      <c r="O318" s="827"/>
      <c r="P318" s="808"/>
      <c r="Q318" s="808"/>
      <c r="R318" s="808"/>
      <c r="S318" s="808"/>
      <c r="T318" s="808"/>
      <c r="U318" s="808"/>
      <c r="V318" s="808"/>
    </row>
    <row r="319">
      <c r="B319" s="825"/>
      <c r="C319" s="106"/>
      <c r="D319" s="826"/>
      <c r="E319" s="826"/>
      <c r="F319" s="826"/>
      <c r="G319" s="826"/>
      <c r="H319" s="826"/>
      <c r="I319" s="826"/>
      <c r="J319" s="826"/>
      <c r="K319" s="826"/>
      <c r="L319" s="826"/>
      <c r="M319" s="106"/>
      <c r="N319" s="826"/>
      <c r="O319" s="827"/>
      <c r="P319" s="808"/>
      <c r="Q319" s="808"/>
      <c r="R319" s="808"/>
      <c r="S319" s="808"/>
      <c r="T319" s="808"/>
      <c r="U319" s="808"/>
      <c r="V319" s="808"/>
    </row>
    <row r="320">
      <c r="B320" s="825"/>
      <c r="C320" s="106"/>
      <c r="D320" s="826"/>
      <c r="E320" s="826"/>
      <c r="F320" s="826"/>
      <c r="G320" s="826"/>
      <c r="H320" s="826"/>
      <c r="I320" s="826"/>
      <c r="J320" s="826"/>
      <c r="K320" s="826"/>
      <c r="L320" s="826"/>
      <c r="M320" s="106"/>
      <c r="N320" s="826"/>
      <c r="O320" s="827"/>
      <c r="P320" s="808"/>
      <c r="Q320" s="808"/>
      <c r="R320" s="808"/>
      <c r="S320" s="808"/>
      <c r="T320" s="808"/>
      <c r="U320" s="808"/>
      <c r="V320" s="808"/>
    </row>
    <row r="321">
      <c r="B321" s="825"/>
      <c r="C321" s="106"/>
      <c r="D321" s="826"/>
      <c r="E321" s="826"/>
      <c r="F321" s="826"/>
      <c r="G321" s="826"/>
      <c r="H321" s="826"/>
      <c r="I321" s="826"/>
      <c r="J321" s="826"/>
      <c r="K321" s="826"/>
      <c r="L321" s="826"/>
      <c r="M321" s="106"/>
      <c r="N321" s="826"/>
      <c r="O321" s="827"/>
      <c r="P321" s="808"/>
      <c r="Q321" s="808"/>
      <c r="R321" s="808"/>
      <c r="S321" s="808"/>
      <c r="T321" s="808"/>
      <c r="U321" s="808"/>
      <c r="V321" s="808"/>
    </row>
    <row r="322">
      <c r="B322" s="825"/>
      <c r="C322" s="106"/>
      <c r="D322" s="826"/>
      <c r="E322" s="826"/>
      <c r="F322" s="826"/>
      <c r="G322" s="826"/>
      <c r="H322" s="826"/>
      <c r="I322" s="826"/>
      <c r="J322" s="826"/>
      <c r="K322" s="826"/>
      <c r="L322" s="826"/>
      <c r="M322" s="106"/>
      <c r="N322" s="826"/>
      <c r="O322" s="827"/>
      <c r="P322" s="808"/>
      <c r="Q322" s="808"/>
      <c r="R322" s="808"/>
      <c r="S322" s="808"/>
      <c r="T322" s="808"/>
      <c r="U322" s="808"/>
      <c r="V322" s="808"/>
    </row>
    <row r="323">
      <c r="B323" s="825"/>
      <c r="C323" s="106"/>
      <c r="D323" s="826"/>
      <c r="E323" s="826"/>
      <c r="F323" s="826"/>
      <c r="G323" s="826"/>
      <c r="H323" s="826"/>
      <c r="I323" s="826"/>
      <c r="J323" s="826"/>
      <c r="K323" s="826"/>
      <c r="L323" s="826"/>
      <c r="M323" s="106"/>
      <c r="N323" s="826"/>
      <c r="O323" s="827"/>
      <c r="P323" s="808"/>
      <c r="Q323" s="808"/>
      <c r="R323" s="808"/>
      <c r="S323" s="808"/>
      <c r="T323" s="808"/>
      <c r="U323" s="808"/>
      <c r="V323" s="808"/>
    </row>
    <row r="324">
      <c r="B324" s="825"/>
      <c r="C324" s="106"/>
      <c r="D324" s="826"/>
      <c r="E324" s="826"/>
      <c r="F324" s="826"/>
      <c r="G324" s="826"/>
      <c r="H324" s="826"/>
      <c r="I324" s="826"/>
      <c r="J324" s="826"/>
      <c r="K324" s="826"/>
      <c r="L324" s="826"/>
      <c r="M324" s="106"/>
      <c r="N324" s="826"/>
      <c r="O324" s="827"/>
      <c r="P324" s="808"/>
      <c r="Q324" s="808"/>
      <c r="R324" s="808"/>
      <c r="S324" s="808"/>
      <c r="T324" s="808"/>
      <c r="U324" s="808"/>
      <c r="V324" s="808"/>
    </row>
    <row r="325">
      <c r="B325" s="825"/>
      <c r="C325" s="106"/>
      <c r="D325" s="826"/>
      <c r="E325" s="826"/>
      <c r="F325" s="826"/>
      <c r="G325" s="826"/>
      <c r="H325" s="826"/>
      <c r="I325" s="826"/>
      <c r="J325" s="826"/>
      <c r="K325" s="826"/>
      <c r="L325" s="826"/>
      <c r="M325" s="106"/>
      <c r="N325" s="826"/>
      <c r="O325" s="827"/>
      <c r="P325" s="808"/>
      <c r="Q325" s="808"/>
      <c r="R325" s="808"/>
      <c r="S325" s="808"/>
      <c r="T325" s="808"/>
      <c r="U325" s="808"/>
      <c r="V325" s="808"/>
    </row>
    <row r="326">
      <c r="B326" s="825"/>
      <c r="C326" s="106"/>
      <c r="D326" s="826"/>
      <c r="E326" s="826"/>
      <c r="F326" s="826"/>
      <c r="G326" s="826"/>
      <c r="H326" s="826"/>
      <c r="I326" s="826"/>
      <c r="J326" s="826"/>
      <c r="K326" s="826"/>
      <c r="L326" s="826"/>
      <c r="M326" s="106"/>
      <c r="N326" s="826"/>
      <c r="O326" s="827"/>
      <c r="P326" s="808"/>
      <c r="Q326" s="808"/>
      <c r="R326" s="808"/>
      <c r="S326" s="808"/>
      <c r="T326" s="808"/>
      <c r="U326" s="808"/>
      <c r="V326" s="808"/>
    </row>
    <row r="327">
      <c r="B327" s="825"/>
      <c r="C327" s="106"/>
      <c r="D327" s="826"/>
      <c r="E327" s="826"/>
      <c r="F327" s="826"/>
      <c r="G327" s="826"/>
      <c r="H327" s="826"/>
      <c r="I327" s="826"/>
      <c r="J327" s="826"/>
      <c r="K327" s="826"/>
      <c r="L327" s="826"/>
      <c r="M327" s="106"/>
      <c r="N327" s="826"/>
      <c r="O327" s="827"/>
      <c r="P327" s="808"/>
      <c r="Q327" s="808"/>
      <c r="R327" s="808"/>
      <c r="S327" s="808"/>
      <c r="T327" s="808"/>
      <c r="U327" s="808"/>
      <c r="V327" s="808"/>
    </row>
    <row r="328">
      <c r="B328" s="825"/>
      <c r="C328" s="106"/>
      <c r="D328" s="826"/>
      <c r="E328" s="826"/>
      <c r="F328" s="826"/>
      <c r="G328" s="826"/>
      <c r="H328" s="826"/>
      <c r="I328" s="826"/>
      <c r="J328" s="826"/>
      <c r="K328" s="826"/>
      <c r="L328" s="826"/>
      <c r="M328" s="106"/>
      <c r="N328" s="826"/>
      <c r="O328" s="827"/>
      <c r="P328" s="808"/>
      <c r="Q328" s="808"/>
      <c r="R328" s="808"/>
      <c r="S328" s="808"/>
      <c r="T328" s="808"/>
      <c r="U328" s="808"/>
      <c r="V328" s="808"/>
    </row>
    <row r="329">
      <c r="B329" s="825"/>
      <c r="C329" s="106"/>
      <c r="D329" s="826"/>
      <c r="E329" s="826"/>
      <c r="F329" s="826"/>
      <c r="G329" s="826"/>
      <c r="H329" s="826"/>
      <c r="I329" s="826"/>
      <c r="J329" s="826"/>
      <c r="K329" s="826"/>
      <c r="L329" s="826"/>
      <c r="M329" s="106"/>
      <c r="N329" s="826"/>
      <c r="O329" s="827"/>
      <c r="P329" s="808"/>
      <c r="Q329" s="808"/>
      <c r="R329" s="808"/>
      <c r="S329" s="808"/>
      <c r="T329" s="808"/>
      <c r="U329" s="808"/>
      <c r="V329" s="808"/>
    </row>
    <row r="330">
      <c r="B330" s="825"/>
      <c r="C330" s="106"/>
      <c r="D330" s="826"/>
      <c r="E330" s="826"/>
      <c r="F330" s="826"/>
      <c r="G330" s="826"/>
      <c r="H330" s="826"/>
      <c r="I330" s="826"/>
      <c r="J330" s="826"/>
      <c r="K330" s="826"/>
      <c r="L330" s="826"/>
      <c r="M330" s="106"/>
      <c r="N330" s="826"/>
      <c r="O330" s="827"/>
      <c r="P330" s="808"/>
      <c r="Q330" s="808"/>
      <c r="R330" s="808"/>
      <c r="S330" s="808"/>
      <c r="T330" s="808"/>
      <c r="U330" s="808"/>
      <c r="V330" s="808"/>
    </row>
    <row r="331">
      <c r="B331" s="825"/>
      <c r="C331" s="106"/>
      <c r="D331" s="826"/>
      <c r="E331" s="826"/>
      <c r="F331" s="826"/>
      <c r="G331" s="826"/>
      <c r="H331" s="826"/>
      <c r="I331" s="826"/>
      <c r="J331" s="826"/>
      <c r="K331" s="826"/>
      <c r="L331" s="826"/>
      <c r="M331" s="106"/>
      <c r="N331" s="826"/>
      <c r="O331" s="827"/>
      <c r="P331" s="808"/>
      <c r="Q331" s="808"/>
      <c r="R331" s="808"/>
      <c r="S331" s="808"/>
      <c r="T331" s="808"/>
      <c r="U331" s="808"/>
      <c r="V331" s="808"/>
    </row>
    <row r="332">
      <c r="B332" s="825"/>
      <c r="C332" s="106"/>
      <c r="D332" s="826"/>
      <c r="E332" s="826"/>
      <c r="F332" s="826"/>
      <c r="G332" s="826"/>
      <c r="H332" s="826"/>
      <c r="I332" s="826"/>
      <c r="J332" s="826"/>
      <c r="K332" s="826"/>
      <c r="L332" s="826"/>
      <c r="M332" s="106"/>
      <c r="N332" s="826"/>
      <c r="O332" s="827"/>
      <c r="P332" s="808"/>
      <c r="Q332" s="808"/>
      <c r="R332" s="808"/>
      <c r="S332" s="808"/>
      <c r="T332" s="808"/>
      <c r="U332" s="808"/>
      <c r="V332" s="808"/>
    </row>
    <row r="333">
      <c r="B333" s="825"/>
      <c r="C333" s="106"/>
      <c r="D333" s="826"/>
      <c r="E333" s="826"/>
      <c r="F333" s="826"/>
      <c r="G333" s="826"/>
      <c r="H333" s="826"/>
      <c r="I333" s="826"/>
      <c r="J333" s="826"/>
      <c r="K333" s="826"/>
      <c r="L333" s="826"/>
      <c r="M333" s="106"/>
      <c r="N333" s="826"/>
      <c r="O333" s="827"/>
      <c r="P333" s="808"/>
      <c r="Q333" s="808"/>
      <c r="R333" s="808"/>
      <c r="S333" s="808"/>
      <c r="T333" s="808"/>
      <c r="U333" s="808"/>
      <c r="V333" s="808"/>
    </row>
    <row r="334">
      <c r="B334" s="825"/>
      <c r="C334" s="106"/>
      <c r="D334" s="826"/>
      <c r="E334" s="826"/>
      <c r="F334" s="826"/>
      <c r="G334" s="826"/>
      <c r="H334" s="826"/>
      <c r="I334" s="826"/>
      <c r="J334" s="826"/>
      <c r="K334" s="826"/>
      <c r="L334" s="826"/>
      <c r="M334" s="106"/>
      <c r="N334" s="826"/>
      <c r="O334" s="827"/>
      <c r="P334" s="808"/>
      <c r="Q334" s="808"/>
      <c r="R334" s="808"/>
      <c r="S334" s="808"/>
      <c r="T334" s="808"/>
      <c r="U334" s="808"/>
      <c r="V334" s="808"/>
    </row>
    <row r="335">
      <c r="B335" s="825"/>
      <c r="C335" s="106"/>
      <c r="D335" s="826"/>
      <c r="E335" s="826"/>
      <c r="F335" s="826"/>
      <c r="G335" s="826"/>
      <c r="H335" s="826"/>
      <c r="I335" s="826"/>
      <c r="J335" s="826"/>
      <c r="K335" s="826"/>
      <c r="L335" s="826"/>
      <c r="M335" s="106"/>
      <c r="N335" s="826"/>
      <c r="O335" s="827"/>
      <c r="P335" s="808"/>
      <c r="Q335" s="808"/>
      <c r="R335" s="808"/>
      <c r="S335" s="808"/>
      <c r="T335" s="808"/>
      <c r="U335" s="808"/>
      <c r="V335" s="808"/>
    </row>
    <row r="336">
      <c r="B336" s="825"/>
      <c r="C336" s="106"/>
      <c r="D336" s="826"/>
      <c r="E336" s="826"/>
      <c r="F336" s="826"/>
      <c r="G336" s="826"/>
      <c r="H336" s="826"/>
      <c r="I336" s="826"/>
      <c r="J336" s="826"/>
      <c r="K336" s="826"/>
      <c r="L336" s="826"/>
      <c r="M336" s="106"/>
      <c r="N336" s="826"/>
      <c r="O336" s="827"/>
      <c r="P336" s="808"/>
      <c r="Q336" s="808"/>
      <c r="R336" s="808"/>
      <c r="S336" s="808"/>
      <c r="T336" s="808"/>
      <c r="U336" s="808"/>
      <c r="V336" s="808"/>
    </row>
    <row r="337">
      <c r="B337" s="825"/>
      <c r="C337" s="106"/>
      <c r="D337" s="826"/>
      <c r="E337" s="826"/>
      <c r="F337" s="826"/>
      <c r="G337" s="826"/>
      <c r="H337" s="826"/>
      <c r="I337" s="826"/>
      <c r="J337" s="826"/>
      <c r="K337" s="826"/>
      <c r="L337" s="826"/>
      <c r="M337" s="106"/>
      <c r="N337" s="826"/>
      <c r="O337" s="827"/>
      <c r="P337" s="808"/>
      <c r="Q337" s="808"/>
      <c r="R337" s="808"/>
      <c r="S337" s="808"/>
      <c r="T337" s="808"/>
      <c r="U337" s="808"/>
      <c r="V337" s="808"/>
    </row>
    <row r="338">
      <c r="B338" s="825"/>
      <c r="C338" s="106"/>
      <c r="D338" s="826"/>
      <c r="E338" s="826"/>
      <c r="F338" s="826"/>
      <c r="G338" s="826"/>
      <c r="H338" s="826"/>
      <c r="I338" s="826"/>
      <c r="J338" s="826"/>
      <c r="K338" s="826"/>
      <c r="L338" s="826"/>
      <c r="M338" s="106"/>
      <c r="N338" s="826"/>
      <c r="O338" s="827"/>
      <c r="P338" s="808"/>
      <c r="Q338" s="808"/>
      <c r="R338" s="808"/>
      <c r="S338" s="808"/>
      <c r="T338" s="808"/>
      <c r="U338" s="808"/>
      <c r="V338" s="808"/>
    </row>
    <row r="339">
      <c r="B339" s="825"/>
      <c r="C339" s="106"/>
      <c r="D339" s="826"/>
      <c r="E339" s="826"/>
      <c r="F339" s="826"/>
      <c r="G339" s="826"/>
      <c r="H339" s="826"/>
      <c r="I339" s="826"/>
      <c r="J339" s="826"/>
      <c r="K339" s="826"/>
      <c r="L339" s="826"/>
      <c r="M339" s="106"/>
      <c r="N339" s="826"/>
      <c r="O339" s="827"/>
      <c r="P339" s="808"/>
      <c r="Q339" s="808"/>
      <c r="R339" s="808"/>
      <c r="S339" s="808"/>
      <c r="T339" s="808"/>
      <c r="U339" s="808"/>
      <c r="V339" s="808"/>
    </row>
    <row r="340">
      <c r="B340" s="825"/>
      <c r="C340" s="106"/>
      <c r="D340" s="826"/>
      <c r="E340" s="826"/>
      <c r="F340" s="826"/>
      <c r="G340" s="826"/>
      <c r="H340" s="826"/>
      <c r="I340" s="826"/>
      <c r="J340" s="826"/>
      <c r="K340" s="826"/>
      <c r="L340" s="826"/>
      <c r="M340" s="106"/>
      <c r="N340" s="826"/>
      <c r="O340" s="827"/>
      <c r="P340" s="808"/>
      <c r="Q340" s="808"/>
      <c r="R340" s="808"/>
      <c r="S340" s="808"/>
      <c r="T340" s="808"/>
      <c r="U340" s="808"/>
      <c r="V340" s="808"/>
    </row>
    <row r="341">
      <c r="B341" s="825"/>
      <c r="C341" s="106"/>
      <c r="D341" s="826"/>
      <c r="E341" s="826"/>
      <c r="F341" s="826"/>
      <c r="G341" s="826"/>
      <c r="H341" s="826"/>
      <c r="I341" s="826"/>
      <c r="J341" s="826"/>
      <c r="K341" s="826"/>
      <c r="L341" s="826"/>
      <c r="M341" s="106"/>
      <c r="N341" s="826"/>
      <c r="O341" s="827"/>
      <c r="P341" s="808"/>
      <c r="Q341" s="808"/>
      <c r="R341" s="808"/>
      <c r="S341" s="808"/>
      <c r="T341" s="808"/>
      <c r="U341" s="808"/>
      <c r="V341" s="808"/>
    </row>
    <row r="342">
      <c r="B342" s="825"/>
      <c r="C342" s="106"/>
      <c r="D342" s="826"/>
      <c r="E342" s="826"/>
      <c r="F342" s="826"/>
      <c r="G342" s="826"/>
      <c r="H342" s="826"/>
      <c r="I342" s="826"/>
      <c r="J342" s="826"/>
      <c r="K342" s="826"/>
      <c r="L342" s="826"/>
      <c r="M342" s="106"/>
      <c r="N342" s="826"/>
      <c r="O342" s="827"/>
      <c r="P342" s="808"/>
      <c r="Q342" s="808"/>
      <c r="R342" s="808"/>
      <c r="S342" s="808"/>
      <c r="T342" s="808"/>
      <c r="U342" s="808"/>
      <c r="V342" s="808"/>
    </row>
    <row r="343">
      <c r="B343" s="825"/>
      <c r="C343" s="106"/>
      <c r="D343" s="826"/>
      <c r="E343" s="826"/>
      <c r="F343" s="826"/>
      <c r="G343" s="826"/>
      <c r="H343" s="826"/>
      <c r="I343" s="826"/>
      <c r="J343" s="826"/>
      <c r="K343" s="826"/>
      <c r="L343" s="826"/>
      <c r="M343" s="106"/>
      <c r="N343" s="826"/>
      <c r="O343" s="827"/>
      <c r="P343" s="808"/>
      <c r="Q343" s="808"/>
      <c r="R343" s="808"/>
      <c r="S343" s="808"/>
      <c r="T343" s="808"/>
      <c r="U343" s="808"/>
      <c r="V343" s="808"/>
    </row>
    <row r="344">
      <c r="B344" s="825"/>
      <c r="C344" s="106"/>
      <c r="D344" s="826"/>
      <c r="E344" s="826"/>
      <c r="F344" s="826"/>
      <c r="G344" s="826"/>
      <c r="H344" s="826"/>
      <c r="I344" s="826"/>
      <c r="J344" s="826"/>
      <c r="K344" s="826"/>
      <c r="L344" s="826"/>
      <c r="M344" s="106"/>
      <c r="N344" s="826"/>
      <c r="O344" s="827"/>
      <c r="P344" s="808"/>
      <c r="Q344" s="808"/>
      <c r="R344" s="808"/>
      <c r="S344" s="808"/>
      <c r="T344" s="808"/>
      <c r="U344" s="808"/>
      <c r="V344" s="808"/>
    </row>
    <row r="345">
      <c r="B345" s="825"/>
      <c r="C345" s="106"/>
      <c r="D345" s="826"/>
      <c r="E345" s="826"/>
      <c r="F345" s="826"/>
      <c r="G345" s="826"/>
      <c r="H345" s="826"/>
      <c r="I345" s="826"/>
      <c r="J345" s="826"/>
      <c r="K345" s="826"/>
      <c r="L345" s="826"/>
      <c r="M345" s="106"/>
      <c r="N345" s="826"/>
      <c r="O345" s="827"/>
      <c r="P345" s="808"/>
      <c r="Q345" s="808"/>
      <c r="R345" s="808"/>
      <c r="S345" s="808"/>
      <c r="T345" s="808"/>
      <c r="U345" s="808"/>
      <c r="V345" s="808"/>
    </row>
    <row r="346">
      <c r="B346" s="825"/>
      <c r="C346" s="106"/>
      <c r="D346" s="826"/>
      <c r="E346" s="826"/>
      <c r="F346" s="826"/>
      <c r="G346" s="826"/>
      <c r="H346" s="826"/>
      <c r="I346" s="826"/>
      <c r="J346" s="826"/>
      <c r="K346" s="826"/>
      <c r="L346" s="826"/>
      <c r="M346" s="106"/>
      <c r="N346" s="826"/>
      <c r="O346" s="827"/>
      <c r="P346" s="808"/>
      <c r="Q346" s="808"/>
      <c r="R346" s="808"/>
      <c r="S346" s="808"/>
      <c r="T346" s="808"/>
      <c r="U346" s="808"/>
      <c r="V346" s="808"/>
    </row>
    <row r="347">
      <c r="B347" s="825"/>
      <c r="C347" s="106"/>
      <c r="D347" s="826"/>
      <c r="E347" s="826"/>
      <c r="F347" s="826"/>
      <c r="G347" s="826"/>
      <c r="H347" s="826"/>
      <c r="I347" s="826"/>
      <c r="J347" s="826"/>
      <c r="K347" s="826"/>
      <c r="L347" s="826"/>
      <c r="M347" s="106"/>
      <c r="N347" s="826"/>
      <c r="O347" s="827"/>
      <c r="P347" s="808"/>
      <c r="Q347" s="808"/>
      <c r="R347" s="808"/>
      <c r="S347" s="808"/>
      <c r="T347" s="808"/>
      <c r="U347" s="808"/>
      <c r="V347" s="808"/>
    </row>
    <row r="348">
      <c r="B348" s="825"/>
      <c r="C348" s="106"/>
      <c r="D348" s="826"/>
      <c r="E348" s="826"/>
      <c r="F348" s="826"/>
      <c r="G348" s="826"/>
      <c r="H348" s="826"/>
      <c r="I348" s="826"/>
      <c r="J348" s="826"/>
      <c r="K348" s="826"/>
      <c r="L348" s="826"/>
      <c r="M348" s="106"/>
      <c r="N348" s="826"/>
      <c r="O348" s="827"/>
      <c r="P348" s="808"/>
      <c r="Q348" s="808"/>
      <c r="R348" s="808"/>
      <c r="S348" s="808"/>
      <c r="T348" s="808"/>
      <c r="U348" s="808"/>
      <c r="V348" s="808"/>
    </row>
    <row r="349">
      <c r="B349" s="825"/>
      <c r="C349" s="106"/>
      <c r="D349" s="826"/>
      <c r="E349" s="826"/>
      <c r="F349" s="826"/>
      <c r="G349" s="826"/>
      <c r="H349" s="826"/>
      <c r="I349" s="826"/>
      <c r="J349" s="826"/>
      <c r="K349" s="826"/>
      <c r="L349" s="826"/>
      <c r="M349" s="106"/>
      <c r="N349" s="826"/>
      <c r="O349" s="827"/>
      <c r="P349" s="808"/>
      <c r="Q349" s="808"/>
      <c r="R349" s="808"/>
      <c r="S349" s="808"/>
      <c r="T349" s="808"/>
      <c r="U349" s="808"/>
      <c r="V349" s="808"/>
    </row>
    <row r="350">
      <c r="B350" s="825"/>
      <c r="C350" s="106"/>
      <c r="D350" s="826"/>
      <c r="E350" s="826"/>
      <c r="F350" s="826"/>
      <c r="G350" s="826"/>
      <c r="H350" s="826"/>
      <c r="I350" s="826"/>
      <c r="J350" s="826"/>
      <c r="K350" s="826"/>
      <c r="L350" s="826"/>
      <c r="M350" s="106"/>
      <c r="N350" s="826"/>
      <c r="O350" s="827"/>
      <c r="P350" s="808"/>
      <c r="Q350" s="808"/>
      <c r="R350" s="808"/>
      <c r="S350" s="808"/>
      <c r="T350" s="808"/>
      <c r="U350" s="808"/>
      <c r="V350" s="808"/>
    </row>
    <row r="351">
      <c r="B351" s="825"/>
      <c r="C351" s="106"/>
      <c r="D351" s="826"/>
      <c r="E351" s="826"/>
      <c r="F351" s="826"/>
      <c r="G351" s="826"/>
      <c r="H351" s="826"/>
      <c r="I351" s="826"/>
      <c r="J351" s="826"/>
      <c r="K351" s="826"/>
      <c r="L351" s="826"/>
      <c r="M351" s="106"/>
      <c r="N351" s="826"/>
      <c r="O351" s="827"/>
      <c r="P351" s="808"/>
      <c r="Q351" s="808"/>
      <c r="R351" s="808"/>
      <c r="S351" s="808"/>
      <c r="T351" s="808"/>
      <c r="U351" s="808"/>
      <c r="V351" s="808"/>
    </row>
    <row r="352">
      <c r="B352" s="825"/>
      <c r="C352" s="106"/>
      <c r="D352" s="826"/>
      <c r="E352" s="826"/>
      <c r="F352" s="826"/>
      <c r="G352" s="826"/>
      <c r="H352" s="826"/>
      <c r="I352" s="826"/>
      <c r="J352" s="826"/>
      <c r="K352" s="826"/>
      <c r="L352" s="826"/>
      <c r="M352" s="106"/>
      <c r="N352" s="826"/>
      <c r="O352" s="827"/>
      <c r="P352" s="808"/>
      <c r="Q352" s="808"/>
      <c r="R352" s="808"/>
      <c r="S352" s="808"/>
      <c r="T352" s="808"/>
      <c r="U352" s="808"/>
      <c r="V352" s="808"/>
    </row>
    <row r="353">
      <c r="B353" s="825"/>
      <c r="C353" s="106"/>
      <c r="D353" s="826"/>
      <c r="E353" s="826"/>
      <c r="F353" s="826"/>
      <c r="G353" s="826"/>
      <c r="H353" s="826"/>
      <c r="I353" s="826"/>
      <c r="J353" s="826"/>
      <c r="K353" s="826"/>
      <c r="L353" s="826"/>
      <c r="M353" s="106"/>
      <c r="N353" s="826"/>
      <c r="O353" s="827"/>
      <c r="P353" s="808"/>
      <c r="Q353" s="808"/>
      <c r="R353" s="808"/>
      <c r="S353" s="808"/>
      <c r="T353" s="808"/>
      <c r="U353" s="808"/>
      <c r="V353" s="808"/>
    </row>
    <row r="354">
      <c r="B354" s="825"/>
      <c r="C354" s="106"/>
      <c r="D354" s="826"/>
      <c r="E354" s="826"/>
      <c r="F354" s="826"/>
      <c r="G354" s="826"/>
      <c r="H354" s="826"/>
      <c r="I354" s="826"/>
      <c r="J354" s="826"/>
      <c r="K354" s="826"/>
      <c r="L354" s="826"/>
      <c r="M354" s="106"/>
      <c r="N354" s="826"/>
      <c r="O354" s="827"/>
      <c r="P354" s="808"/>
      <c r="Q354" s="808"/>
      <c r="R354" s="808"/>
      <c r="S354" s="808"/>
      <c r="T354" s="808"/>
      <c r="U354" s="808"/>
      <c r="V354" s="808"/>
    </row>
    <row r="355">
      <c r="B355" s="825"/>
      <c r="C355" s="106"/>
      <c r="D355" s="826"/>
      <c r="E355" s="826"/>
      <c r="F355" s="826"/>
      <c r="G355" s="826"/>
      <c r="H355" s="826"/>
      <c r="I355" s="826"/>
      <c r="J355" s="826"/>
      <c r="K355" s="826"/>
      <c r="L355" s="826"/>
      <c r="M355" s="106"/>
      <c r="N355" s="826"/>
      <c r="O355" s="827"/>
      <c r="P355" s="808"/>
      <c r="Q355" s="808"/>
      <c r="R355" s="808"/>
      <c r="S355" s="808"/>
      <c r="T355" s="808"/>
      <c r="U355" s="808"/>
      <c r="V355" s="808"/>
    </row>
    <row r="356">
      <c r="B356" s="825"/>
      <c r="C356" s="106"/>
      <c r="D356" s="826"/>
      <c r="E356" s="826"/>
      <c r="F356" s="826"/>
      <c r="G356" s="826"/>
      <c r="H356" s="826"/>
      <c r="I356" s="826"/>
      <c r="J356" s="826"/>
      <c r="K356" s="826"/>
      <c r="L356" s="826"/>
      <c r="M356" s="106"/>
      <c r="N356" s="826"/>
      <c r="O356" s="827"/>
      <c r="P356" s="808"/>
      <c r="Q356" s="808"/>
      <c r="R356" s="808"/>
      <c r="S356" s="808"/>
      <c r="T356" s="808"/>
      <c r="U356" s="808"/>
      <c r="V356" s="808"/>
    </row>
    <row r="357">
      <c r="B357" s="825"/>
      <c r="C357" s="106"/>
      <c r="D357" s="826"/>
      <c r="E357" s="826"/>
      <c r="F357" s="826"/>
      <c r="G357" s="826"/>
      <c r="H357" s="826"/>
      <c r="I357" s="826"/>
      <c r="J357" s="826"/>
      <c r="K357" s="826"/>
      <c r="L357" s="826"/>
      <c r="M357" s="106"/>
      <c r="N357" s="826"/>
      <c r="O357" s="827"/>
      <c r="P357" s="808"/>
      <c r="Q357" s="808"/>
      <c r="R357" s="808"/>
      <c r="S357" s="808"/>
      <c r="T357" s="808"/>
      <c r="U357" s="808"/>
      <c r="V357" s="808"/>
    </row>
    <row r="358">
      <c r="B358" s="825"/>
      <c r="C358" s="106"/>
      <c r="D358" s="826"/>
      <c r="E358" s="826"/>
      <c r="F358" s="826"/>
      <c r="G358" s="826"/>
      <c r="H358" s="826"/>
      <c r="I358" s="826"/>
      <c r="J358" s="826"/>
      <c r="K358" s="826"/>
      <c r="L358" s="826"/>
      <c r="M358" s="106"/>
      <c r="N358" s="826"/>
      <c r="O358" s="827"/>
      <c r="P358" s="808"/>
      <c r="Q358" s="808"/>
      <c r="R358" s="808"/>
      <c r="S358" s="808"/>
      <c r="T358" s="808"/>
      <c r="U358" s="808"/>
      <c r="V358" s="808"/>
    </row>
    <row r="359">
      <c r="B359" s="825"/>
      <c r="C359" s="106"/>
      <c r="D359" s="826"/>
      <c r="E359" s="826"/>
      <c r="F359" s="826"/>
      <c r="G359" s="826"/>
      <c r="H359" s="826"/>
      <c r="I359" s="826"/>
      <c r="J359" s="826"/>
      <c r="K359" s="826"/>
      <c r="L359" s="826"/>
      <c r="M359" s="106"/>
      <c r="N359" s="826"/>
      <c r="O359" s="827"/>
      <c r="P359" s="808"/>
      <c r="Q359" s="808"/>
      <c r="R359" s="808"/>
      <c r="S359" s="808"/>
      <c r="T359" s="808"/>
      <c r="U359" s="808"/>
      <c r="V359" s="808"/>
    </row>
    <row r="360">
      <c r="B360" s="825"/>
      <c r="C360" s="106"/>
      <c r="D360" s="826"/>
      <c r="E360" s="826"/>
      <c r="F360" s="826"/>
      <c r="G360" s="826"/>
      <c r="H360" s="826"/>
      <c r="I360" s="826"/>
      <c r="J360" s="826"/>
      <c r="K360" s="826"/>
      <c r="L360" s="826"/>
      <c r="M360" s="106"/>
      <c r="N360" s="826"/>
      <c r="O360" s="827"/>
      <c r="P360" s="808"/>
      <c r="Q360" s="808"/>
      <c r="R360" s="808"/>
      <c r="S360" s="808"/>
      <c r="T360" s="808"/>
      <c r="U360" s="808"/>
      <c r="V360" s="808"/>
    </row>
    <row r="361">
      <c r="B361" s="825"/>
      <c r="C361" s="106"/>
      <c r="D361" s="826"/>
      <c r="E361" s="826"/>
      <c r="F361" s="826"/>
      <c r="G361" s="826"/>
      <c r="H361" s="826"/>
      <c r="I361" s="826"/>
      <c r="J361" s="826"/>
      <c r="K361" s="826"/>
      <c r="L361" s="826"/>
      <c r="M361" s="106"/>
      <c r="N361" s="826"/>
      <c r="O361" s="827"/>
      <c r="P361" s="808"/>
      <c r="Q361" s="808"/>
      <c r="R361" s="808"/>
      <c r="S361" s="808"/>
      <c r="T361" s="808"/>
      <c r="U361" s="808"/>
      <c r="V361" s="808"/>
    </row>
    <row r="362">
      <c r="B362" s="825"/>
      <c r="C362" s="106"/>
      <c r="D362" s="826"/>
      <c r="E362" s="826"/>
      <c r="F362" s="826"/>
      <c r="G362" s="826"/>
      <c r="H362" s="826"/>
      <c r="I362" s="826"/>
      <c r="J362" s="826"/>
      <c r="K362" s="826"/>
      <c r="L362" s="826"/>
      <c r="M362" s="106"/>
      <c r="N362" s="826"/>
      <c r="O362" s="827"/>
      <c r="P362" s="808"/>
      <c r="Q362" s="808"/>
      <c r="R362" s="808"/>
      <c r="S362" s="808"/>
      <c r="T362" s="808"/>
      <c r="U362" s="808"/>
      <c r="V362" s="808"/>
    </row>
    <row r="363">
      <c r="B363" s="825"/>
      <c r="C363" s="106"/>
      <c r="D363" s="826"/>
      <c r="E363" s="826"/>
      <c r="F363" s="826"/>
      <c r="G363" s="826"/>
      <c r="H363" s="826"/>
      <c r="I363" s="826"/>
      <c r="J363" s="826"/>
      <c r="K363" s="826"/>
      <c r="L363" s="826"/>
      <c r="M363" s="106"/>
      <c r="N363" s="826"/>
      <c r="O363" s="827"/>
      <c r="P363" s="808"/>
      <c r="Q363" s="808"/>
      <c r="R363" s="808"/>
      <c r="S363" s="808"/>
      <c r="T363" s="808"/>
      <c r="U363" s="808"/>
      <c r="V363" s="808"/>
    </row>
    <row r="364">
      <c r="B364" s="825"/>
      <c r="C364" s="106"/>
      <c r="D364" s="826"/>
      <c r="E364" s="826"/>
      <c r="F364" s="826"/>
      <c r="G364" s="826"/>
      <c r="H364" s="826"/>
      <c r="I364" s="826"/>
      <c r="J364" s="826"/>
      <c r="K364" s="826"/>
      <c r="L364" s="826"/>
      <c r="M364" s="106"/>
      <c r="N364" s="826"/>
      <c r="O364" s="827"/>
      <c r="P364" s="808"/>
      <c r="Q364" s="808"/>
      <c r="R364" s="808"/>
      <c r="S364" s="808"/>
      <c r="T364" s="808"/>
      <c r="U364" s="808"/>
      <c r="V364" s="808"/>
    </row>
    <row r="365">
      <c r="B365" s="825"/>
      <c r="C365" s="106"/>
      <c r="D365" s="826"/>
      <c r="E365" s="826"/>
      <c r="F365" s="826"/>
      <c r="G365" s="826"/>
      <c r="H365" s="826"/>
      <c r="I365" s="826"/>
      <c r="J365" s="826"/>
      <c r="K365" s="826"/>
      <c r="L365" s="826"/>
      <c r="M365" s="106"/>
      <c r="N365" s="826"/>
      <c r="O365" s="827"/>
      <c r="P365" s="808"/>
      <c r="Q365" s="808"/>
      <c r="R365" s="808"/>
      <c r="S365" s="808"/>
      <c r="T365" s="808"/>
      <c r="U365" s="808"/>
      <c r="V365" s="808"/>
    </row>
    <row r="366">
      <c r="B366" s="825"/>
      <c r="C366" s="106"/>
      <c r="D366" s="826"/>
      <c r="E366" s="826"/>
      <c r="F366" s="826"/>
      <c r="G366" s="826"/>
      <c r="H366" s="826"/>
      <c r="I366" s="826"/>
      <c r="J366" s="826"/>
      <c r="K366" s="826"/>
      <c r="L366" s="826"/>
      <c r="M366" s="106"/>
      <c r="N366" s="826"/>
      <c r="O366" s="827"/>
      <c r="P366" s="808"/>
      <c r="Q366" s="808"/>
      <c r="R366" s="808"/>
      <c r="S366" s="808"/>
      <c r="T366" s="808"/>
      <c r="U366" s="808"/>
      <c r="V366" s="808"/>
    </row>
    <row r="367">
      <c r="B367" s="825"/>
      <c r="C367" s="106"/>
      <c r="D367" s="826"/>
      <c r="E367" s="826"/>
      <c r="F367" s="826"/>
      <c r="G367" s="826"/>
      <c r="H367" s="826"/>
      <c r="I367" s="826"/>
      <c r="J367" s="826"/>
      <c r="K367" s="826"/>
      <c r="L367" s="826"/>
      <c r="M367" s="106"/>
      <c r="N367" s="826"/>
      <c r="O367" s="827"/>
      <c r="P367" s="808"/>
      <c r="Q367" s="808"/>
      <c r="R367" s="808"/>
      <c r="S367" s="808"/>
      <c r="T367" s="808"/>
      <c r="U367" s="808"/>
      <c r="V367" s="808"/>
    </row>
    <row r="368">
      <c r="B368" s="825"/>
      <c r="C368" s="106"/>
      <c r="D368" s="826"/>
      <c r="E368" s="826"/>
      <c r="F368" s="826"/>
      <c r="G368" s="826"/>
      <c r="H368" s="826"/>
      <c r="I368" s="826"/>
      <c r="J368" s="826"/>
      <c r="K368" s="826"/>
      <c r="L368" s="826"/>
      <c r="M368" s="106"/>
      <c r="N368" s="826"/>
      <c r="O368" s="827"/>
      <c r="P368" s="808"/>
      <c r="Q368" s="808"/>
      <c r="R368" s="808"/>
      <c r="S368" s="808"/>
      <c r="T368" s="808"/>
      <c r="U368" s="808"/>
      <c r="V368" s="808"/>
    </row>
    <row r="369">
      <c r="B369" s="825"/>
      <c r="C369" s="106"/>
      <c r="D369" s="826"/>
      <c r="E369" s="826"/>
      <c r="F369" s="826"/>
      <c r="G369" s="826"/>
      <c r="H369" s="826"/>
      <c r="I369" s="826"/>
      <c r="J369" s="826"/>
      <c r="K369" s="826"/>
      <c r="L369" s="826"/>
      <c r="M369" s="106"/>
      <c r="N369" s="826"/>
      <c r="O369" s="827"/>
      <c r="P369" s="808"/>
      <c r="Q369" s="808"/>
      <c r="R369" s="808"/>
      <c r="S369" s="808"/>
      <c r="T369" s="808"/>
      <c r="U369" s="808"/>
      <c r="V369" s="808"/>
    </row>
    <row r="370">
      <c r="B370" s="825"/>
      <c r="C370" s="106"/>
      <c r="D370" s="826"/>
      <c r="E370" s="826"/>
      <c r="F370" s="826"/>
      <c r="G370" s="826"/>
      <c r="H370" s="826"/>
      <c r="I370" s="826"/>
      <c r="J370" s="826"/>
      <c r="K370" s="826"/>
      <c r="L370" s="826"/>
      <c r="M370" s="106"/>
      <c r="N370" s="826"/>
      <c r="O370" s="827"/>
      <c r="P370" s="808"/>
      <c r="Q370" s="808"/>
      <c r="R370" s="808"/>
      <c r="S370" s="808"/>
      <c r="T370" s="808"/>
      <c r="U370" s="808"/>
      <c r="V370" s="808"/>
    </row>
    <row r="371">
      <c r="B371" s="825"/>
      <c r="C371" s="106"/>
      <c r="D371" s="826"/>
      <c r="E371" s="826"/>
      <c r="F371" s="826"/>
      <c r="G371" s="826"/>
      <c r="H371" s="826"/>
      <c r="I371" s="826"/>
      <c r="J371" s="826"/>
      <c r="K371" s="826"/>
      <c r="L371" s="826"/>
      <c r="M371" s="106"/>
      <c r="N371" s="826"/>
      <c r="O371" s="827"/>
      <c r="P371" s="808"/>
      <c r="Q371" s="808"/>
      <c r="R371" s="808"/>
      <c r="S371" s="808"/>
      <c r="T371" s="808"/>
      <c r="U371" s="808"/>
      <c r="V371" s="808"/>
    </row>
    <row r="372">
      <c r="B372" s="825"/>
      <c r="C372" s="106"/>
      <c r="D372" s="826"/>
      <c r="E372" s="826"/>
      <c r="F372" s="826"/>
      <c r="G372" s="826"/>
      <c r="H372" s="826"/>
      <c r="I372" s="826"/>
      <c r="J372" s="826"/>
      <c r="K372" s="826"/>
      <c r="L372" s="826"/>
      <c r="M372" s="106"/>
      <c r="N372" s="826"/>
      <c r="O372" s="827"/>
      <c r="P372" s="808"/>
      <c r="Q372" s="808"/>
      <c r="R372" s="808"/>
      <c r="S372" s="808"/>
      <c r="T372" s="808"/>
      <c r="U372" s="808"/>
      <c r="V372" s="808"/>
    </row>
    <row r="373">
      <c r="B373" s="825"/>
      <c r="C373" s="106"/>
      <c r="D373" s="826"/>
      <c r="E373" s="826"/>
      <c r="F373" s="826"/>
      <c r="G373" s="826"/>
      <c r="H373" s="826"/>
      <c r="I373" s="826"/>
      <c r="J373" s="826"/>
      <c r="K373" s="826"/>
      <c r="L373" s="826"/>
      <c r="M373" s="106"/>
      <c r="N373" s="826"/>
      <c r="O373" s="827"/>
      <c r="P373" s="808"/>
      <c r="Q373" s="808"/>
      <c r="R373" s="808"/>
      <c r="S373" s="808"/>
      <c r="T373" s="808"/>
      <c r="U373" s="808"/>
      <c r="V373" s="808"/>
    </row>
    <row r="374">
      <c r="B374" s="825"/>
      <c r="C374" s="106"/>
      <c r="D374" s="826"/>
      <c r="E374" s="826"/>
      <c r="F374" s="826"/>
      <c r="G374" s="826"/>
      <c r="H374" s="826"/>
      <c r="I374" s="826"/>
      <c r="J374" s="826"/>
      <c r="K374" s="826"/>
      <c r="L374" s="826"/>
      <c r="M374" s="106"/>
      <c r="N374" s="826"/>
      <c r="O374" s="827"/>
      <c r="P374" s="808"/>
      <c r="Q374" s="808"/>
      <c r="R374" s="808"/>
      <c r="S374" s="808"/>
      <c r="T374" s="808"/>
      <c r="U374" s="808"/>
      <c r="V374" s="808"/>
    </row>
    <row r="375">
      <c r="B375" s="825"/>
      <c r="C375" s="106"/>
      <c r="D375" s="826"/>
      <c r="E375" s="826"/>
      <c r="F375" s="826"/>
      <c r="G375" s="826"/>
      <c r="H375" s="826"/>
      <c r="I375" s="826"/>
      <c r="J375" s="826"/>
      <c r="K375" s="826"/>
      <c r="L375" s="826"/>
      <c r="M375" s="106"/>
      <c r="N375" s="826"/>
      <c r="O375" s="827"/>
      <c r="P375" s="808"/>
      <c r="Q375" s="808"/>
      <c r="R375" s="808"/>
      <c r="S375" s="808"/>
      <c r="T375" s="808"/>
      <c r="U375" s="808"/>
      <c r="V375" s="808"/>
    </row>
    <row r="376">
      <c r="B376" s="825"/>
      <c r="C376" s="106"/>
      <c r="D376" s="826"/>
      <c r="E376" s="826"/>
      <c r="F376" s="826"/>
      <c r="G376" s="826"/>
      <c r="H376" s="826"/>
      <c r="I376" s="826"/>
      <c r="J376" s="826"/>
      <c r="K376" s="826"/>
      <c r="L376" s="826"/>
      <c r="M376" s="106"/>
      <c r="N376" s="826"/>
      <c r="O376" s="827"/>
      <c r="P376" s="808"/>
      <c r="Q376" s="808"/>
      <c r="R376" s="808"/>
      <c r="S376" s="808"/>
      <c r="T376" s="808"/>
      <c r="U376" s="808"/>
      <c r="V376" s="808"/>
    </row>
    <row r="377">
      <c r="B377" s="825"/>
      <c r="C377" s="106"/>
      <c r="D377" s="826"/>
      <c r="E377" s="826"/>
      <c r="F377" s="826"/>
      <c r="G377" s="826"/>
      <c r="H377" s="826"/>
      <c r="I377" s="826"/>
      <c r="J377" s="826"/>
      <c r="K377" s="826"/>
      <c r="L377" s="826"/>
      <c r="M377" s="106"/>
      <c r="N377" s="826"/>
      <c r="O377" s="827"/>
      <c r="P377" s="808"/>
      <c r="Q377" s="808"/>
      <c r="R377" s="808"/>
      <c r="S377" s="808"/>
      <c r="T377" s="808"/>
      <c r="U377" s="808"/>
      <c r="V377" s="808"/>
    </row>
    <row r="378">
      <c r="B378" s="825"/>
      <c r="C378" s="106"/>
      <c r="D378" s="826"/>
      <c r="E378" s="826"/>
      <c r="F378" s="826"/>
      <c r="G378" s="826"/>
      <c r="H378" s="826"/>
      <c r="I378" s="826"/>
      <c r="J378" s="826"/>
      <c r="K378" s="826"/>
      <c r="L378" s="826"/>
      <c r="M378" s="106"/>
      <c r="N378" s="826"/>
      <c r="O378" s="827"/>
      <c r="P378" s="808"/>
      <c r="Q378" s="808"/>
      <c r="R378" s="808"/>
      <c r="S378" s="808"/>
      <c r="T378" s="808"/>
      <c r="U378" s="808"/>
      <c r="V378" s="808"/>
    </row>
    <row r="379">
      <c r="B379" s="825"/>
      <c r="C379" s="106"/>
      <c r="D379" s="826"/>
      <c r="E379" s="826"/>
      <c r="F379" s="826"/>
      <c r="G379" s="826"/>
      <c r="H379" s="826"/>
      <c r="I379" s="826"/>
      <c r="J379" s="826"/>
      <c r="K379" s="826"/>
      <c r="L379" s="826"/>
      <c r="M379" s="106"/>
      <c r="N379" s="826"/>
      <c r="O379" s="827"/>
      <c r="P379" s="808"/>
      <c r="Q379" s="808"/>
      <c r="R379" s="808"/>
      <c r="S379" s="808"/>
      <c r="T379" s="808"/>
      <c r="U379" s="808"/>
      <c r="V379" s="808"/>
    </row>
    <row r="380">
      <c r="B380" s="825"/>
      <c r="C380" s="106"/>
      <c r="D380" s="826"/>
      <c r="E380" s="826"/>
      <c r="F380" s="826"/>
      <c r="G380" s="826"/>
      <c r="H380" s="826"/>
      <c r="I380" s="826"/>
      <c r="J380" s="826"/>
      <c r="K380" s="826"/>
      <c r="L380" s="826"/>
      <c r="M380" s="106"/>
      <c r="N380" s="826"/>
      <c r="O380" s="827"/>
      <c r="P380" s="808"/>
      <c r="Q380" s="808"/>
      <c r="R380" s="808"/>
      <c r="S380" s="808"/>
      <c r="T380" s="808"/>
      <c r="U380" s="808"/>
      <c r="V380" s="808"/>
    </row>
    <row r="381">
      <c r="B381" s="825"/>
      <c r="C381" s="106"/>
      <c r="D381" s="826"/>
      <c r="E381" s="826"/>
      <c r="F381" s="826"/>
      <c r="G381" s="826"/>
      <c r="H381" s="826"/>
      <c r="I381" s="826"/>
      <c r="J381" s="826"/>
      <c r="K381" s="826"/>
      <c r="L381" s="826"/>
      <c r="M381" s="106"/>
      <c r="N381" s="826"/>
      <c r="O381" s="827"/>
      <c r="P381" s="808"/>
      <c r="Q381" s="808"/>
      <c r="R381" s="808"/>
      <c r="S381" s="808"/>
      <c r="T381" s="808"/>
      <c r="U381" s="808"/>
      <c r="V381" s="808"/>
    </row>
    <row r="382">
      <c r="B382" s="825"/>
      <c r="C382" s="106"/>
      <c r="D382" s="826"/>
      <c r="E382" s="826"/>
      <c r="F382" s="826"/>
      <c r="G382" s="826"/>
      <c r="H382" s="826"/>
      <c r="I382" s="826"/>
      <c r="J382" s="826"/>
      <c r="K382" s="826"/>
      <c r="L382" s="826"/>
      <c r="M382" s="106"/>
      <c r="N382" s="826"/>
      <c r="O382" s="827"/>
      <c r="P382" s="808"/>
      <c r="Q382" s="808"/>
      <c r="R382" s="808"/>
      <c r="S382" s="808"/>
      <c r="T382" s="808"/>
      <c r="U382" s="808"/>
      <c r="V382" s="808"/>
    </row>
    <row r="383">
      <c r="B383" s="825"/>
      <c r="C383" s="106"/>
      <c r="D383" s="826"/>
      <c r="E383" s="826"/>
      <c r="F383" s="826"/>
      <c r="G383" s="826"/>
      <c r="H383" s="826"/>
      <c r="I383" s="826"/>
      <c r="J383" s="826"/>
      <c r="K383" s="826"/>
      <c r="L383" s="826"/>
      <c r="M383" s="106"/>
      <c r="N383" s="826"/>
      <c r="O383" s="827"/>
      <c r="P383" s="808"/>
      <c r="Q383" s="808"/>
      <c r="R383" s="808"/>
      <c r="S383" s="808"/>
      <c r="T383" s="808"/>
      <c r="U383" s="808"/>
      <c r="V383" s="808"/>
    </row>
    <row r="384">
      <c r="B384" s="825"/>
      <c r="C384" s="106"/>
      <c r="D384" s="826"/>
      <c r="E384" s="826"/>
      <c r="F384" s="826"/>
      <c r="G384" s="826"/>
      <c r="H384" s="826"/>
      <c r="I384" s="826"/>
      <c r="J384" s="826"/>
      <c r="K384" s="826"/>
      <c r="L384" s="826"/>
      <c r="M384" s="106"/>
      <c r="N384" s="826"/>
      <c r="O384" s="827"/>
      <c r="P384" s="808"/>
      <c r="Q384" s="808"/>
      <c r="R384" s="808"/>
      <c r="S384" s="808"/>
      <c r="T384" s="808"/>
      <c r="U384" s="808"/>
      <c r="V384" s="808"/>
    </row>
    <row r="385">
      <c r="B385" s="825"/>
      <c r="C385" s="106"/>
      <c r="D385" s="826"/>
      <c r="E385" s="826"/>
      <c r="F385" s="826"/>
      <c r="G385" s="826"/>
      <c r="H385" s="826"/>
      <c r="I385" s="826"/>
      <c r="J385" s="826"/>
      <c r="K385" s="826"/>
      <c r="L385" s="826"/>
      <c r="M385" s="106"/>
      <c r="N385" s="826"/>
      <c r="O385" s="827"/>
      <c r="P385" s="808"/>
      <c r="Q385" s="808"/>
      <c r="R385" s="808"/>
      <c r="S385" s="808"/>
      <c r="T385" s="808"/>
      <c r="U385" s="808"/>
      <c r="V385" s="808"/>
    </row>
    <row r="386">
      <c r="B386" s="825"/>
      <c r="C386" s="106"/>
      <c r="D386" s="826"/>
      <c r="E386" s="826"/>
      <c r="F386" s="826"/>
      <c r="G386" s="826"/>
      <c r="H386" s="826"/>
      <c r="I386" s="826"/>
      <c r="J386" s="826"/>
      <c r="K386" s="826"/>
      <c r="L386" s="826"/>
      <c r="M386" s="106"/>
      <c r="N386" s="826"/>
      <c r="O386" s="827"/>
      <c r="P386" s="808"/>
      <c r="Q386" s="808"/>
      <c r="R386" s="808"/>
      <c r="S386" s="808"/>
      <c r="T386" s="808"/>
      <c r="U386" s="808"/>
      <c r="V386" s="808"/>
    </row>
    <row r="387">
      <c r="B387" s="825"/>
      <c r="C387" s="106"/>
      <c r="D387" s="826"/>
      <c r="E387" s="826"/>
      <c r="F387" s="826"/>
      <c r="G387" s="826"/>
      <c r="H387" s="826"/>
      <c r="I387" s="826"/>
      <c r="J387" s="826"/>
      <c r="K387" s="826"/>
      <c r="L387" s="826"/>
      <c r="M387" s="106"/>
      <c r="N387" s="826"/>
      <c r="O387" s="827"/>
      <c r="P387" s="808"/>
      <c r="Q387" s="808"/>
      <c r="R387" s="808"/>
      <c r="S387" s="808"/>
      <c r="T387" s="808"/>
      <c r="U387" s="808"/>
      <c r="V387" s="808"/>
    </row>
    <row r="388">
      <c r="B388" s="825"/>
      <c r="C388" s="106"/>
      <c r="D388" s="826"/>
      <c r="E388" s="826"/>
      <c r="F388" s="826"/>
      <c r="G388" s="826"/>
      <c r="H388" s="826"/>
      <c r="I388" s="826"/>
      <c r="J388" s="826"/>
      <c r="K388" s="826"/>
      <c r="L388" s="826"/>
      <c r="M388" s="106"/>
      <c r="N388" s="826"/>
      <c r="O388" s="827"/>
      <c r="P388" s="808"/>
      <c r="Q388" s="808"/>
      <c r="R388" s="808"/>
      <c r="S388" s="808"/>
      <c r="T388" s="808"/>
      <c r="U388" s="808"/>
      <c r="V388" s="808"/>
    </row>
    <row r="389">
      <c r="B389" s="825"/>
      <c r="C389" s="106"/>
      <c r="D389" s="826"/>
      <c r="E389" s="826"/>
      <c r="F389" s="826"/>
      <c r="G389" s="826"/>
      <c r="H389" s="826"/>
      <c r="I389" s="826"/>
      <c r="J389" s="826"/>
      <c r="K389" s="826"/>
      <c r="L389" s="826"/>
      <c r="M389" s="106"/>
      <c r="N389" s="826"/>
      <c r="O389" s="827"/>
      <c r="P389" s="808"/>
      <c r="Q389" s="808"/>
      <c r="R389" s="808"/>
      <c r="S389" s="808"/>
      <c r="T389" s="808"/>
      <c r="U389" s="808"/>
      <c r="V389" s="808"/>
    </row>
    <row r="390">
      <c r="B390" s="825"/>
      <c r="C390" s="106"/>
      <c r="D390" s="826"/>
      <c r="E390" s="826"/>
      <c r="F390" s="826"/>
      <c r="G390" s="826"/>
      <c r="H390" s="826"/>
      <c r="I390" s="826"/>
      <c r="J390" s="826"/>
      <c r="K390" s="826"/>
      <c r="L390" s="826"/>
      <c r="M390" s="106"/>
      <c r="N390" s="826"/>
      <c r="O390" s="827"/>
      <c r="P390" s="808"/>
      <c r="Q390" s="808"/>
      <c r="R390" s="808"/>
      <c r="S390" s="808"/>
      <c r="T390" s="808"/>
      <c r="U390" s="808"/>
      <c r="V390" s="808"/>
    </row>
    <row r="391">
      <c r="B391" s="825"/>
      <c r="C391" s="106"/>
      <c r="D391" s="826"/>
      <c r="E391" s="826"/>
      <c r="F391" s="826"/>
      <c r="G391" s="826"/>
      <c r="H391" s="826"/>
      <c r="I391" s="826"/>
      <c r="J391" s="826"/>
      <c r="K391" s="826"/>
      <c r="L391" s="826"/>
      <c r="M391" s="106"/>
      <c r="N391" s="826"/>
      <c r="O391" s="827"/>
      <c r="P391" s="808"/>
      <c r="Q391" s="808"/>
      <c r="R391" s="808"/>
      <c r="S391" s="808"/>
      <c r="T391" s="808"/>
      <c r="U391" s="808"/>
      <c r="V391" s="808"/>
    </row>
    <row r="392">
      <c r="B392" s="825"/>
      <c r="C392" s="106"/>
      <c r="D392" s="826"/>
      <c r="E392" s="826"/>
      <c r="F392" s="826"/>
      <c r="G392" s="826"/>
      <c r="H392" s="826"/>
      <c r="I392" s="826"/>
      <c r="J392" s="826"/>
      <c r="K392" s="826"/>
      <c r="L392" s="826"/>
      <c r="M392" s="106"/>
      <c r="N392" s="826"/>
      <c r="O392" s="827"/>
      <c r="P392" s="808"/>
      <c r="Q392" s="808"/>
      <c r="R392" s="808"/>
      <c r="S392" s="808"/>
      <c r="T392" s="808"/>
      <c r="U392" s="808"/>
      <c r="V392" s="808"/>
    </row>
    <row r="393">
      <c r="B393" s="825"/>
      <c r="C393" s="106"/>
      <c r="D393" s="826"/>
      <c r="E393" s="826"/>
      <c r="F393" s="826"/>
      <c r="G393" s="826"/>
      <c r="H393" s="826"/>
      <c r="I393" s="826"/>
      <c r="J393" s="826"/>
      <c r="K393" s="826"/>
      <c r="L393" s="826"/>
      <c r="M393" s="106"/>
      <c r="N393" s="826"/>
      <c r="O393" s="827"/>
      <c r="P393" s="808"/>
      <c r="Q393" s="808"/>
      <c r="R393" s="808"/>
      <c r="S393" s="808"/>
      <c r="T393" s="808"/>
      <c r="U393" s="808"/>
      <c r="V393" s="808"/>
    </row>
    <row r="394">
      <c r="B394" s="825"/>
      <c r="C394" s="106"/>
      <c r="D394" s="826"/>
      <c r="E394" s="826"/>
      <c r="F394" s="826"/>
      <c r="G394" s="826"/>
      <c r="H394" s="826"/>
      <c r="I394" s="826"/>
      <c r="J394" s="826"/>
      <c r="K394" s="826"/>
      <c r="L394" s="826"/>
      <c r="M394" s="106"/>
      <c r="N394" s="826"/>
      <c r="O394" s="827"/>
      <c r="P394" s="808"/>
      <c r="Q394" s="808"/>
      <c r="R394" s="808"/>
      <c r="S394" s="808"/>
      <c r="T394" s="808"/>
      <c r="U394" s="808"/>
      <c r="V394" s="808"/>
    </row>
    <row r="395">
      <c r="B395" s="825"/>
      <c r="C395" s="106"/>
      <c r="D395" s="826"/>
      <c r="E395" s="826"/>
      <c r="F395" s="826"/>
      <c r="G395" s="826"/>
      <c r="H395" s="826"/>
      <c r="I395" s="826"/>
      <c r="J395" s="826"/>
      <c r="K395" s="826"/>
      <c r="L395" s="826"/>
      <c r="M395" s="106"/>
      <c r="N395" s="826"/>
      <c r="O395" s="827"/>
      <c r="P395" s="808"/>
      <c r="Q395" s="808"/>
      <c r="R395" s="808"/>
      <c r="S395" s="808"/>
      <c r="T395" s="808"/>
      <c r="U395" s="808"/>
      <c r="V395" s="808"/>
    </row>
    <row r="396">
      <c r="B396" s="825"/>
      <c r="C396" s="106"/>
      <c r="D396" s="826"/>
      <c r="E396" s="826"/>
      <c r="F396" s="826"/>
      <c r="G396" s="826"/>
      <c r="H396" s="826"/>
      <c r="I396" s="826"/>
      <c r="J396" s="826"/>
      <c r="K396" s="826"/>
      <c r="L396" s="826"/>
      <c r="M396" s="106"/>
      <c r="N396" s="826"/>
      <c r="O396" s="827"/>
      <c r="P396" s="808"/>
      <c r="Q396" s="808"/>
      <c r="R396" s="808"/>
      <c r="S396" s="808"/>
      <c r="T396" s="808"/>
      <c r="U396" s="808"/>
      <c r="V396" s="808"/>
    </row>
    <row r="397">
      <c r="B397" s="825"/>
      <c r="C397" s="106"/>
      <c r="D397" s="826"/>
      <c r="E397" s="826"/>
      <c r="F397" s="826"/>
      <c r="G397" s="826"/>
      <c r="H397" s="826"/>
      <c r="I397" s="826"/>
      <c r="J397" s="826"/>
      <c r="K397" s="826"/>
      <c r="L397" s="826"/>
      <c r="M397" s="106"/>
      <c r="N397" s="826"/>
      <c r="O397" s="827"/>
      <c r="P397" s="808"/>
      <c r="Q397" s="808"/>
      <c r="R397" s="808"/>
      <c r="S397" s="808"/>
      <c r="T397" s="808"/>
      <c r="U397" s="808"/>
      <c r="V397" s="808"/>
    </row>
    <row r="398">
      <c r="B398" s="825"/>
      <c r="C398" s="106"/>
      <c r="D398" s="826"/>
      <c r="E398" s="826"/>
      <c r="F398" s="826"/>
      <c r="G398" s="826"/>
      <c r="H398" s="826"/>
      <c r="I398" s="826"/>
      <c r="J398" s="826"/>
      <c r="K398" s="826"/>
      <c r="L398" s="826"/>
      <c r="M398" s="106"/>
      <c r="N398" s="826"/>
      <c r="O398" s="827"/>
      <c r="P398" s="808"/>
      <c r="Q398" s="808"/>
      <c r="R398" s="808"/>
      <c r="S398" s="808"/>
      <c r="T398" s="808"/>
      <c r="U398" s="808"/>
      <c r="V398" s="808"/>
    </row>
    <row r="399">
      <c r="B399" s="825"/>
      <c r="C399" s="106"/>
      <c r="D399" s="826"/>
      <c r="E399" s="826"/>
      <c r="F399" s="826"/>
      <c r="G399" s="826"/>
      <c r="H399" s="826"/>
      <c r="I399" s="826"/>
      <c r="J399" s="826"/>
      <c r="K399" s="826"/>
      <c r="L399" s="826"/>
      <c r="M399" s="106"/>
      <c r="N399" s="826"/>
      <c r="O399" s="827"/>
      <c r="P399" s="808"/>
      <c r="Q399" s="808"/>
      <c r="R399" s="808"/>
      <c r="S399" s="808"/>
      <c r="T399" s="808"/>
      <c r="U399" s="808"/>
      <c r="V399" s="808"/>
    </row>
    <row r="400">
      <c r="B400" s="825"/>
      <c r="C400" s="106"/>
      <c r="D400" s="826"/>
      <c r="E400" s="826"/>
      <c r="F400" s="826"/>
      <c r="G400" s="826"/>
      <c r="H400" s="826"/>
      <c r="I400" s="826"/>
      <c r="J400" s="826"/>
      <c r="K400" s="826"/>
      <c r="L400" s="826"/>
      <c r="M400" s="106"/>
      <c r="N400" s="826"/>
      <c r="O400" s="827"/>
      <c r="P400" s="808"/>
      <c r="Q400" s="808"/>
      <c r="R400" s="808"/>
      <c r="S400" s="808"/>
      <c r="T400" s="808"/>
      <c r="U400" s="808"/>
      <c r="V400" s="808"/>
    </row>
    <row r="401">
      <c r="B401" s="825"/>
      <c r="C401" s="106"/>
      <c r="D401" s="826"/>
      <c r="E401" s="826"/>
      <c r="F401" s="826"/>
      <c r="G401" s="826"/>
      <c r="H401" s="826"/>
      <c r="I401" s="826"/>
      <c r="J401" s="826"/>
      <c r="K401" s="826"/>
      <c r="L401" s="826"/>
      <c r="M401" s="106"/>
      <c r="N401" s="826"/>
      <c r="O401" s="827"/>
      <c r="P401" s="808"/>
      <c r="Q401" s="808"/>
      <c r="R401" s="808"/>
      <c r="S401" s="808"/>
      <c r="T401" s="808"/>
      <c r="U401" s="808"/>
      <c r="V401" s="808"/>
    </row>
    <row r="402">
      <c r="B402" s="825"/>
      <c r="C402" s="106"/>
      <c r="D402" s="826"/>
      <c r="E402" s="826"/>
      <c r="F402" s="826"/>
      <c r="G402" s="826"/>
      <c r="H402" s="826"/>
      <c r="I402" s="826"/>
      <c r="J402" s="826"/>
      <c r="K402" s="826"/>
      <c r="L402" s="826"/>
      <c r="M402" s="106"/>
      <c r="N402" s="826"/>
      <c r="O402" s="827"/>
      <c r="P402" s="808"/>
      <c r="Q402" s="808"/>
      <c r="R402" s="808"/>
      <c r="S402" s="808"/>
      <c r="T402" s="808"/>
      <c r="U402" s="808"/>
      <c r="V402" s="808"/>
    </row>
    <row r="403">
      <c r="B403" s="825"/>
      <c r="C403" s="106"/>
      <c r="D403" s="826"/>
      <c r="E403" s="826"/>
      <c r="F403" s="826"/>
      <c r="G403" s="826"/>
      <c r="H403" s="826"/>
      <c r="I403" s="826"/>
      <c r="J403" s="826"/>
      <c r="K403" s="826"/>
      <c r="L403" s="826"/>
      <c r="M403" s="106"/>
      <c r="N403" s="826"/>
      <c r="O403" s="827"/>
      <c r="P403" s="808"/>
      <c r="Q403" s="808"/>
      <c r="R403" s="808"/>
      <c r="S403" s="808"/>
      <c r="T403" s="808"/>
      <c r="U403" s="808"/>
      <c r="V403" s="808"/>
    </row>
    <row r="404">
      <c r="B404" s="825"/>
      <c r="C404" s="106"/>
      <c r="D404" s="826"/>
      <c r="E404" s="826"/>
      <c r="F404" s="826"/>
      <c r="G404" s="826"/>
      <c r="H404" s="826"/>
      <c r="I404" s="826"/>
      <c r="J404" s="826"/>
      <c r="K404" s="826"/>
      <c r="L404" s="826"/>
      <c r="M404" s="106"/>
      <c r="N404" s="826"/>
      <c r="O404" s="827"/>
      <c r="P404" s="808"/>
      <c r="Q404" s="808"/>
      <c r="R404" s="808"/>
      <c r="S404" s="808"/>
      <c r="T404" s="808"/>
      <c r="U404" s="808"/>
      <c r="V404" s="808"/>
    </row>
    <row r="405">
      <c r="B405" s="825"/>
      <c r="C405" s="106"/>
      <c r="D405" s="826"/>
      <c r="E405" s="826"/>
      <c r="F405" s="826"/>
      <c r="G405" s="826"/>
      <c r="H405" s="826"/>
      <c r="I405" s="826"/>
      <c r="J405" s="826"/>
      <c r="K405" s="826"/>
      <c r="L405" s="826"/>
      <c r="M405" s="106"/>
      <c r="N405" s="826"/>
      <c r="O405" s="827"/>
      <c r="P405" s="808"/>
      <c r="Q405" s="808"/>
      <c r="R405" s="808"/>
      <c r="S405" s="808"/>
      <c r="T405" s="808"/>
      <c r="U405" s="808"/>
      <c r="V405" s="808"/>
    </row>
    <row r="406">
      <c r="B406" s="825"/>
      <c r="C406" s="106"/>
      <c r="D406" s="826"/>
      <c r="E406" s="826"/>
      <c r="F406" s="826"/>
      <c r="G406" s="826"/>
      <c r="H406" s="826"/>
      <c r="I406" s="826"/>
      <c r="J406" s="826"/>
      <c r="K406" s="826"/>
      <c r="L406" s="826"/>
      <c r="M406" s="106"/>
      <c r="N406" s="826"/>
      <c r="O406" s="827"/>
      <c r="P406" s="808"/>
      <c r="Q406" s="808"/>
      <c r="R406" s="808"/>
      <c r="S406" s="808"/>
      <c r="T406" s="808"/>
      <c r="U406" s="808"/>
      <c r="V406" s="808"/>
    </row>
    <row r="407">
      <c r="B407" s="825"/>
      <c r="C407" s="106"/>
      <c r="D407" s="826"/>
      <c r="E407" s="826"/>
      <c r="F407" s="826"/>
      <c r="G407" s="826"/>
      <c r="H407" s="826"/>
      <c r="I407" s="826"/>
      <c r="J407" s="826"/>
      <c r="K407" s="826"/>
      <c r="L407" s="826"/>
      <c r="M407" s="106"/>
      <c r="N407" s="826"/>
      <c r="O407" s="827"/>
      <c r="P407" s="808"/>
      <c r="Q407" s="808"/>
      <c r="R407" s="808"/>
      <c r="S407" s="808"/>
      <c r="T407" s="808"/>
      <c r="U407" s="808"/>
      <c r="V407" s="808"/>
    </row>
    <row r="408">
      <c r="B408" s="825"/>
      <c r="C408" s="106"/>
      <c r="D408" s="826"/>
      <c r="E408" s="826"/>
      <c r="F408" s="826"/>
      <c r="G408" s="826"/>
      <c r="H408" s="826"/>
      <c r="I408" s="826"/>
      <c r="J408" s="826"/>
      <c r="K408" s="826"/>
      <c r="L408" s="826"/>
      <c r="M408" s="106"/>
      <c r="N408" s="826"/>
      <c r="O408" s="827"/>
      <c r="P408" s="808"/>
      <c r="Q408" s="808"/>
      <c r="R408" s="808"/>
      <c r="S408" s="808"/>
      <c r="T408" s="808"/>
      <c r="U408" s="808"/>
      <c r="V408" s="808"/>
    </row>
    <row r="409">
      <c r="B409" s="825"/>
      <c r="C409" s="106"/>
      <c r="D409" s="826"/>
      <c r="E409" s="826"/>
      <c r="F409" s="826"/>
      <c r="G409" s="826"/>
      <c r="H409" s="826"/>
      <c r="I409" s="826"/>
      <c r="J409" s="826"/>
      <c r="K409" s="826"/>
      <c r="L409" s="826"/>
      <c r="M409" s="106"/>
      <c r="N409" s="826"/>
      <c r="O409" s="827"/>
      <c r="P409" s="808"/>
      <c r="Q409" s="808"/>
      <c r="R409" s="808"/>
      <c r="S409" s="808"/>
      <c r="T409" s="808"/>
      <c r="U409" s="808"/>
      <c r="V409" s="808"/>
    </row>
    <row r="410">
      <c r="B410" s="825"/>
      <c r="C410" s="106"/>
      <c r="D410" s="826"/>
      <c r="E410" s="826"/>
      <c r="F410" s="826"/>
      <c r="G410" s="826"/>
      <c r="H410" s="826"/>
      <c r="I410" s="826"/>
      <c r="J410" s="826"/>
      <c r="K410" s="826"/>
      <c r="L410" s="826"/>
      <c r="M410" s="106"/>
      <c r="N410" s="826"/>
      <c r="O410" s="827"/>
      <c r="P410" s="808"/>
      <c r="Q410" s="808"/>
      <c r="R410" s="808"/>
      <c r="S410" s="808"/>
      <c r="T410" s="808"/>
      <c r="U410" s="808"/>
      <c r="V410" s="808"/>
    </row>
    <row r="411">
      <c r="B411" s="825"/>
      <c r="C411" s="106"/>
      <c r="D411" s="826"/>
      <c r="E411" s="826"/>
      <c r="F411" s="826"/>
      <c r="G411" s="826"/>
      <c r="H411" s="826"/>
      <c r="I411" s="826"/>
      <c r="J411" s="826"/>
      <c r="K411" s="826"/>
      <c r="L411" s="826"/>
      <c r="M411" s="106"/>
      <c r="N411" s="826"/>
      <c r="O411" s="827"/>
      <c r="P411" s="808"/>
      <c r="Q411" s="808"/>
      <c r="R411" s="808"/>
      <c r="S411" s="808"/>
      <c r="T411" s="808"/>
      <c r="U411" s="808"/>
      <c r="V411" s="808"/>
    </row>
    <row r="412">
      <c r="B412" s="825"/>
      <c r="C412" s="106"/>
      <c r="D412" s="826"/>
      <c r="E412" s="826"/>
      <c r="F412" s="826"/>
      <c r="G412" s="826"/>
      <c r="H412" s="826"/>
      <c r="I412" s="826"/>
      <c r="J412" s="826"/>
      <c r="K412" s="826"/>
      <c r="L412" s="826"/>
      <c r="M412" s="106"/>
      <c r="N412" s="826"/>
      <c r="O412" s="827"/>
      <c r="P412" s="808"/>
      <c r="Q412" s="808"/>
      <c r="R412" s="808"/>
      <c r="S412" s="808"/>
      <c r="T412" s="808"/>
      <c r="U412" s="808"/>
      <c r="V412" s="808"/>
    </row>
    <row r="413">
      <c r="B413" s="825"/>
      <c r="C413" s="106"/>
      <c r="D413" s="826"/>
      <c r="E413" s="826"/>
      <c r="F413" s="826"/>
      <c r="G413" s="826"/>
      <c r="H413" s="826"/>
      <c r="I413" s="826"/>
      <c r="J413" s="826"/>
      <c r="K413" s="826"/>
      <c r="L413" s="826"/>
      <c r="M413" s="106"/>
      <c r="N413" s="826"/>
      <c r="O413" s="827"/>
      <c r="P413" s="808"/>
      <c r="Q413" s="808"/>
      <c r="R413" s="808"/>
      <c r="S413" s="808"/>
      <c r="T413" s="808"/>
      <c r="U413" s="808"/>
      <c r="V413" s="808"/>
    </row>
    <row r="414">
      <c r="B414" s="825"/>
      <c r="C414" s="106"/>
      <c r="D414" s="826"/>
      <c r="E414" s="826"/>
      <c r="F414" s="826"/>
      <c r="G414" s="826"/>
      <c r="H414" s="826"/>
      <c r="I414" s="826"/>
      <c r="J414" s="826"/>
      <c r="K414" s="826"/>
      <c r="L414" s="826"/>
      <c r="M414" s="106"/>
      <c r="N414" s="826"/>
      <c r="O414" s="827"/>
      <c r="P414" s="808"/>
      <c r="Q414" s="808"/>
      <c r="R414" s="808"/>
      <c r="S414" s="808"/>
      <c r="T414" s="808"/>
      <c r="U414" s="808"/>
      <c r="V414" s="808"/>
    </row>
    <row r="415">
      <c r="B415" s="825"/>
      <c r="C415" s="106"/>
      <c r="D415" s="826"/>
      <c r="E415" s="826"/>
      <c r="F415" s="826"/>
      <c r="G415" s="826"/>
      <c r="H415" s="826"/>
      <c r="I415" s="826"/>
      <c r="J415" s="826"/>
      <c r="K415" s="826"/>
      <c r="L415" s="826"/>
      <c r="M415" s="106"/>
      <c r="N415" s="826"/>
      <c r="O415" s="827"/>
      <c r="P415" s="808"/>
      <c r="Q415" s="808"/>
      <c r="R415" s="808"/>
      <c r="S415" s="808"/>
      <c r="T415" s="808"/>
      <c r="U415" s="808"/>
      <c r="V415" s="808"/>
    </row>
    <row r="416">
      <c r="B416" s="825"/>
      <c r="C416" s="106"/>
      <c r="D416" s="826"/>
      <c r="E416" s="826"/>
      <c r="F416" s="826"/>
      <c r="G416" s="826"/>
      <c r="H416" s="826"/>
      <c r="I416" s="826"/>
      <c r="J416" s="826"/>
      <c r="K416" s="826"/>
      <c r="L416" s="826"/>
      <c r="M416" s="106"/>
      <c r="N416" s="826"/>
      <c r="O416" s="827"/>
      <c r="P416" s="808"/>
      <c r="Q416" s="808"/>
      <c r="R416" s="808"/>
      <c r="S416" s="808"/>
      <c r="T416" s="808"/>
      <c r="U416" s="808"/>
      <c r="V416" s="808"/>
    </row>
    <row r="417">
      <c r="B417" s="825"/>
      <c r="C417" s="106"/>
      <c r="D417" s="826"/>
      <c r="E417" s="826"/>
      <c r="F417" s="826"/>
      <c r="G417" s="826"/>
      <c r="H417" s="826"/>
      <c r="I417" s="826"/>
      <c r="J417" s="826"/>
      <c r="K417" s="826"/>
      <c r="L417" s="826"/>
      <c r="M417" s="106"/>
      <c r="N417" s="826"/>
      <c r="O417" s="827"/>
      <c r="P417" s="808"/>
      <c r="Q417" s="808"/>
      <c r="R417" s="808"/>
      <c r="S417" s="808"/>
      <c r="T417" s="808"/>
      <c r="U417" s="808"/>
      <c r="V417" s="808"/>
    </row>
    <row r="418">
      <c r="B418" s="825"/>
      <c r="C418" s="106"/>
      <c r="D418" s="826"/>
      <c r="E418" s="826"/>
      <c r="F418" s="826"/>
      <c r="G418" s="826"/>
      <c r="H418" s="826"/>
      <c r="I418" s="826"/>
      <c r="J418" s="826"/>
      <c r="K418" s="826"/>
      <c r="L418" s="826"/>
      <c r="M418" s="106"/>
      <c r="N418" s="826"/>
      <c r="O418" s="827"/>
      <c r="P418" s="808"/>
      <c r="Q418" s="808"/>
      <c r="R418" s="808"/>
      <c r="S418" s="808"/>
      <c r="T418" s="808"/>
      <c r="U418" s="808"/>
      <c r="V418" s="808"/>
    </row>
    <row r="419">
      <c r="B419" s="825"/>
      <c r="C419" s="106"/>
      <c r="D419" s="826"/>
      <c r="E419" s="826"/>
      <c r="F419" s="826"/>
      <c r="G419" s="826"/>
      <c r="H419" s="826"/>
      <c r="I419" s="826"/>
      <c r="J419" s="826"/>
      <c r="K419" s="826"/>
      <c r="L419" s="826"/>
      <c r="M419" s="106"/>
      <c r="N419" s="826"/>
      <c r="O419" s="827"/>
      <c r="P419" s="808"/>
      <c r="Q419" s="808"/>
      <c r="R419" s="808"/>
      <c r="S419" s="808"/>
      <c r="T419" s="808"/>
      <c r="U419" s="808"/>
      <c r="V419" s="808"/>
    </row>
    <row r="420">
      <c r="B420" s="825"/>
      <c r="C420" s="106"/>
      <c r="D420" s="826"/>
      <c r="E420" s="826"/>
      <c r="F420" s="826"/>
      <c r="G420" s="826"/>
      <c r="H420" s="826"/>
      <c r="I420" s="826"/>
      <c r="J420" s="826"/>
      <c r="K420" s="826"/>
      <c r="L420" s="826"/>
      <c r="M420" s="106"/>
      <c r="N420" s="826"/>
      <c r="O420" s="827"/>
      <c r="P420" s="808"/>
      <c r="Q420" s="808"/>
      <c r="R420" s="808"/>
      <c r="S420" s="808"/>
      <c r="T420" s="808"/>
      <c r="U420" s="808"/>
      <c r="V420" s="808"/>
    </row>
    <row r="421">
      <c r="B421" s="825"/>
      <c r="C421" s="106"/>
      <c r="D421" s="826"/>
      <c r="E421" s="826"/>
      <c r="F421" s="826"/>
      <c r="G421" s="826"/>
      <c r="H421" s="826"/>
      <c r="I421" s="826"/>
      <c r="J421" s="826"/>
      <c r="K421" s="826"/>
      <c r="L421" s="826"/>
      <c r="M421" s="106"/>
      <c r="N421" s="826"/>
      <c r="O421" s="827"/>
      <c r="P421" s="808"/>
      <c r="Q421" s="808"/>
      <c r="R421" s="808"/>
      <c r="S421" s="808"/>
      <c r="T421" s="808"/>
      <c r="U421" s="808"/>
      <c r="V421" s="808"/>
    </row>
    <row r="422">
      <c r="B422" s="825"/>
      <c r="C422" s="106"/>
      <c r="D422" s="826"/>
      <c r="E422" s="826"/>
      <c r="F422" s="826"/>
      <c r="G422" s="826"/>
      <c r="H422" s="826"/>
      <c r="I422" s="826"/>
      <c r="J422" s="826"/>
      <c r="K422" s="826"/>
      <c r="L422" s="826"/>
      <c r="M422" s="106"/>
      <c r="N422" s="826"/>
      <c r="O422" s="827"/>
      <c r="P422" s="808"/>
      <c r="Q422" s="808"/>
      <c r="R422" s="808"/>
      <c r="S422" s="808"/>
      <c r="T422" s="808"/>
      <c r="U422" s="808"/>
      <c r="V422" s="808"/>
    </row>
    <row r="423">
      <c r="B423" s="825"/>
      <c r="C423" s="106"/>
      <c r="D423" s="826"/>
      <c r="E423" s="826"/>
      <c r="F423" s="826"/>
      <c r="G423" s="826"/>
      <c r="H423" s="826"/>
      <c r="I423" s="826"/>
      <c r="J423" s="826"/>
      <c r="K423" s="826"/>
      <c r="L423" s="826"/>
      <c r="M423" s="106"/>
      <c r="N423" s="826"/>
      <c r="O423" s="827"/>
      <c r="P423" s="808"/>
      <c r="Q423" s="808"/>
      <c r="R423" s="808"/>
      <c r="S423" s="808"/>
      <c r="T423" s="808"/>
      <c r="U423" s="808"/>
      <c r="V423" s="808"/>
    </row>
    <row r="424">
      <c r="B424" s="825"/>
      <c r="C424" s="106"/>
      <c r="D424" s="826"/>
      <c r="E424" s="826"/>
      <c r="F424" s="826"/>
      <c r="G424" s="826"/>
      <c r="H424" s="826"/>
      <c r="I424" s="826"/>
      <c r="J424" s="826"/>
      <c r="K424" s="826"/>
      <c r="L424" s="826"/>
      <c r="M424" s="106"/>
      <c r="N424" s="826"/>
      <c r="O424" s="827"/>
      <c r="P424" s="808"/>
      <c r="Q424" s="808"/>
      <c r="R424" s="808"/>
      <c r="S424" s="808"/>
      <c r="T424" s="808"/>
      <c r="U424" s="808"/>
      <c r="V424" s="808"/>
    </row>
    <row r="425">
      <c r="B425" s="825"/>
      <c r="C425" s="106"/>
      <c r="D425" s="826"/>
      <c r="E425" s="826"/>
      <c r="F425" s="826"/>
      <c r="G425" s="826"/>
      <c r="H425" s="826"/>
      <c r="I425" s="826"/>
      <c r="J425" s="826"/>
      <c r="K425" s="826"/>
      <c r="L425" s="826"/>
      <c r="M425" s="106"/>
      <c r="N425" s="826"/>
      <c r="O425" s="827"/>
      <c r="P425" s="808"/>
      <c r="Q425" s="808"/>
      <c r="R425" s="808"/>
      <c r="S425" s="808"/>
      <c r="T425" s="808"/>
      <c r="U425" s="808"/>
      <c r="V425" s="808"/>
    </row>
    <row r="426">
      <c r="B426" s="825"/>
      <c r="C426" s="106"/>
      <c r="D426" s="826"/>
      <c r="E426" s="826"/>
      <c r="F426" s="826"/>
      <c r="G426" s="826"/>
      <c r="H426" s="826"/>
      <c r="I426" s="826"/>
      <c r="J426" s="826"/>
      <c r="K426" s="826"/>
      <c r="L426" s="826"/>
      <c r="M426" s="106"/>
      <c r="N426" s="826"/>
      <c r="O426" s="827"/>
      <c r="P426" s="808"/>
      <c r="Q426" s="808"/>
      <c r="R426" s="808"/>
      <c r="S426" s="808"/>
      <c r="T426" s="808"/>
      <c r="U426" s="808"/>
      <c r="V426" s="808"/>
    </row>
    <row r="427">
      <c r="B427" s="825"/>
      <c r="C427" s="106"/>
      <c r="D427" s="826"/>
      <c r="E427" s="826"/>
      <c r="F427" s="826"/>
      <c r="G427" s="826"/>
      <c r="H427" s="826"/>
      <c r="I427" s="826"/>
      <c r="J427" s="826"/>
      <c r="K427" s="826"/>
      <c r="L427" s="826"/>
      <c r="M427" s="106"/>
      <c r="N427" s="826"/>
      <c r="O427" s="827"/>
      <c r="P427" s="808"/>
      <c r="Q427" s="808"/>
      <c r="R427" s="808"/>
      <c r="S427" s="808"/>
      <c r="T427" s="808"/>
      <c r="U427" s="808"/>
      <c r="V427" s="808"/>
    </row>
    <row r="428">
      <c r="B428" s="825"/>
      <c r="C428" s="106"/>
      <c r="D428" s="826"/>
      <c r="E428" s="826"/>
      <c r="F428" s="826"/>
      <c r="G428" s="826"/>
      <c r="H428" s="826"/>
      <c r="I428" s="826"/>
      <c r="J428" s="826"/>
      <c r="K428" s="826"/>
      <c r="L428" s="826"/>
      <c r="M428" s="106"/>
      <c r="N428" s="826"/>
      <c r="O428" s="827"/>
      <c r="P428" s="808"/>
      <c r="Q428" s="808"/>
      <c r="R428" s="808"/>
      <c r="S428" s="808"/>
      <c r="T428" s="808"/>
      <c r="U428" s="808"/>
      <c r="V428" s="808"/>
    </row>
    <row r="429">
      <c r="B429" s="825"/>
      <c r="C429" s="106"/>
      <c r="D429" s="826"/>
      <c r="E429" s="826"/>
      <c r="F429" s="826"/>
      <c r="G429" s="826"/>
      <c r="H429" s="826"/>
      <c r="I429" s="826"/>
      <c r="J429" s="826"/>
      <c r="K429" s="826"/>
      <c r="L429" s="826"/>
      <c r="M429" s="106"/>
      <c r="N429" s="826"/>
      <c r="O429" s="827"/>
      <c r="P429" s="808"/>
      <c r="Q429" s="808"/>
      <c r="R429" s="808"/>
      <c r="S429" s="808"/>
      <c r="T429" s="808"/>
      <c r="U429" s="808"/>
      <c r="V429" s="808"/>
    </row>
    <row r="430">
      <c r="B430" s="825"/>
      <c r="C430" s="106"/>
      <c r="D430" s="826"/>
      <c r="E430" s="826"/>
      <c r="F430" s="826"/>
      <c r="G430" s="826"/>
      <c r="H430" s="826"/>
      <c r="I430" s="826"/>
      <c r="J430" s="826"/>
      <c r="K430" s="826"/>
      <c r="L430" s="826"/>
      <c r="M430" s="106"/>
      <c r="N430" s="826"/>
      <c r="O430" s="827"/>
      <c r="P430" s="808"/>
      <c r="Q430" s="808"/>
      <c r="R430" s="808"/>
      <c r="S430" s="808"/>
      <c r="T430" s="808"/>
      <c r="U430" s="808"/>
      <c r="V430" s="808"/>
    </row>
    <row r="431">
      <c r="B431" s="825"/>
      <c r="C431" s="106"/>
      <c r="D431" s="826"/>
      <c r="E431" s="826"/>
      <c r="F431" s="826"/>
      <c r="G431" s="826"/>
      <c r="H431" s="826"/>
      <c r="I431" s="826"/>
      <c r="J431" s="826"/>
      <c r="K431" s="826"/>
      <c r="L431" s="826"/>
      <c r="M431" s="106"/>
      <c r="N431" s="826"/>
      <c r="O431" s="827"/>
      <c r="P431" s="808"/>
      <c r="Q431" s="808"/>
      <c r="R431" s="808"/>
      <c r="S431" s="808"/>
      <c r="T431" s="808"/>
      <c r="U431" s="808"/>
      <c r="V431" s="808"/>
    </row>
    <row r="432">
      <c r="B432" s="825"/>
      <c r="C432" s="106"/>
      <c r="D432" s="826"/>
      <c r="E432" s="826"/>
      <c r="F432" s="826"/>
      <c r="G432" s="826"/>
      <c r="H432" s="826"/>
      <c r="I432" s="826"/>
      <c r="J432" s="826"/>
      <c r="K432" s="826"/>
      <c r="L432" s="826"/>
      <c r="M432" s="106"/>
      <c r="N432" s="826"/>
      <c r="O432" s="827"/>
      <c r="P432" s="808"/>
      <c r="Q432" s="808"/>
      <c r="R432" s="808"/>
      <c r="S432" s="808"/>
      <c r="T432" s="808"/>
      <c r="U432" s="808"/>
      <c r="V432" s="808"/>
    </row>
    <row r="433">
      <c r="B433" s="825"/>
      <c r="C433" s="106"/>
      <c r="D433" s="826"/>
      <c r="E433" s="826"/>
      <c r="F433" s="826"/>
      <c r="G433" s="826"/>
      <c r="H433" s="826"/>
      <c r="I433" s="826"/>
      <c r="J433" s="826"/>
      <c r="K433" s="826"/>
      <c r="L433" s="826"/>
      <c r="M433" s="106"/>
      <c r="N433" s="826"/>
      <c r="O433" s="827"/>
      <c r="P433" s="808"/>
      <c r="Q433" s="808"/>
      <c r="R433" s="808"/>
      <c r="S433" s="808"/>
      <c r="T433" s="808"/>
      <c r="U433" s="808"/>
      <c r="V433" s="808"/>
    </row>
    <row r="434">
      <c r="B434" s="825"/>
      <c r="C434" s="106"/>
      <c r="D434" s="826"/>
      <c r="E434" s="826"/>
      <c r="F434" s="826"/>
      <c r="G434" s="826"/>
      <c r="H434" s="826"/>
      <c r="I434" s="826"/>
      <c r="J434" s="826"/>
      <c r="K434" s="826"/>
      <c r="L434" s="826"/>
      <c r="M434" s="106"/>
      <c r="N434" s="826"/>
      <c r="O434" s="827"/>
      <c r="P434" s="808"/>
      <c r="Q434" s="808"/>
      <c r="R434" s="808"/>
      <c r="S434" s="808"/>
      <c r="T434" s="808"/>
      <c r="U434" s="808"/>
      <c r="V434" s="808"/>
    </row>
    <row r="435">
      <c r="B435" s="825"/>
      <c r="C435" s="106"/>
      <c r="D435" s="826"/>
      <c r="E435" s="826"/>
      <c r="F435" s="826"/>
      <c r="G435" s="826"/>
      <c r="H435" s="826"/>
      <c r="I435" s="826"/>
      <c r="J435" s="826"/>
      <c r="K435" s="826"/>
      <c r="L435" s="826"/>
      <c r="M435" s="106"/>
      <c r="N435" s="826"/>
      <c r="O435" s="827"/>
      <c r="P435" s="808"/>
      <c r="Q435" s="808"/>
      <c r="R435" s="808"/>
      <c r="S435" s="808"/>
      <c r="T435" s="808"/>
      <c r="U435" s="808"/>
      <c r="V435" s="808"/>
    </row>
    <row r="436">
      <c r="B436" s="825"/>
      <c r="C436" s="106"/>
      <c r="D436" s="826"/>
      <c r="E436" s="826"/>
      <c r="F436" s="826"/>
      <c r="G436" s="826"/>
      <c r="H436" s="826"/>
      <c r="I436" s="826"/>
      <c r="J436" s="826"/>
      <c r="K436" s="826"/>
      <c r="L436" s="826"/>
      <c r="M436" s="106"/>
      <c r="N436" s="826"/>
      <c r="O436" s="827"/>
      <c r="P436" s="808"/>
      <c r="Q436" s="808"/>
      <c r="R436" s="808"/>
      <c r="S436" s="808"/>
      <c r="T436" s="808"/>
      <c r="U436" s="808"/>
      <c r="V436" s="808"/>
    </row>
    <row r="437">
      <c r="B437" s="825"/>
      <c r="C437" s="106"/>
      <c r="D437" s="826"/>
      <c r="E437" s="826"/>
      <c r="F437" s="826"/>
      <c r="G437" s="826"/>
      <c r="H437" s="826"/>
      <c r="I437" s="826"/>
      <c r="J437" s="826"/>
      <c r="K437" s="826"/>
      <c r="L437" s="826"/>
      <c r="M437" s="106"/>
      <c r="N437" s="826"/>
      <c r="O437" s="827"/>
      <c r="P437" s="808"/>
      <c r="Q437" s="808"/>
      <c r="R437" s="808"/>
      <c r="S437" s="808"/>
      <c r="T437" s="808"/>
      <c r="U437" s="808"/>
      <c r="V437" s="808"/>
    </row>
    <row r="438">
      <c r="B438" s="825"/>
      <c r="C438" s="106"/>
      <c r="D438" s="826"/>
      <c r="E438" s="826"/>
      <c r="F438" s="826"/>
      <c r="G438" s="826"/>
      <c r="H438" s="826"/>
      <c r="I438" s="826"/>
      <c r="J438" s="826"/>
      <c r="K438" s="826"/>
      <c r="L438" s="826"/>
      <c r="M438" s="106"/>
      <c r="N438" s="826"/>
      <c r="O438" s="827"/>
      <c r="P438" s="808"/>
      <c r="Q438" s="808"/>
      <c r="R438" s="808"/>
      <c r="S438" s="808"/>
      <c r="T438" s="808"/>
      <c r="U438" s="808"/>
      <c r="V438" s="808"/>
    </row>
    <row r="439">
      <c r="B439" s="825"/>
      <c r="C439" s="106"/>
      <c r="D439" s="826"/>
      <c r="E439" s="826"/>
      <c r="F439" s="826"/>
      <c r="G439" s="826"/>
      <c r="H439" s="826"/>
      <c r="I439" s="826"/>
      <c r="J439" s="826"/>
      <c r="K439" s="826"/>
      <c r="L439" s="826"/>
      <c r="M439" s="106"/>
      <c r="N439" s="826"/>
      <c r="O439" s="827"/>
      <c r="P439" s="808"/>
      <c r="Q439" s="808"/>
      <c r="R439" s="808"/>
      <c r="S439" s="808"/>
      <c r="T439" s="808"/>
      <c r="U439" s="808"/>
      <c r="V439" s="808"/>
    </row>
    <row r="440">
      <c r="B440" s="825"/>
      <c r="C440" s="106"/>
      <c r="D440" s="826"/>
      <c r="E440" s="826"/>
      <c r="F440" s="826"/>
      <c r="G440" s="826"/>
      <c r="H440" s="826"/>
      <c r="I440" s="826"/>
      <c r="J440" s="826"/>
      <c r="K440" s="826"/>
      <c r="L440" s="826"/>
      <c r="M440" s="106"/>
      <c r="N440" s="826"/>
      <c r="O440" s="827"/>
      <c r="P440" s="808"/>
      <c r="Q440" s="808"/>
      <c r="R440" s="808"/>
      <c r="S440" s="808"/>
      <c r="T440" s="808"/>
      <c r="U440" s="808"/>
      <c r="V440" s="808"/>
    </row>
    <row r="441">
      <c r="B441" s="825"/>
      <c r="C441" s="106"/>
      <c r="D441" s="826"/>
      <c r="E441" s="826"/>
      <c r="F441" s="826"/>
      <c r="G441" s="826"/>
      <c r="H441" s="826"/>
      <c r="I441" s="826"/>
      <c r="J441" s="826"/>
      <c r="K441" s="826"/>
      <c r="L441" s="826"/>
      <c r="M441" s="106"/>
      <c r="N441" s="826"/>
      <c r="O441" s="827"/>
      <c r="P441" s="808"/>
      <c r="Q441" s="808"/>
      <c r="R441" s="808"/>
      <c r="S441" s="808"/>
      <c r="T441" s="808"/>
      <c r="U441" s="808"/>
      <c r="V441" s="808"/>
    </row>
    <row r="442">
      <c r="B442" s="825"/>
      <c r="C442" s="106"/>
      <c r="D442" s="826"/>
      <c r="E442" s="826"/>
      <c r="F442" s="826"/>
      <c r="G442" s="826"/>
      <c r="H442" s="826"/>
      <c r="I442" s="826"/>
      <c r="J442" s="826"/>
      <c r="K442" s="826"/>
      <c r="L442" s="826"/>
      <c r="M442" s="106"/>
      <c r="N442" s="826"/>
      <c r="O442" s="827"/>
      <c r="P442" s="808"/>
      <c r="Q442" s="808"/>
      <c r="R442" s="808"/>
      <c r="S442" s="808"/>
      <c r="T442" s="808"/>
      <c r="U442" s="808"/>
      <c r="V442" s="808"/>
    </row>
    <row r="443">
      <c r="B443" s="825"/>
      <c r="C443" s="106"/>
      <c r="D443" s="826"/>
      <c r="E443" s="826"/>
      <c r="F443" s="826"/>
      <c r="G443" s="826"/>
      <c r="H443" s="826"/>
      <c r="I443" s="826"/>
      <c r="J443" s="826"/>
      <c r="K443" s="826"/>
      <c r="L443" s="826"/>
      <c r="M443" s="106"/>
      <c r="N443" s="826"/>
      <c r="O443" s="827"/>
      <c r="P443" s="808"/>
      <c r="Q443" s="808"/>
      <c r="R443" s="808"/>
      <c r="S443" s="808"/>
      <c r="T443" s="808"/>
      <c r="U443" s="808"/>
      <c r="V443" s="808"/>
    </row>
    <row r="444">
      <c r="B444" s="825"/>
      <c r="C444" s="106"/>
      <c r="D444" s="826"/>
      <c r="E444" s="826"/>
      <c r="F444" s="826"/>
      <c r="G444" s="826"/>
      <c r="H444" s="826"/>
      <c r="I444" s="826"/>
      <c r="J444" s="826"/>
      <c r="K444" s="826"/>
      <c r="L444" s="826"/>
      <c r="M444" s="106"/>
      <c r="N444" s="826"/>
      <c r="O444" s="827"/>
      <c r="P444" s="808"/>
      <c r="Q444" s="808"/>
      <c r="R444" s="808"/>
      <c r="S444" s="808"/>
      <c r="T444" s="808"/>
      <c r="U444" s="808"/>
      <c r="V444" s="808"/>
    </row>
    <row r="445">
      <c r="B445" s="825"/>
      <c r="C445" s="106"/>
      <c r="D445" s="826"/>
      <c r="E445" s="826"/>
      <c r="F445" s="826"/>
      <c r="G445" s="826"/>
      <c r="H445" s="826"/>
      <c r="I445" s="826"/>
      <c r="J445" s="826"/>
      <c r="K445" s="826"/>
      <c r="L445" s="826"/>
      <c r="M445" s="106"/>
      <c r="N445" s="826"/>
      <c r="O445" s="827"/>
      <c r="P445" s="808"/>
      <c r="Q445" s="808"/>
      <c r="R445" s="808"/>
      <c r="S445" s="808"/>
      <c r="T445" s="808"/>
      <c r="U445" s="808"/>
      <c r="V445" s="808"/>
    </row>
    <row r="446">
      <c r="B446" s="825"/>
      <c r="C446" s="106"/>
      <c r="D446" s="826"/>
      <c r="E446" s="826"/>
      <c r="F446" s="826"/>
      <c r="G446" s="826"/>
      <c r="H446" s="826"/>
      <c r="I446" s="826"/>
      <c r="J446" s="826"/>
      <c r="K446" s="826"/>
      <c r="L446" s="826"/>
      <c r="M446" s="106"/>
      <c r="N446" s="826"/>
      <c r="O446" s="827"/>
      <c r="P446" s="808"/>
      <c r="Q446" s="808"/>
      <c r="R446" s="808"/>
      <c r="S446" s="808"/>
      <c r="T446" s="808"/>
      <c r="U446" s="808"/>
      <c r="V446" s="808"/>
    </row>
    <row r="447">
      <c r="B447" s="825"/>
      <c r="C447" s="106"/>
      <c r="D447" s="826"/>
      <c r="E447" s="826"/>
      <c r="F447" s="826"/>
      <c r="G447" s="826"/>
      <c r="H447" s="826"/>
      <c r="I447" s="826"/>
      <c r="J447" s="826"/>
      <c r="K447" s="826"/>
      <c r="L447" s="826"/>
      <c r="M447" s="106"/>
      <c r="N447" s="826"/>
      <c r="O447" s="827"/>
      <c r="P447" s="808"/>
      <c r="Q447" s="808"/>
      <c r="R447" s="808"/>
      <c r="S447" s="808"/>
      <c r="T447" s="808"/>
      <c r="U447" s="808"/>
      <c r="V447" s="808"/>
    </row>
    <row r="448">
      <c r="B448" s="825"/>
      <c r="C448" s="106"/>
      <c r="D448" s="826"/>
      <c r="E448" s="826"/>
      <c r="F448" s="826"/>
      <c r="G448" s="826"/>
      <c r="H448" s="826"/>
      <c r="I448" s="826"/>
      <c r="J448" s="826"/>
      <c r="K448" s="826"/>
      <c r="L448" s="826"/>
      <c r="M448" s="106"/>
      <c r="N448" s="826"/>
      <c r="O448" s="827"/>
      <c r="P448" s="808"/>
      <c r="Q448" s="808"/>
      <c r="R448" s="808"/>
      <c r="S448" s="808"/>
      <c r="T448" s="808"/>
      <c r="U448" s="808"/>
      <c r="V448" s="808"/>
    </row>
    <row r="449">
      <c r="B449" s="825"/>
      <c r="C449" s="106"/>
      <c r="D449" s="826"/>
      <c r="E449" s="826"/>
      <c r="F449" s="826"/>
      <c r="G449" s="826"/>
      <c r="H449" s="826"/>
      <c r="I449" s="826"/>
      <c r="J449" s="826"/>
      <c r="K449" s="826"/>
      <c r="L449" s="826"/>
      <c r="M449" s="106"/>
      <c r="N449" s="826"/>
      <c r="O449" s="827"/>
      <c r="P449" s="808"/>
      <c r="Q449" s="808"/>
      <c r="R449" s="808"/>
      <c r="S449" s="808"/>
      <c r="T449" s="808"/>
      <c r="U449" s="808"/>
      <c r="V449" s="808"/>
    </row>
    <row r="450">
      <c r="B450" s="825"/>
      <c r="C450" s="106"/>
      <c r="D450" s="826"/>
      <c r="E450" s="826"/>
      <c r="F450" s="826"/>
      <c r="G450" s="826"/>
      <c r="H450" s="826"/>
      <c r="I450" s="826"/>
      <c r="J450" s="826"/>
      <c r="K450" s="826"/>
      <c r="L450" s="826"/>
      <c r="M450" s="106"/>
      <c r="N450" s="826"/>
      <c r="O450" s="827"/>
      <c r="P450" s="808"/>
      <c r="Q450" s="808"/>
      <c r="R450" s="808"/>
      <c r="S450" s="808"/>
      <c r="T450" s="808"/>
      <c r="U450" s="808"/>
      <c r="V450" s="808"/>
    </row>
    <row r="451">
      <c r="B451" s="825"/>
      <c r="C451" s="106"/>
      <c r="D451" s="826"/>
      <c r="E451" s="826"/>
      <c r="F451" s="826"/>
      <c r="G451" s="826"/>
      <c r="H451" s="826"/>
      <c r="I451" s="826"/>
      <c r="J451" s="826"/>
      <c r="K451" s="826"/>
      <c r="L451" s="826"/>
      <c r="M451" s="106"/>
      <c r="N451" s="826"/>
      <c r="O451" s="827"/>
      <c r="P451" s="808"/>
      <c r="Q451" s="808"/>
      <c r="R451" s="808"/>
      <c r="S451" s="808"/>
      <c r="T451" s="808"/>
      <c r="U451" s="808"/>
      <c r="V451" s="808"/>
    </row>
    <row r="452">
      <c r="B452" s="825"/>
      <c r="C452" s="106"/>
      <c r="D452" s="826"/>
      <c r="E452" s="826"/>
      <c r="F452" s="826"/>
      <c r="G452" s="826"/>
      <c r="H452" s="826"/>
      <c r="I452" s="826"/>
      <c r="J452" s="826"/>
      <c r="K452" s="826"/>
      <c r="L452" s="826"/>
      <c r="M452" s="106"/>
      <c r="N452" s="826"/>
      <c r="O452" s="827"/>
      <c r="P452" s="808"/>
      <c r="Q452" s="808"/>
      <c r="R452" s="808"/>
      <c r="S452" s="808"/>
      <c r="T452" s="808"/>
      <c r="U452" s="808"/>
      <c r="V452" s="808"/>
    </row>
    <row r="453">
      <c r="B453" s="825"/>
      <c r="C453" s="106"/>
      <c r="D453" s="826"/>
      <c r="E453" s="826"/>
      <c r="F453" s="826"/>
      <c r="G453" s="826"/>
      <c r="H453" s="826"/>
      <c r="I453" s="826"/>
      <c r="J453" s="826"/>
      <c r="K453" s="826"/>
      <c r="L453" s="826"/>
      <c r="M453" s="106"/>
      <c r="N453" s="826"/>
      <c r="O453" s="827"/>
      <c r="P453" s="808"/>
      <c r="Q453" s="808"/>
      <c r="R453" s="808"/>
      <c r="S453" s="808"/>
      <c r="T453" s="808"/>
      <c r="U453" s="808"/>
      <c r="V453" s="808"/>
    </row>
    <row r="454">
      <c r="B454" s="825"/>
      <c r="C454" s="106"/>
      <c r="D454" s="826"/>
      <c r="E454" s="826"/>
      <c r="F454" s="826"/>
      <c r="G454" s="826"/>
      <c r="H454" s="826"/>
      <c r="I454" s="826"/>
      <c r="J454" s="826"/>
      <c r="K454" s="826"/>
      <c r="L454" s="826"/>
      <c r="M454" s="106"/>
      <c r="N454" s="826"/>
      <c r="O454" s="827"/>
      <c r="P454" s="808"/>
      <c r="Q454" s="808"/>
      <c r="R454" s="808"/>
      <c r="S454" s="808"/>
      <c r="T454" s="808"/>
      <c r="U454" s="808"/>
      <c r="V454" s="808"/>
    </row>
    <row r="455">
      <c r="B455" s="825"/>
      <c r="C455" s="106"/>
      <c r="D455" s="826"/>
      <c r="E455" s="826"/>
      <c r="F455" s="826"/>
      <c r="G455" s="826"/>
      <c r="H455" s="826"/>
      <c r="I455" s="826"/>
      <c r="J455" s="826"/>
      <c r="K455" s="826"/>
      <c r="L455" s="826"/>
      <c r="M455" s="106"/>
      <c r="N455" s="826"/>
      <c r="O455" s="827"/>
      <c r="P455" s="808"/>
      <c r="Q455" s="808"/>
      <c r="R455" s="808"/>
      <c r="S455" s="808"/>
      <c r="T455" s="808"/>
      <c r="U455" s="808"/>
      <c r="V455" s="808"/>
    </row>
    <row r="456">
      <c r="B456" s="825"/>
      <c r="C456" s="106"/>
      <c r="D456" s="826"/>
      <c r="E456" s="826"/>
      <c r="F456" s="826"/>
      <c r="G456" s="826"/>
      <c r="H456" s="826"/>
      <c r="I456" s="826"/>
      <c r="J456" s="826"/>
      <c r="K456" s="826"/>
      <c r="L456" s="826"/>
      <c r="M456" s="106"/>
      <c r="N456" s="826"/>
      <c r="O456" s="827"/>
      <c r="P456" s="808"/>
      <c r="Q456" s="808"/>
      <c r="R456" s="808"/>
      <c r="S456" s="808"/>
      <c r="T456" s="808"/>
      <c r="U456" s="808"/>
      <c r="V456" s="808"/>
    </row>
    <row r="457">
      <c r="B457" s="825"/>
      <c r="C457" s="106"/>
      <c r="D457" s="826"/>
      <c r="E457" s="826"/>
      <c r="F457" s="826"/>
      <c r="G457" s="826"/>
      <c r="H457" s="826"/>
      <c r="I457" s="826"/>
      <c r="J457" s="826"/>
      <c r="K457" s="826"/>
      <c r="L457" s="826"/>
      <c r="M457" s="106"/>
      <c r="N457" s="826"/>
      <c r="O457" s="827"/>
      <c r="P457" s="808"/>
      <c r="Q457" s="808"/>
      <c r="R457" s="808"/>
      <c r="S457" s="808"/>
      <c r="T457" s="808"/>
      <c r="U457" s="808"/>
      <c r="V457" s="808"/>
    </row>
    <row r="458">
      <c r="B458" s="825"/>
      <c r="C458" s="106"/>
      <c r="D458" s="826"/>
      <c r="E458" s="826"/>
      <c r="F458" s="826"/>
      <c r="G458" s="826"/>
      <c r="H458" s="826"/>
      <c r="I458" s="826"/>
      <c r="J458" s="826"/>
      <c r="K458" s="826"/>
      <c r="L458" s="826"/>
      <c r="M458" s="106"/>
      <c r="N458" s="826"/>
      <c r="O458" s="827"/>
      <c r="P458" s="808"/>
      <c r="Q458" s="808"/>
      <c r="R458" s="808"/>
      <c r="S458" s="808"/>
      <c r="T458" s="808"/>
      <c r="U458" s="808"/>
      <c r="V458" s="808"/>
    </row>
    <row r="459">
      <c r="B459" s="825"/>
      <c r="C459" s="106"/>
      <c r="D459" s="826"/>
      <c r="E459" s="826"/>
      <c r="F459" s="826"/>
      <c r="G459" s="826"/>
      <c r="H459" s="826"/>
      <c r="I459" s="826"/>
      <c r="J459" s="826"/>
      <c r="K459" s="826"/>
      <c r="L459" s="826"/>
      <c r="M459" s="106"/>
      <c r="N459" s="826"/>
      <c r="O459" s="827"/>
      <c r="P459" s="808"/>
      <c r="Q459" s="808"/>
      <c r="R459" s="808"/>
      <c r="S459" s="808"/>
      <c r="T459" s="808"/>
      <c r="U459" s="808"/>
      <c r="V459" s="808"/>
    </row>
    <row r="460">
      <c r="B460" s="825"/>
      <c r="C460" s="106"/>
      <c r="D460" s="826"/>
      <c r="E460" s="826"/>
      <c r="F460" s="826"/>
      <c r="G460" s="826"/>
      <c r="H460" s="826"/>
      <c r="I460" s="826"/>
      <c r="J460" s="826"/>
      <c r="K460" s="826"/>
      <c r="L460" s="826"/>
      <c r="M460" s="106"/>
      <c r="N460" s="826"/>
      <c r="O460" s="827"/>
      <c r="P460" s="808"/>
      <c r="Q460" s="808"/>
      <c r="R460" s="808"/>
      <c r="S460" s="808"/>
      <c r="T460" s="808"/>
      <c r="U460" s="808"/>
      <c r="V460" s="808"/>
    </row>
    <row r="461">
      <c r="B461" s="825"/>
      <c r="C461" s="106"/>
      <c r="D461" s="826"/>
      <c r="E461" s="826"/>
      <c r="F461" s="826"/>
      <c r="G461" s="826"/>
      <c r="H461" s="826"/>
      <c r="I461" s="826"/>
      <c r="J461" s="826"/>
      <c r="K461" s="826"/>
      <c r="L461" s="826"/>
      <c r="M461" s="106"/>
      <c r="N461" s="826"/>
      <c r="O461" s="827"/>
      <c r="P461" s="808"/>
      <c r="Q461" s="808"/>
      <c r="R461" s="808"/>
      <c r="S461" s="808"/>
      <c r="T461" s="808"/>
      <c r="U461" s="808"/>
      <c r="V461" s="808"/>
    </row>
    <row r="462">
      <c r="B462" s="825"/>
      <c r="C462" s="106"/>
      <c r="D462" s="826"/>
      <c r="E462" s="826"/>
      <c r="F462" s="826"/>
      <c r="G462" s="826"/>
      <c r="H462" s="826"/>
      <c r="I462" s="826"/>
      <c r="J462" s="826"/>
      <c r="K462" s="826"/>
      <c r="L462" s="826"/>
      <c r="M462" s="106"/>
      <c r="N462" s="826"/>
      <c r="O462" s="827"/>
      <c r="P462" s="808"/>
      <c r="Q462" s="808"/>
      <c r="R462" s="808"/>
      <c r="S462" s="808"/>
      <c r="T462" s="808"/>
      <c r="U462" s="808"/>
      <c r="V462" s="808"/>
    </row>
    <row r="463">
      <c r="B463" s="825"/>
      <c r="C463" s="106"/>
      <c r="D463" s="826"/>
      <c r="E463" s="826"/>
      <c r="F463" s="826"/>
      <c r="G463" s="826"/>
      <c r="H463" s="826"/>
      <c r="I463" s="826"/>
      <c r="J463" s="826"/>
      <c r="K463" s="826"/>
      <c r="L463" s="826"/>
      <c r="M463" s="106"/>
      <c r="N463" s="826"/>
      <c r="O463" s="827"/>
      <c r="P463" s="808"/>
      <c r="Q463" s="808"/>
      <c r="R463" s="808"/>
      <c r="S463" s="808"/>
      <c r="T463" s="808"/>
      <c r="U463" s="808"/>
      <c r="V463" s="808"/>
    </row>
    <row r="464">
      <c r="B464" s="825"/>
      <c r="C464" s="106"/>
      <c r="D464" s="826"/>
      <c r="E464" s="826"/>
      <c r="F464" s="826"/>
      <c r="G464" s="826"/>
      <c r="H464" s="826"/>
      <c r="I464" s="826"/>
      <c r="J464" s="826"/>
      <c r="K464" s="826"/>
      <c r="L464" s="826"/>
      <c r="M464" s="106"/>
      <c r="N464" s="826"/>
      <c r="O464" s="827"/>
      <c r="P464" s="808"/>
      <c r="Q464" s="808"/>
      <c r="R464" s="808"/>
      <c r="S464" s="808"/>
      <c r="T464" s="808"/>
      <c r="U464" s="808"/>
      <c r="V464" s="808"/>
    </row>
    <row r="465">
      <c r="B465" s="825"/>
      <c r="C465" s="106"/>
      <c r="D465" s="826"/>
      <c r="E465" s="826"/>
      <c r="F465" s="826"/>
      <c r="G465" s="826"/>
      <c r="H465" s="826"/>
      <c r="I465" s="826"/>
      <c r="J465" s="826"/>
      <c r="K465" s="826"/>
      <c r="L465" s="826"/>
      <c r="M465" s="106"/>
      <c r="N465" s="826"/>
      <c r="O465" s="827"/>
      <c r="P465" s="808"/>
      <c r="Q465" s="808"/>
      <c r="R465" s="808"/>
      <c r="S465" s="808"/>
      <c r="T465" s="808"/>
      <c r="U465" s="808"/>
      <c r="V465" s="808"/>
    </row>
    <row r="466">
      <c r="B466" s="825"/>
      <c r="C466" s="106"/>
      <c r="D466" s="826"/>
      <c r="E466" s="826"/>
      <c r="F466" s="826"/>
      <c r="G466" s="826"/>
      <c r="H466" s="826"/>
      <c r="I466" s="826"/>
      <c r="J466" s="826"/>
      <c r="K466" s="826"/>
      <c r="L466" s="826"/>
      <c r="M466" s="106"/>
      <c r="N466" s="826"/>
      <c r="O466" s="827"/>
      <c r="P466" s="808"/>
      <c r="Q466" s="808"/>
      <c r="R466" s="808"/>
      <c r="S466" s="808"/>
      <c r="T466" s="808"/>
      <c r="U466" s="808"/>
      <c r="V466" s="808"/>
    </row>
    <row r="467">
      <c r="B467" s="825"/>
      <c r="C467" s="106"/>
      <c r="D467" s="826"/>
      <c r="E467" s="826"/>
      <c r="F467" s="826"/>
      <c r="G467" s="826"/>
      <c r="H467" s="826"/>
      <c r="I467" s="826"/>
      <c r="J467" s="826"/>
      <c r="K467" s="826"/>
      <c r="L467" s="826"/>
      <c r="M467" s="106"/>
      <c r="N467" s="826"/>
      <c r="O467" s="827"/>
      <c r="P467" s="808"/>
      <c r="Q467" s="808"/>
      <c r="R467" s="808"/>
      <c r="S467" s="808"/>
      <c r="T467" s="808"/>
      <c r="U467" s="808"/>
      <c r="V467" s="808"/>
    </row>
    <row r="468">
      <c r="B468" s="825"/>
      <c r="C468" s="106"/>
      <c r="D468" s="826"/>
      <c r="E468" s="826"/>
      <c r="F468" s="826"/>
      <c r="G468" s="826"/>
      <c r="H468" s="826"/>
      <c r="I468" s="826"/>
      <c r="J468" s="826"/>
      <c r="K468" s="826"/>
      <c r="L468" s="826"/>
      <c r="M468" s="106"/>
      <c r="N468" s="826"/>
      <c r="O468" s="827"/>
      <c r="P468" s="808"/>
      <c r="Q468" s="808"/>
      <c r="R468" s="808"/>
      <c r="S468" s="808"/>
      <c r="T468" s="808"/>
      <c r="U468" s="808"/>
      <c r="V468" s="808"/>
    </row>
    <row r="469">
      <c r="B469" s="825"/>
      <c r="C469" s="106"/>
      <c r="D469" s="826"/>
      <c r="E469" s="826"/>
      <c r="F469" s="826"/>
      <c r="G469" s="826"/>
      <c r="H469" s="826"/>
      <c r="I469" s="826"/>
      <c r="J469" s="826"/>
      <c r="K469" s="826"/>
      <c r="L469" s="826"/>
      <c r="M469" s="106"/>
      <c r="N469" s="826"/>
      <c r="O469" s="827"/>
      <c r="P469" s="808"/>
      <c r="Q469" s="808"/>
      <c r="R469" s="808"/>
      <c r="S469" s="808"/>
      <c r="T469" s="808"/>
      <c r="U469" s="808"/>
      <c r="V469" s="808"/>
    </row>
    <row r="470">
      <c r="B470" s="825"/>
      <c r="C470" s="106"/>
      <c r="D470" s="826"/>
      <c r="E470" s="826"/>
      <c r="F470" s="826"/>
      <c r="G470" s="826"/>
      <c r="H470" s="826"/>
      <c r="I470" s="826"/>
      <c r="J470" s="826"/>
      <c r="K470" s="826"/>
      <c r="L470" s="826"/>
      <c r="M470" s="106"/>
      <c r="N470" s="826"/>
      <c r="O470" s="827"/>
      <c r="P470" s="808"/>
      <c r="Q470" s="808"/>
      <c r="R470" s="808"/>
      <c r="S470" s="808"/>
      <c r="T470" s="808"/>
      <c r="U470" s="808"/>
      <c r="V470" s="808"/>
    </row>
    <row r="471">
      <c r="B471" s="825"/>
      <c r="C471" s="106"/>
      <c r="D471" s="826"/>
      <c r="E471" s="826"/>
      <c r="F471" s="826"/>
      <c r="G471" s="826"/>
      <c r="H471" s="826"/>
      <c r="I471" s="826"/>
      <c r="J471" s="826"/>
      <c r="K471" s="826"/>
      <c r="L471" s="826"/>
      <c r="M471" s="106"/>
      <c r="N471" s="826"/>
      <c r="O471" s="827"/>
      <c r="P471" s="808"/>
      <c r="Q471" s="808"/>
      <c r="R471" s="808"/>
      <c r="S471" s="808"/>
      <c r="T471" s="808"/>
      <c r="U471" s="808"/>
      <c r="V471" s="808"/>
    </row>
    <row r="472">
      <c r="B472" s="825"/>
      <c r="C472" s="106"/>
      <c r="D472" s="826"/>
      <c r="E472" s="826"/>
      <c r="F472" s="826"/>
      <c r="G472" s="826"/>
      <c r="H472" s="826"/>
      <c r="I472" s="826"/>
      <c r="J472" s="826"/>
      <c r="K472" s="826"/>
      <c r="L472" s="826"/>
      <c r="M472" s="106"/>
      <c r="N472" s="826"/>
      <c r="O472" s="827"/>
      <c r="P472" s="808"/>
      <c r="Q472" s="808"/>
      <c r="R472" s="808"/>
      <c r="S472" s="808"/>
      <c r="T472" s="808"/>
      <c r="U472" s="808"/>
      <c r="V472" s="808"/>
    </row>
    <row r="473">
      <c r="B473" s="825"/>
      <c r="C473" s="106"/>
      <c r="D473" s="826"/>
      <c r="E473" s="826"/>
      <c r="F473" s="826"/>
      <c r="G473" s="826"/>
      <c r="H473" s="826"/>
      <c r="I473" s="826"/>
      <c r="J473" s="826"/>
      <c r="K473" s="826"/>
      <c r="L473" s="826"/>
      <c r="M473" s="106"/>
      <c r="N473" s="826"/>
      <c r="O473" s="827"/>
      <c r="P473" s="808"/>
      <c r="Q473" s="808"/>
      <c r="R473" s="808"/>
      <c r="S473" s="808"/>
      <c r="T473" s="808"/>
      <c r="U473" s="808"/>
      <c r="V473" s="808"/>
    </row>
    <row r="474">
      <c r="B474" s="825"/>
      <c r="C474" s="106"/>
      <c r="D474" s="826"/>
      <c r="E474" s="826"/>
      <c r="F474" s="826"/>
      <c r="G474" s="826"/>
      <c r="H474" s="826"/>
      <c r="I474" s="826"/>
      <c r="J474" s="826"/>
      <c r="K474" s="826"/>
      <c r="L474" s="826"/>
      <c r="M474" s="106"/>
      <c r="N474" s="826"/>
      <c r="O474" s="827"/>
      <c r="P474" s="808"/>
      <c r="Q474" s="808"/>
      <c r="R474" s="808"/>
      <c r="S474" s="808"/>
      <c r="T474" s="808"/>
      <c r="U474" s="808"/>
      <c r="V474" s="808"/>
    </row>
    <row r="475">
      <c r="B475" s="825"/>
      <c r="C475" s="106"/>
      <c r="D475" s="826"/>
      <c r="E475" s="826"/>
      <c r="F475" s="826"/>
      <c r="G475" s="826"/>
      <c r="H475" s="826"/>
      <c r="I475" s="826"/>
      <c r="J475" s="826"/>
      <c r="K475" s="826"/>
      <c r="L475" s="826"/>
      <c r="M475" s="106"/>
      <c r="N475" s="826"/>
      <c r="O475" s="827"/>
      <c r="P475" s="808"/>
      <c r="Q475" s="808"/>
      <c r="R475" s="808"/>
      <c r="S475" s="808"/>
      <c r="T475" s="808"/>
      <c r="U475" s="808"/>
      <c r="V475" s="808"/>
    </row>
    <row r="476">
      <c r="B476" s="825"/>
      <c r="C476" s="106"/>
      <c r="D476" s="826"/>
      <c r="E476" s="826"/>
      <c r="F476" s="826"/>
      <c r="G476" s="826"/>
      <c r="H476" s="826"/>
      <c r="I476" s="826"/>
      <c r="J476" s="826"/>
      <c r="K476" s="826"/>
      <c r="L476" s="826"/>
      <c r="M476" s="106"/>
      <c r="N476" s="826"/>
      <c r="O476" s="827"/>
      <c r="P476" s="808"/>
      <c r="Q476" s="808"/>
      <c r="R476" s="808"/>
      <c r="S476" s="808"/>
      <c r="T476" s="808"/>
      <c r="U476" s="808"/>
      <c r="V476" s="808"/>
    </row>
    <row r="477">
      <c r="B477" s="825"/>
      <c r="C477" s="106"/>
      <c r="D477" s="826"/>
      <c r="E477" s="826"/>
      <c r="F477" s="826"/>
      <c r="G477" s="826"/>
      <c r="H477" s="826"/>
      <c r="I477" s="826"/>
      <c r="J477" s="826"/>
      <c r="K477" s="826"/>
      <c r="L477" s="826"/>
      <c r="M477" s="106"/>
      <c r="N477" s="826"/>
      <c r="O477" s="827"/>
      <c r="P477" s="808"/>
      <c r="Q477" s="808"/>
      <c r="R477" s="808"/>
      <c r="S477" s="808"/>
      <c r="T477" s="808"/>
      <c r="U477" s="808"/>
      <c r="V477" s="808"/>
    </row>
    <row r="478">
      <c r="B478" s="825"/>
      <c r="C478" s="106"/>
      <c r="D478" s="826"/>
      <c r="E478" s="826"/>
      <c r="F478" s="826"/>
      <c r="G478" s="826"/>
      <c r="H478" s="826"/>
      <c r="I478" s="826"/>
      <c r="J478" s="826"/>
      <c r="K478" s="826"/>
      <c r="L478" s="826"/>
      <c r="M478" s="106"/>
      <c r="N478" s="826"/>
      <c r="O478" s="827"/>
      <c r="P478" s="808"/>
      <c r="Q478" s="808"/>
      <c r="R478" s="808"/>
      <c r="S478" s="808"/>
      <c r="T478" s="808"/>
      <c r="U478" s="808"/>
      <c r="V478" s="808"/>
    </row>
    <row r="479">
      <c r="B479" s="825"/>
      <c r="C479" s="106"/>
      <c r="D479" s="826"/>
      <c r="E479" s="826"/>
      <c r="F479" s="826"/>
      <c r="G479" s="826"/>
      <c r="H479" s="826"/>
      <c r="I479" s="826"/>
      <c r="J479" s="826"/>
      <c r="K479" s="826"/>
      <c r="L479" s="826"/>
      <c r="M479" s="106"/>
      <c r="N479" s="826"/>
      <c r="O479" s="827"/>
      <c r="P479" s="808"/>
      <c r="Q479" s="808"/>
      <c r="R479" s="808"/>
      <c r="S479" s="808"/>
      <c r="T479" s="808"/>
      <c r="U479" s="808"/>
      <c r="V479" s="808"/>
    </row>
    <row r="480">
      <c r="B480" s="825"/>
      <c r="C480" s="106"/>
      <c r="D480" s="826"/>
      <c r="E480" s="826"/>
      <c r="F480" s="826"/>
      <c r="G480" s="826"/>
      <c r="H480" s="826"/>
      <c r="I480" s="826"/>
      <c r="J480" s="826"/>
      <c r="K480" s="826"/>
      <c r="L480" s="826"/>
      <c r="M480" s="106"/>
      <c r="N480" s="826"/>
      <c r="O480" s="827"/>
      <c r="P480" s="808"/>
      <c r="Q480" s="808"/>
      <c r="R480" s="808"/>
      <c r="S480" s="808"/>
      <c r="T480" s="808"/>
      <c r="U480" s="808"/>
      <c r="V480" s="808"/>
    </row>
    <row r="481">
      <c r="B481" s="825"/>
      <c r="C481" s="106"/>
      <c r="D481" s="826"/>
      <c r="E481" s="826"/>
      <c r="F481" s="826"/>
      <c r="G481" s="826"/>
      <c r="H481" s="826"/>
      <c r="I481" s="826"/>
      <c r="J481" s="826"/>
      <c r="K481" s="826"/>
      <c r="L481" s="826"/>
      <c r="M481" s="106"/>
      <c r="N481" s="826"/>
      <c r="O481" s="827"/>
      <c r="P481" s="808"/>
      <c r="Q481" s="808"/>
      <c r="R481" s="808"/>
      <c r="S481" s="808"/>
      <c r="T481" s="808"/>
      <c r="U481" s="808"/>
      <c r="V481" s="808"/>
    </row>
    <row r="482">
      <c r="B482" s="825"/>
      <c r="C482" s="106"/>
      <c r="D482" s="826"/>
      <c r="E482" s="826"/>
      <c r="F482" s="826"/>
      <c r="G482" s="826"/>
      <c r="H482" s="826"/>
      <c r="I482" s="826"/>
      <c r="J482" s="826"/>
      <c r="K482" s="826"/>
      <c r="L482" s="826"/>
      <c r="M482" s="106"/>
      <c r="N482" s="826"/>
      <c r="O482" s="827"/>
      <c r="P482" s="808"/>
      <c r="Q482" s="808"/>
      <c r="R482" s="808"/>
      <c r="S482" s="808"/>
      <c r="T482" s="808"/>
      <c r="U482" s="808"/>
      <c r="V482" s="808"/>
    </row>
    <row r="483">
      <c r="B483" s="825"/>
      <c r="C483" s="106"/>
      <c r="D483" s="826"/>
      <c r="E483" s="826"/>
      <c r="F483" s="826"/>
      <c r="G483" s="826"/>
      <c r="H483" s="826"/>
      <c r="I483" s="826"/>
      <c r="J483" s="826"/>
      <c r="K483" s="826"/>
      <c r="L483" s="826"/>
      <c r="M483" s="106"/>
      <c r="N483" s="826"/>
      <c r="O483" s="827"/>
      <c r="P483" s="808"/>
      <c r="Q483" s="808"/>
      <c r="R483" s="808"/>
      <c r="S483" s="808"/>
      <c r="T483" s="808"/>
      <c r="U483" s="808"/>
      <c r="V483" s="808"/>
    </row>
    <row r="484">
      <c r="B484" s="825"/>
      <c r="C484" s="106"/>
      <c r="D484" s="826"/>
      <c r="E484" s="826"/>
      <c r="F484" s="826"/>
      <c r="G484" s="826"/>
      <c r="H484" s="826"/>
      <c r="I484" s="826"/>
      <c r="J484" s="826"/>
      <c r="K484" s="826"/>
      <c r="L484" s="826"/>
      <c r="M484" s="106"/>
      <c r="N484" s="826"/>
      <c r="O484" s="827"/>
      <c r="P484" s="808"/>
      <c r="Q484" s="808"/>
      <c r="R484" s="808"/>
      <c r="S484" s="808"/>
      <c r="T484" s="808"/>
      <c r="U484" s="808"/>
      <c r="V484" s="808"/>
    </row>
    <row r="485">
      <c r="B485" s="825"/>
      <c r="C485" s="106"/>
      <c r="D485" s="826"/>
      <c r="E485" s="826"/>
      <c r="F485" s="826"/>
      <c r="G485" s="826"/>
      <c r="H485" s="826"/>
      <c r="I485" s="826"/>
      <c r="J485" s="826"/>
      <c r="K485" s="826"/>
      <c r="L485" s="826"/>
      <c r="M485" s="106"/>
      <c r="N485" s="826"/>
      <c r="O485" s="827"/>
      <c r="P485" s="808"/>
      <c r="Q485" s="808"/>
      <c r="R485" s="808"/>
      <c r="S485" s="808"/>
      <c r="T485" s="808"/>
      <c r="U485" s="808"/>
      <c r="V485" s="808"/>
    </row>
    <row r="486">
      <c r="B486" s="825"/>
      <c r="C486" s="106"/>
      <c r="D486" s="826"/>
      <c r="E486" s="826"/>
      <c r="F486" s="826"/>
      <c r="G486" s="826"/>
      <c r="H486" s="826"/>
      <c r="I486" s="826"/>
      <c r="J486" s="826"/>
      <c r="K486" s="826"/>
      <c r="L486" s="826"/>
      <c r="M486" s="106"/>
      <c r="N486" s="826"/>
      <c r="O486" s="827"/>
      <c r="P486" s="808"/>
      <c r="Q486" s="808"/>
      <c r="R486" s="808"/>
      <c r="S486" s="808"/>
      <c r="T486" s="808"/>
      <c r="U486" s="808"/>
      <c r="V486" s="808"/>
    </row>
    <row r="487">
      <c r="B487" s="825"/>
      <c r="C487" s="106"/>
      <c r="D487" s="826"/>
      <c r="E487" s="826"/>
      <c r="F487" s="826"/>
      <c r="G487" s="826"/>
      <c r="H487" s="826"/>
      <c r="I487" s="826"/>
      <c r="J487" s="826"/>
      <c r="K487" s="826"/>
      <c r="L487" s="826"/>
      <c r="M487" s="106"/>
      <c r="N487" s="826"/>
      <c r="O487" s="827"/>
      <c r="P487" s="808"/>
      <c r="Q487" s="808"/>
      <c r="R487" s="808"/>
      <c r="S487" s="808"/>
      <c r="T487" s="808"/>
      <c r="U487" s="808"/>
      <c r="V487" s="808"/>
    </row>
    <row r="488">
      <c r="B488" s="825"/>
      <c r="C488" s="106"/>
      <c r="D488" s="826"/>
      <c r="E488" s="826"/>
      <c r="F488" s="826"/>
      <c r="G488" s="826"/>
      <c r="H488" s="826"/>
      <c r="I488" s="826"/>
      <c r="J488" s="826"/>
      <c r="K488" s="826"/>
      <c r="L488" s="826"/>
      <c r="M488" s="106"/>
      <c r="N488" s="826"/>
      <c r="O488" s="827"/>
      <c r="P488" s="808"/>
      <c r="Q488" s="808"/>
      <c r="R488" s="808"/>
      <c r="S488" s="808"/>
      <c r="T488" s="808"/>
      <c r="U488" s="808"/>
      <c r="V488" s="808"/>
    </row>
    <row r="489">
      <c r="B489" s="825"/>
      <c r="C489" s="106"/>
      <c r="D489" s="826"/>
      <c r="E489" s="826"/>
      <c r="F489" s="826"/>
      <c r="G489" s="826"/>
      <c r="H489" s="826"/>
      <c r="I489" s="826"/>
      <c r="J489" s="826"/>
      <c r="K489" s="826"/>
      <c r="L489" s="826"/>
      <c r="M489" s="106"/>
      <c r="N489" s="826"/>
      <c r="O489" s="827"/>
      <c r="P489" s="808"/>
      <c r="Q489" s="808"/>
      <c r="R489" s="808"/>
      <c r="S489" s="808"/>
      <c r="T489" s="808"/>
      <c r="U489" s="808"/>
      <c r="V489" s="808"/>
    </row>
    <row r="490">
      <c r="B490" s="825"/>
      <c r="C490" s="106"/>
      <c r="D490" s="826"/>
      <c r="E490" s="826"/>
      <c r="F490" s="826"/>
      <c r="G490" s="826"/>
      <c r="H490" s="826"/>
      <c r="I490" s="826"/>
      <c r="J490" s="826"/>
      <c r="K490" s="826"/>
      <c r="L490" s="826"/>
      <c r="M490" s="106"/>
      <c r="N490" s="826"/>
      <c r="O490" s="827"/>
      <c r="P490" s="808"/>
      <c r="Q490" s="808"/>
      <c r="R490" s="808"/>
      <c r="S490" s="808"/>
      <c r="T490" s="808"/>
      <c r="U490" s="808"/>
      <c r="V490" s="808"/>
    </row>
    <row r="491">
      <c r="B491" s="825"/>
      <c r="C491" s="106"/>
      <c r="D491" s="826"/>
      <c r="E491" s="826"/>
      <c r="F491" s="826"/>
      <c r="G491" s="826"/>
      <c r="H491" s="826"/>
      <c r="I491" s="826"/>
      <c r="J491" s="826"/>
      <c r="K491" s="826"/>
      <c r="L491" s="826"/>
      <c r="M491" s="106"/>
      <c r="N491" s="826"/>
      <c r="O491" s="827"/>
      <c r="P491" s="808"/>
      <c r="Q491" s="808"/>
      <c r="R491" s="808"/>
      <c r="S491" s="808"/>
      <c r="T491" s="808"/>
      <c r="U491" s="808"/>
      <c r="V491" s="808"/>
    </row>
    <row r="492">
      <c r="B492" s="825"/>
      <c r="C492" s="106"/>
      <c r="D492" s="826"/>
      <c r="E492" s="826"/>
      <c r="F492" s="826"/>
      <c r="G492" s="826"/>
      <c r="H492" s="826"/>
      <c r="I492" s="826"/>
      <c r="J492" s="826"/>
      <c r="K492" s="826"/>
      <c r="L492" s="826"/>
      <c r="M492" s="106"/>
      <c r="N492" s="826"/>
      <c r="O492" s="827"/>
      <c r="P492" s="808"/>
      <c r="Q492" s="808"/>
      <c r="R492" s="808"/>
      <c r="S492" s="808"/>
      <c r="T492" s="808"/>
      <c r="U492" s="808"/>
      <c r="V492" s="808"/>
    </row>
    <row r="493">
      <c r="B493" s="825"/>
      <c r="C493" s="106"/>
      <c r="D493" s="826"/>
      <c r="E493" s="826"/>
      <c r="F493" s="826"/>
      <c r="G493" s="826"/>
      <c r="H493" s="826"/>
      <c r="I493" s="826"/>
      <c r="J493" s="826"/>
      <c r="K493" s="826"/>
      <c r="L493" s="826"/>
      <c r="M493" s="106"/>
      <c r="N493" s="826"/>
      <c r="O493" s="827"/>
      <c r="P493" s="808"/>
      <c r="Q493" s="808"/>
      <c r="R493" s="808"/>
      <c r="S493" s="808"/>
      <c r="T493" s="808"/>
      <c r="U493" s="808"/>
      <c r="V493" s="808"/>
    </row>
    <row r="494">
      <c r="B494" s="825"/>
      <c r="C494" s="106"/>
      <c r="D494" s="826"/>
      <c r="E494" s="826"/>
      <c r="F494" s="826"/>
      <c r="G494" s="826"/>
      <c r="H494" s="826"/>
      <c r="I494" s="826"/>
      <c r="J494" s="826"/>
      <c r="K494" s="826"/>
      <c r="L494" s="826"/>
      <c r="M494" s="106"/>
      <c r="N494" s="826"/>
      <c r="O494" s="827"/>
      <c r="P494" s="808"/>
      <c r="Q494" s="808"/>
      <c r="R494" s="808"/>
      <c r="S494" s="808"/>
      <c r="T494" s="808"/>
      <c r="U494" s="808"/>
      <c r="V494" s="808"/>
    </row>
    <row r="495">
      <c r="B495" s="825"/>
      <c r="C495" s="106"/>
      <c r="D495" s="826"/>
      <c r="E495" s="826"/>
      <c r="F495" s="826"/>
      <c r="G495" s="826"/>
      <c r="H495" s="826"/>
      <c r="I495" s="826"/>
      <c r="J495" s="826"/>
      <c r="K495" s="826"/>
      <c r="L495" s="826"/>
      <c r="M495" s="106"/>
      <c r="N495" s="826"/>
      <c r="O495" s="827"/>
      <c r="P495" s="808"/>
      <c r="Q495" s="808"/>
      <c r="R495" s="808"/>
      <c r="S495" s="808"/>
      <c r="T495" s="808"/>
      <c r="U495" s="808"/>
      <c r="V495" s="808"/>
    </row>
    <row r="496">
      <c r="B496" s="825"/>
      <c r="C496" s="106"/>
      <c r="D496" s="826"/>
      <c r="E496" s="826"/>
      <c r="F496" s="826"/>
      <c r="G496" s="826"/>
      <c r="H496" s="826"/>
      <c r="I496" s="826"/>
      <c r="J496" s="826"/>
      <c r="K496" s="826"/>
      <c r="L496" s="826"/>
      <c r="M496" s="106"/>
      <c r="N496" s="826"/>
      <c r="O496" s="827"/>
      <c r="P496" s="808"/>
      <c r="Q496" s="808"/>
      <c r="R496" s="808"/>
      <c r="S496" s="808"/>
      <c r="T496" s="808"/>
      <c r="U496" s="808"/>
      <c r="V496" s="808"/>
    </row>
    <row r="497">
      <c r="B497" s="825"/>
      <c r="C497" s="106"/>
      <c r="D497" s="826"/>
      <c r="E497" s="826"/>
      <c r="F497" s="826"/>
      <c r="G497" s="826"/>
      <c r="H497" s="826"/>
      <c r="I497" s="826"/>
      <c r="J497" s="826"/>
      <c r="K497" s="826"/>
      <c r="L497" s="826"/>
      <c r="M497" s="106"/>
      <c r="N497" s="826"/>
      <c r="O497" s="827"/>
      <c r="P497" s="808"/>
      <c r="Q497" s="808"/>
      <c r="R497" s="808"/>
      <c r="S497" s="808"/>
      <c r="T497" s="808"/>
      <c r="U497" s="808"/>
      <c r="V497" s="808"/>
    </row>
    <row r="498">
      <c r="B498" s="825"/>
      <c r="C498" s="106"/>
      <c r="D498" s="826"/>
      <c r="E498" s="826"/>
      <c r="F498" s="826"/>
      <c r="G498" s="826"/>
      <c r="H498" s="826"/>
      <c r="I498" s="826"/>
      <c r="J498" s="826"/>
      <c r="K498" s="826"/>
      <c r="L498" s="826"/>
      <c r="M498" s="106"/>
      <c r="N498" s="826"/>
      <c r="O498" s="827"/>
      <c r="P498" s="808"/>
      <c r="Q498" s="808"/>
      <c r="R498" s="808"/>
      <c r="S498" s="808"/>
      <c r="T498" s="808"/>
      <c r="U498" s="808"/>
      <c r="V498" s="808"/>
    </row>
    <row r="499">
      <c r="B499" s="825"/>
      <c r="C499" s="106"/>
      <c r="D499" s="826"/>
      <c r="E499" s="826"/>
      <c r="F499" s="826"/>
      <c r="G499" s="826"/>
      <c r="H499" s="826"/>
      <c r="I499" s="826"/>
      <c r="J499" s="826"/>
      <c r="K499" s="826"/>
      <c r="L499" s="826"/>
      <c r="M499" s="106"/>
      <c r="N499" s="826"/>
      <c r="O499" s="827"/>
      <c r="P499" s="808"/>
      <c r="Q499" s="808"/>
      <c r="R499" s="808"/>
      <c r="S499" s="808"/>
      <c r="T499" s="808"/>
      <c r="U499" s="808"/>
      <c r="V499" s="808"/>
    </row>
    <row r="500">
      <c r="B500" s="825"/>
      <c r="C500" s="106"/>
      <c r="D500" s="826"/>
      <c r="E500" s="826"/>
      <c r="F500" s="826"/>
      <c r="G500" s="826"/>
      <c r="H500" s="826"/>
      <c r="I500" s="826"/>
      <c r="J500" s="826"/>
      <c r="K500" s="826"/>
      <c r="L500" s="826"/>
      <c r="M500" s="106"/>
      <c r="N500" s="826"/>
      <c r="O500" s="827"/>
      <c r="P500" s="808"/>
      <c r="Q500" s="808"/>
      <c r="R500" s="808"/>
      <c r="S500" s="808"/>
      <c r="T500" s="808"/>
      <c r="U500" s="808"/>
      <c r="V500" s="808"/>
    </row>
    <row r="501">
      <c r="B501" s="825"/>
      <c r="C501" s="106"/>
      <c r="D501" s="826"/>
      <c r="E501" s="826"/>
      <c r="F501" s="826"/>
      <c r="G501" s="826"/>
      <c r="H501" s="826"/>
      <c r="I501" s="826"/>
      <c r="J501" s="826"/>
      <c r="K501" s="826"/>
      <c r="L501" s="826"/>
      <c r="M501" s="106"/>
      <c r="N501" s="826"/>
      <c r="O501" s="827"/>
      <c r="P501" s="808"/>
      <c r="Q501" s="808"/>
      <c r="R501" s="808"/>
      <c r="S501" s="808"/>
      <c r="T501" s="808"/>
      <c r="U501" s="808"/>
      <c r="V501" s="808"/>
    </row>
    <row r="502">
      <c r="B502" s="808"/>
      <c r="D502" s="808"/>
      <c r="E502" s="808"/>
      <c r="F502" s="808"/>
      <c r="G502" s="808"/>
      <c r="H502" s="808"/>
      <c r="I502" s="808"/>
      <c r="J502" s="808"/>
      <c r="K502" s="808"/>
      <c r="L502" s="808"/>
      <c r="N502" s="808"/>
      <c r="O502" s="807"/>
      <c r="P502" s="808"/>
      <c r="Q502" s="808"/>
      <c r="R502" s="808"/>
      <c r="S502" s="808"/>
      <c r="T502" s="808"/>
      <c r="U502" s="808"/>
      <c r="V502" s="808"/>
    </row>
    <row r="503">
      <c r="B503" s="808"/>
      <c r="D503" s="808"/>
      <c r="E503" s="808"/>
      <c r="F503" s="808"/>
      <c r="G503" s="808"/>
      <c r="H503" s="808"/>
      <c r="I503" s="808"/>
      <c r="J503" s="808"/>
      <c r="K503" s="808"/>
      <c r="L503" s="808"/>
      <c r="N503" s="808"/>
      <c r="O503" s="807"/>
      <c r="P503" s="808"/>
      <c r="Q503" s="808"/>
      <c r="R503" s="808"/>
      <c r="S503" s="808"/>
      <c r="T503" s="808"/>
      <c r="U503" s="808"/>
      <c r="V503" s="808"/>
    </row>
    <row r="504">
      <c r="B504" s="808"/>
      <c r="D504" s="808"/>
      <c r="E504" s="808"/>
      <c r="F504" s="808"/>
      <c r="G504" s="808"/>
      <c r="H504" s="808"/>
      <c r="I504" s="808"/>
      <c r="J504" s="808"/>
      <c r="K504" s="808"/>
      <c r="L504" s="808"/>
      <c r="N504" s="808"/>
      <c r="O504" s="807"/>
      <c r="P504" s="808"/>
      <c r="Q504" s="808"/>
      <c r="R504" s="808"/>
      <c r="S504" s="808"/>
      <c r="T504" s="808"/>
      <c r="U504" s="808"/>
      <c r="V504" s="808"/>
    </row>
    <row r="505">
      <c r="B505" s="808"/>
      <c r="D505" s="808"/>
      <c r="E505" s="808"/>
      <c r="F505" s="808"/>
      <c r="G505" s="808"/>
      <c r="H505" s="808"/>
      <c r="I505" s="808"/>
      <c r="J505" s="808"/>
      <c r="K505" s="808"/>
      <c r="L505" s="808"/>
      <c r="N505" s="808"/>
      <c r="O505" s="807"/>
      <c r="P505" s="808"/>
      <c r="Q505" s="808"/>
      <c r="R505" s="808"/>
      <c r="S505" s="808"/>
      <c r="T505" s="808"/>
      <c r="U505" s="808"/>
      <c r="V505" s="808"/>
    </row>
    <row r="506">
      <c r="B506" s="808"/>
      <c r="D506" s="808"/>
      <c r="E506" s="808"/>
      <c r="F506" s="808"/>
      <c r="G506" s="808"/>
      <c r="H506" s="808"/>
      <c r="I506" s="808"/>
      <c r="J506" s="808"/>
      <c r="K506" s="808"/>
      <c r="L506" s="808"/>
      <c r="N506" s="808"/>
      <c r="O506" s="807"/>
      <c r="P506" s="808"/>
      <c r="Q506" s="808"/>
      <c r="R506" s="808"/>
      <c r="S506" s="808"/>
      <c r="T506" s="808"/>
      <c r="U506" s="808"/>
      <c r="V506" s="808"/>
    </row>
    <row r="507">
      <c r="B507" s="808"/>
      <c r="D507" s="808"/>
      <c r="E507" s="808"/>
      <c r="F507" s="808"/>
      <c r="G507" s="808"/>
      <c r="H507" s="808"/>
      <c r="I507" s="808"/>
      <c r="J507" s="808"/>
      <c r="K507" s="808"/>
      <c r="L507" s="808"/>
      <c r="N507" s="808"/>
      <c r="O507" s="807"/>
      <c r="P507" s="808"/>
      <c r="Q507" s="808"/>
      <c r="R507" s="808"/>
      <c r="S507" s="808"/>
      <c r="T507" s="808"/>
      <c r="U507" s="808"/>
      <c r="V507" s="808"/>
    </row>
    <row r="508">
      <c r="B508" s="808"/>
      <c r="D508" s="808"/>
      <c r="E508" s="808"/>
      <c r="F508" s="808"/>
      <c r="G508" s="808"/>
      <c r="H508" s="808"/>
      <c r="I508" s="808"/>
      <c r="J508" s="808"/>
      <c r="K508" s="808"/>
      <c r="L508" s="808"/>
      <c r="N508" s="808"/>
      <c r="O508" s="807"/>
      <c r="P508" s="808"/>
      <c r="Q508" s="808"/>
      <c r="R508" s="808"/>
      <c r="S508" s="808"/>
      <c r="T508" s="808"/>
      <c r="U508" s="808"/>
      <c r="V508" s="808"/>
    </row>
    <row r="509">
      <c r="B509" s="808"/>
      <c r="D509" s="808"/>
      <c r="E509" s="808"/>
      <c r="F509" s="808"/>
      <c r="G509" s="808"/>
      <c r="H509" s="808"/>
      <c r="I509" s="808"/>
      <c r="J509" s="808"/>
      <c r="K509" s="808"/>
      <c r="L509" s="808"/>
      <c r="N509" s="808"/>
      <c r="O509" s="807"/>
      <c r="P509" s="808"/>
      <c r="Q509" s="808"/>
      <c r="R509" s="808"/>
      <c r="S509" s="808"/>
      <c r="T509" s="808"/>
      <c r="U509" s="808"/>
      <c r="V509" s="808"/>
    </row>
    <row r="510">
      <c r="B510" s="808"/>
      <c r="D510" s="808"/>
      <c r="E510" s="808"/>
      <c r="F510" s="808"/>
      <c r="G510" s="808"/>
      <c r="H510" s="808"/>
      <c r="I510" s="808"/>
      <c r="J510" s="808"/>
      <c r="K510" s="808"/>
      <c r="L510" s="808"/>
      <c r="N510" s="808"/>
      <c r="O510" s="807"/>
      <c r="P510" s="808"/>
      <c r="Q510" s="808"/>
      <c r="R510" s="808"/>
      <c r="S510" s="808"/>
      <c r="T510" s="808"/>
      <c r="U510" s="808"/>
      <c r="V510" s="808"/>
    </row>
    <row r="511">
      <c r="B511" s="808"/>
      <c r="D511" s="808"/>
      <c r="E511" s="808"/>
      <c r="F511" s="808"/>
      <c r="G511" s="808"/>
      <c r="H511" s="808"/>
      <c r="I511" s="808"/>
      <c r="J511" s="808"/>
      <c r="K511" s="808"/>
      <c r="L511" s="808"/>
      <c r="N511" s="808"/>
      <c r="O511" s="807"/>
      <c r="P511" s="808"/>
      <c r="Q511" s="808"/>
      <c r="R511" s="808"/>
      <c r="S511" s="808"/>
      <c r="T511" s="808"/>
      <c r="U511" s="808"/>
      <c r="V511" s="808"/>
    </row>
    <row r="512">
      <c r="B512" s="808"/>
      <c r="D512" s="808"/>
      <c r="E512" s="808"/>
      <c r="F512" s="808"/>
      <c r="G512" s="808"/>
      <c r="H512" s="808"/>
      <c r="I512" s="808"/>
      <c r="J512" s="808"/>
      <c r="K512" s="808"/>
      <c r="L512" s="808"/>
      <c r="N512" s="808"/>
      <c r="O512" s="807"/>
      <c r="P512" s="808"/>
      <c r="Q512" s="808"/>
      <c r="R512" s="808"/>
      <c r="S512" s="808"/>
      <c r="T512" s="808"/>
      <c r="U512" s="808"/>
      <c r="V512" s="808"/>
    </row>
    <row r="513">
      <c r="B513" s="808"/>
      <c r="D513" s="808"/>
      <c r="E513" s="808"/>
      <c r="F513" s="808"/>
      <c r="G513" s="808"/>
      <c r="H513" s="808"/>
      <c r="I513" s="808"/>
      <c r="J513" s="808"/>
      <c r="K513" s="808"/>
      <c r="L513" s="808"/>
      <c r="N513" s="808"/>
      <c r="O513" s="807"/>
      <c r="P513" s="808"/>
      <c r="Q513" s="808"/>
      <c r="R513" s="808"/>
      <c r="S513" s="808"/>
      <c r="T513" s="808"/>
      <c r="U513" s="808"/>
      <c r="V513" s="808"/>
    </row>
    <row r="514">
      <c r="B514" s="808"/>
      <c r="D514" s="808"/>
      <c r="E514" s="808"/>
      <c r="F514" s="808"/>
      <c r="G514" s="808"/>
      <c r="H514" s="808"/>
      <c r="I514" s="808"/>
      <c r="J514" s="808"/>
      <c r="K514" s="808"/>
      <c r="L514" s="808"/>
      <c r="N514" s="808"/>
      <c r="O514" s="807"/>
      <c r="P514" s="808"/>
      <c r="Q514" s="808"/>
      <c r="R514" s="808"/>
      <c r="S514" s="808"/>
      <c r="T514" s="808"/>
      <c r="U514" s="808"/>
      <c r="V514" s="808"/>
    </row>
    <row r="515">
      <c r="B515" s="808"/>
      <c r="D515" s="808"/>
      <c r="E515" s="808"/>
      <c r="F515" s="808"/>
      <c r="G515" s="808"/>
      <c r="H515" s="808"/>
      <c r="I515" s="808"/>
      <c r="J515" s="808"/>
      <c r="K515" s="808"/>
      <c r="L515" s="808"/>
      <c r="N515" s="808"/>
      <c r="O515" s="807"/>
      <c r="P515" s="808"/>
      <c r="Q515" s="808"/>
      <c r="R515" s="808"/>
      <c r="S515" s="808"/>
      <c r="T515" s="808"/>
      <c r="U515" s="808"/>
      <c r="V515" s="808"/>
    </row>
    <row r="516">
      <c r="B516" s="808"/>
      <c r="D516" s="808"/>
      <c r="E516" s="808"/>
      <c r="F516" s="808"/>
      <c r="G516" s="808"/>
      <c r="H516" s="808"/>
      <c r="I516" s="808"/>
      <c r="J516" s="808"/>
      <c r="K516" s="808"/>
      <c r="L516" s="808"/>
      <c r="N516" s="808"/>
      <c r="O516" s="807"/>
      <c r="P516" s="808"/>
      <c r="Q516" s="808"/>
      <c r="R516" s="808"/>
      <c r="S516" s="808"/>
      <c r="T516" s="808"/>
      <c r="U516" s="808"/>
      <c r="V516" s="808"/>
    </row>
    <row r="517">
      <c r="B517" s="808"/>
      <c r="D517" s="808"/>
      <c r="E517" s="808"/>
      <c r="F517" s="808"/>
      <c r="G517" s="808"/>
      <c r="H517" s="808"/>
      <c r="I517" s="808"/>
      <c r="J517" s="808"/>
      <c r="K517" s="808"/>
      <c r="L517" s="808"/>
      <c r="N517" s="808"/>
      <c r="O517" s="807"/>
      <c r="P517" s="808"/>
      <c r="Q517" s="808"/>
      <c r="R517" s="808"/>
      <c r="S517" s="808"/>
      <c r="T517" s="808"/>
      <c r="U517" s="808"/>
      <c r="V517" s="808"/>
    </row>
    <row r="518">
      <c r="B518" s="808"/>
      <c r="D518" s="808"/>
      <c r="E518" s="808"/>
      <c r="F518" s="808"/>
      <c r="G518" s="808"/>
      <c r="H518" s="808"/>
      <c r="I518" s="808"/>
      <c r="J518" s="808"/>
      <c r="K518" s="808"/>
      <c r="L518" s="808"/>
      <c r="N518" s="808"/>
      <c r="O518" s="807"/>
      <c r="P518" s="808"/>
      <c r="Q518" s="808"/>
      <c r="R518" s="808"/>
      <c r="S518" s="808"/>
      <c r="T518" s="808"/>
      <c r="U518" s="808"/>
      <c r="V518" s="808"/>
    </row>
    <row r="519">
      <c r="B519" s="808"/>
      <c r="D519" s="808"/>
      <c r="E519" s="808"/>
      <c r="F519" s="808"/>
      <c r="G519" s="808"/>
      <c r="H519" s="808"/>
      <c r="I519" s="808"/>
      <c r="J519" s="808"/>
      <c r="K519" s="808"/>
      <c r="L519" s="808"/>
      <c r="N519" s="808"/>
      <c r="O519" s="807"/>
      <c r="P519" s="808"/>
      <c r="Q519" s="808"/>
      <c r="R519" s="808"/>
      <c r="S519" s="808"/>
      <c r="T519" s="808"/>
      <c r="U519" s="808"/>
      <c r="V519" s="808"/>
    </row>
    <row r="520">
      <c r="B520" s="808"/>
      <c r="D520" s="808"/>
      <c r="E520" s="808"/>
      <c r="F520" s="808"/>
      <c r="G520" s="808"/>
      <c r="H520" s="808"/>
      <c r="I520" s="808"/>
      <c r="J520" s="808"/>
      <c r="K520" s="808"/>
      <c r="L520" s="808"/>
      <c r="N520" s="808"/>
      <c r="O520" s="807"/>
      <c r="P520" s="808"/>
      <c r="Q520" s="808"/>
      <c r="R520" s="808"/>
      <c r="S520" s="808"/>
      <c r="T520" s="808"/>
      <c r="U520" s="808"/>
      <c r="V520" s="808"/>
    </row>
    <row r="521">
      <c r="B521" s="808"/>
      <c r="D521" s="808"/>
      <c r="E521" s="808"/>
      <c r="F521" s="808"/>
      <c r="G521" s="808"/>
      <c r="H521" s="808"/>
      <c r="I521" s="808"/>
      <c r="J521" s="808"/>
      <c r="K521" s="808"/>
      <c r="L521" s="808"/>
      <c r="N521" s="808"/>
      <c r="O521" s="807"/>
      <c r="P521" s="808"/>
      <c r="Q521" s="808"/>
      <c r="R521" s="808"/>
      <c r="S521" s="808"/>
      <c r="T521" s="808"/>
      <c r="U521" s="808"/>
      <c r="V521" s="808"/>
    </row>
    <row r="522">
      <c r="B522" s="808"/>
      <c r="D522" s="808"/>
      <c r="E522" s="808"/>
      <c r="F522" s="808"/>
      <c r="G522" s="808"/>
      <c r="H522" s="808"/>
      <c r="I522" s="808"/>
      <c r="J522" s="808"/>
      <c r="K522" s="808"/>
      <c r="L522" s="808"/>
      <c r="N522" s="808"/>
      <c r="O522" s="807"/>
      <c r="P522" s="808"/>
      <c r="Q522" s="808"/>
      <c r="R522" s="808"/>
      <c r="S522" s="808"/>
      <c r="T522" s="808"/>
      <c r="U522" s="808"/>
      <c r="V522" s="808"/>
    </row>
    <row r="523">
      <c r="B523" s="808"/>
      <c r="D523" s="808"/>
      <c r="E523" s="808"/>
      <c r="F523" s="808"/>
      <c r="G523" s="808"/>
      <c r="H523" s="808"/>
      <c r="I523" s="808"/>
      <c r="J523" s="808"/>
      <c r="K523" s="808"/>
      <c r="L523" s="808"/>
      <c r="N523" s="808"/>
      <c r="O523" s="807"/>
      <c r="P523" s="808"/>
      <c r="Q523" s="808"/>
      <c r="R523" s="808"/>
      <c r="S523" s="808"/>
      <c r="T523" s="808"/>
      <c r="U523" s="808"/>
      <c r="V523" s="808"/>
    </row>
    <row r="524">
      <c r="B524" s="808"/>
      <c r="D524" s="808"/>
      <c r="E524" s="808"/>
      <c r="F524" s="808"/>
      <c r="G524" s="808"/>
      <c r="H524" s="808"/>
      <c r="I524" s="808"/>
      <c r="J524" s="808"/>
      <c r="K524" s="808"/>
      <c r="L524" s="808"/>
      <c r="N524" s="808"/>
      <c r="O524" s="807"/>
      <c r="P524" s="808"/>
      <c r="Q524" s="808"/>
      <c r="R524" s="808"/>
      <c r="S524" s="808"/>
      <c r="T524" s="808"/>
      <c r="U524" s="808"/>
      <c r="V524" s="808"/>
    </row>
    <row r="525">
      <c r="B525" s="808"/>
      <c r="D525" s="808"/>
      <c r="E525" s="808"/>
      <c r="F525" s="808"/>
      <c r="G525" s="808"/>
      <c r="H525" s="808"/>
      <c r="I525" s="808"/>
      <c r="J525" s="808"/>
      <c r="K525" s="808"/>
      <c r="L525" s="808"/>
      <c r="N525" s="808"/>
      <c r="O525" s="807"/>
      <c r="P525" s="808"/>
      <c r="Q525" s="808"/>
      <c r="R525" s="808"/>
      <c r="S525" s="808"/>
      <c r="T525" s="808"/>
      <c r="U525" s="808"/>
      <c r="V525" s="808"/>
    </row>
    <row r="526">
      <c r="B526" s="808"/>
      <c r="D526" s="808"/>
      <c r="E526" s="808"/>
      <c r="F526" s="808"/>
      <c r="G526" s="808"/>
      <c r="H526" s="808"/>
      <c r="I526" s="808"/>
      <c r="J526" s="808"/>
      <c r="K526" s="808"/>
      <c r="L526" s="808"/>
      <c r="N526" s="808"/>
      <c r="O526" s="807"/>
      <c r="P526" s="808"/>
      <c r="Q526" s="808"/>
      <c r="R526" s="808"/>
      <c r="S526" s="808"/>
      <c r="T526" s="808"/>
      <c r="U526" s="808"/>
      <c r="V526" s="808"/>
    </row>
    <row r="527">
      <c r="B527" s="808"/>
      <c r="D527" s="808"/>
      <c r="E527" s="808"/>
      <c r="F527" s="808"/>
      <c r="G527" s="808"/>
      <c r="H527" s="808"/>
      <c r="I527" s="808"/>
      <c r="J527" s="808"/>
      <c r="K527" s="808"/>
      <c r="L527" s="808"/>
      <c r="N527" s="808"/>
      <c r="O527" s="807"/>
      <c r="P527" s="808"/>
      <c r="Q527" s="808"/>
      <c r="R527" s="808"/>
      <c r="S527" s="808"/>
      <c r="T527" s="808"/>
      <c r="U527" s="808"/>
      <c r="V527" s="808"/>
    </row>
    <row r="528">
      <c r="B528" s="808"/>
      <c r="D528" s="808"/>
      <c r="E528" s="808"/>
      <c r="F528" s="808"/>
      <c r="G528" s="808"/>
      <c r="H528" s="808"/>
      <c r="I528" s="808"/>
      <c r="J528" s="808"/>
      <c r="K528" s="808"/>
      <c r="L528" s="808"/>
      <c r="N528" s="808"/>
      <c r="O528" s="807"/>
      <c r="P528" s="808"/>
      <c r="Q528" s="808"/>
      <c r="R528" s="808"/>
      <c r="S528" s="808"/>
      <c r="T528" s="808"/>
      <c r="U528" s="808"/>
      <c r="V528" s="808"/>
    </row>
    <row r="529">
      <c r="B529" s="808"/>
      <c r="D529" s="808"/>
      <c r="E529" s="808"/>
      <c r="F529" s="808"/>
      <c r="G529" s="808"/>
      <c r="H529" s="808"/>
      <c r="I529" s="808"/>
      <c r="J529" s="808"/>
      <c r="K529" s="808"/>
      <c r="L529" s="808"/>
      <c r="N529" s="808"/>
      <c r="O529" s="807"/>
      <c r="P529" s="808"/>
      <c r="Q529" s="808"/>
      <c r="R529" s="808"/>
      <c r="S529" s="808"/>
      <c r="T529" s="808"/>
      <c r="U529" s="808"/>
      <c r="V529" s="808"/>
    </row>
    <row r="530">
      <c r="B530" s="808"/>
      <c r="D530" s="808"/>
      <c r="E530" s="808"/>
      <c r="F530" s="808"/>
      <c r="G530" s="808"/>
      <c r="H530" s="808"/>
      <c r="I530" s="808"/>
      <c r="J530" s="808"/>
      <c r="K530" s="808"/>
      <c r="L530" s="808"/>
      <c r="N530" s="808"/>
      <c r="O530" s="807"/>
      <c r="P530" s="808"/>
      <c r="Q530" s="808"/>
      <c r="R530" s="808"/>
      <c r="S530" s="808"/>
      <c r="T530" s="808"/>
      <c r="U530" s="808"/>
      <c r="V530" s="808"/>
    </row>
    <row r="531">
      <c r="B531" s="808"/>
      <c r="D531" s="808"/>
      <c r="E531" s="808"/>
      <c r="F531" s="808"/>
      <c r="G531" s="808"/>
      <c r="H531" s="808"/>
      <c r="I531" s="808"/>
      <c r="J531" s="808"/>
      <c r="K531" s="808"/>
      <c r="L531" s="808"/>
      <c r="N531" s="808"/>
      <c r="O531" s="807"/>
      <c r="P531" s="808"/>
      <c r="Q531" s="808"/>
      <c r="R531" s="808"/>
      <c r="S531" s="808"/>
      <c r="T531" s="808"/>
      <c r="U531" s="808"/>
      <c r="V531" s="808"/>
    </row>
    <row r="532">
      <c r="B532" s="808"/>
      <c r="D532" s="808"/>
      <c r="E532" s="808"/>
      <c r="F532" s="808"/>
      <c r="G532" s="808"/>
      <c r="H532" s="808"/>
      <c r="I532" s="808"/>
      <c r="J532" s="808"/>
      <c r="K532" s="808"/>
      <c r="L532" s="808"/>
      <c r="N532" s="808"/>
      <c r="O532" s="807"/>
      <c r="P532" s="808"/>
      <c r="Q532" s="808"/>
      <c r="R532" s="808"/>
      <c r="S532" s="808"/>
      <c r="T532" s="808"/>
      <c r="U532" s="808"/>
      <c r="V532" s="808"/>
    </row>
    <row r="533">
      <c r="B533" s="808"/>
      <c r="D533" s="808"/>
      <c r="E533" s="808"/>
      <c r="F533" s="808"/>
      <c r="G533" s="808"/>
      <c r="H533" s="808"/>
      <c r="I533" s="808"/>
      <c r="J533" s="808"/>
      <c r="K533" s="808"/>
      <c r="L533" s="808"/>
      <c r="N533" s="808"/>
      <c r="O533" s="807"/>
      <c r="P533" s="808"/>
      <c r="Q533" s="808"/>
      <c r="R533" s="808"/>
      <c r="S533" s="808"/>
      <c r="T533" s="808"/>
      <c r="U533" s="808"/>
      <c r="V533" s="808"/>
    </row>
    <row r="534">
      <c r="B534" s="808"/>
      <c r="D534" s="808"/>
      <c r="E534" s="808"/>
      <c r="F534" s="808"/>
      <c r="G534" s="808"/>
      <c r="H534" s="808"/>
      <c r="I534" s="808"/>
      <c r="J534" s="808"/>
      <c r="K534" s="808"/>
      <c r="L534" s="808"/>
      <c r="N534" s="808"/>
      <c r="O534" s="807"/>
      <c r="P534" s="808"/>
      <c r="Q534" s="808"/>
      <c r="R534" s="808"/>
      <c r="S534" s="808"/>
      <c r="T534" s="808"/>
      <c r="U534" s="808"/>
      <c r="V534" s="808"/>
    </row>
    <row r="535">
      <c r="B535" s="808"/>
      <c r="D535" s="808"/>
      <c r="E535" s="808"/>
      <c r="F535" s="808"/>
      <c r="G535" s="808"/>
      <c r="H535" s="808"/>
      <c r="I535" s="808"/>
      <c r="J535" s="808"/>
      <c r="K535" s="808"/>
      <c r="L535" s="808"/>
      <c r="N535" s="808"/>
      <c r="O535" s="807"/>
      <c r="P535" s="808"/>
      <c r="Q535" s="808"/>
      <c r="R535" s="808"/>
      <c r="S535" s="808"/>
      <c r="T535" s="808"/>
      <c r="U535" s="808"/>
      <c r="V535" s="808"/>
    </row>
    <row r="536">
      <c r="B536" s="808"/>
      <c r="D536" s="808"/>
      <c r="E536" s="808"/>
      <c r="F536" s="808"/>
      <c r="G536" s="808"/>
      <c r="H536" s="808"/>
      <c r="I536" s="808"/>
      <c r="J536" s="808"/>
      <c r="K536" s="808"/>
      <c r="L536" s="808"/>
      <c r="N536" s="808"/>
      <c r="O536" s="807"/>
      <c r="P536" s="808"/>
      <c r="Q536" s="808"/>
      <c r="R536" s="808"/>
      <c r="S536" s="808"/>
      <c r="T536" s="808"/>
      <c r="U536" s="808"/>
      <c r="V536" s="808"/>
    </row>
    <row r="537">
      <c r="B537" s="808"/>
      <c r="D537" s="808"/>
      <c r="E537" s="808"/>
      <c r="F537" s="808"/>
      <c r="G537" s="808"/>
      <c r="H537" s="808"/>
      <c r="I537" s="808"/>
      <c r="J537" s="808"/>
      <c r="K537" s="808"/>
      <c r="L537" s="808"/>
      <c r="N537" s="808"/>
      <c r="O537" s="807"/>
      <c r="P537" s="808"/>
      <c r="Q537" s="808"/>
      <c r="R537" s="808"/>
      <c r="S537" s="808"/>
      <c r="T537" s="808"/>
      <c r="U537" s="808"/>
      <c r="V537" s="808"/>
    </row>
    <row r="538">
      <c r="B538" s="808"/>
      <c r="D538" s="808"/>
      <c r="E538" s="808"/>
      <c r="F538" s="808"/>
      <c r="G538" s="808"/>
      <c r="H538" s="808"/>
      <c r="I538" s="808"/>
      <c r="J538" s="808"/>
      <c r="K538" s="808"/>
      <c r="L538" s="808"/>
      <c r="N538" s="808"/>
      <c r="O538" s="807"/>
      <c r="P538" s="808"/>
      <c r="Q538" s="808"/>
      <c r="R538" s="808"/>
      <c r="S538" s="808"/>
      <c r="T538" s="808"/>
      <c r="U538" s="808"/>
      <c r="V538" s="808"/>
    </row>
    <row r="539">
      <c r="B539" s="808"/>
      <c r="D539" s="808"/>
      <c r="E539" s="808"/>
      <c r="F539" s="808"/>
      <c r="G539" s="808"/>
      <c r="H539" s="808"/>
      <c r="I539" s="808"/>
      <c r="J539" s="808"/>
      <c r="K539" s="808"/>
      <c r="L539" s="808"/>
      <c r="N539" s="808"/>
      <c r="O539" s="807"/>
      <c r="P539" s="808"/>
      <c r="Q539" s="808"/>
      <c r="R539" s="808"/>
      <c r="S539" s="808"/>
      <c r="T539" s="808"/>
      <c r="U539" s="808"/>
      <c r="V539" s="808"/>
    </row>
    <row r="540">
      <c r="B540" s="808"/>
      <c r="D540" s="808"/>
      <c r="E540" s="808"/>
      <c r="F540" s="808"/>
      <c r="G540" s="808"/>
      <c r="H540" s="808"/>
      <c r="I540" s="808"/>
      <c r="J540" s="808"/>
      <c r="K540" s="808"/>
      <c r="L540" s="808"/>
      <c r="N540" s="808"/>
      <c r="O540" s="807"/>
      <c r="P540" s="808"/>
      <c r="Q540" s="808"/>
      <c r="R540" s="808"/>
      <c r="S540" s="808"/>
      <c r="T540" s="808"/>
      <c r="U540" s="808"/>
      <c r="V540" s="808"/>
    </row>
    <row r="541">
      <c r="B541" s="808"/>
      <c r="D541" s="808"/>
      <c r="E541" s="808"/>
      <c r="F541" s="808"/>
      <c r="G541" s="808"/>
      <c r="H541" s="808"/>
      <c r="I541" s="808"/>
      <c r="J541" s="808"/>
      <c r="K541" s="808"/>
      <c r="L541" s="808"/>
      <c r="N541" s="808"/>
      <c r="O541" s="807"/>
      <c r="P541" s="808"/>
      <c r="Q541" s="808"/>
      <c r="R541" s="808"/>
      <c r="S541" s="808"/>
      <c r="T541" s="808"/>
      <c r="U541" s="808"/>
      <c r="V541" s="808"/>
    </row>
    <row r="542">
      <c r="B542" s="808"/>
      <c r="D542" s="808"/>
      <c r="E542" s="808"/>
      <c r="F542" s="808"/>
      <c r="G542" s="808"/>
      <c r="H542" s="808"/>
      <c r="I542" s="808"/>
      <c r="J542" s="808"/>
      <c r="K542" s="808"/>
      <c r="L542" s="808"/>
      <c r="N542" s="808"/>
      <c r="O542" s="807"/>
      <c r="P542" s="808"/>
      <c r="Q542" s="808"/>
      <c r="R542" s="808"/>
      <c r="S542" s="808"/>
      <c r="T542" s="808"/>
      <c r="U542" s="808"/>
      <c r="V542" s="808"/>
    </row>
    <row r="543">
      <c r="B543" s="808"/>
      <c r="D543" s="808"/>
      <c r="E543" s="808"/>
      <c r="F543" s="808"/>
      <c r="G543" s="808"/>
      <c r="H543" s="808"/>
      <c r="I543" s="808"/>
      <c r="J543" s="808"/>
      <c r="K543" s="808"/>
      <c r="L543" s="808"/>
      <c r="N543" s="808"/>
      <c r="O543" s="807"/>
      <c r="P543" s="808"/>
      <c r="Q543" s="808"/>
      <c r="R543" s="808"/>
      <c r="S543" s="808"/>
      <c r="T543" s="808"/>
      <c r="U543" s="808"/>
      <c r="V543" s="808"/>
    </row>
    <row r="544">
      <c r="B544" s="808"/>
      <c r="D544" s="808"/>
      <c r="E544" s="808"/>
      <c r="F544" s="808"/>
      <c r="G544" s="808"/>
      <c r="H544" s="808"/>
      <c r="I544" s="808"/>
      <c r="J544" s="808"/>
      <c r="K544" s="808"/>
      <c r="L544" s="808"/>
      <c r="N544" s="808"/>
      <c r="O544" s="807"/>
      <c r="P544" s="808"/>
      <c r="Q544" s="808"/>
      <c r="R544" s="808"/>
      <c r="S544" s="808"/>
      <c r="T544" s="808"/>
      <c r="U544" s="808"/>
      <c r="V544" s="808"/>
    </row>
    <row r="545">
      <c r="B545" s="808"/>
      <c r="D545" s="808"/>
      <c r="E545" s="808"/>
      <c r="F545" s="808"/>
      <c r="G545" s="808"/>
      <c r="H545" s="808"/>
      <c r="I545" s="808"/>
      <c r="J545" s="808"/>
      <c r="K545" s="808"/>
      <c r="L545" s="808"/>
      <c r="M545" s="807"/>
      <c r="N545" s="808"/>
      <c r="O545" s="807"/>
      <c r="P545" s="808"/>
      <c r="Q545" s="808"/>
      <c r="R545" s="808"/>
      <c r="S545" s="808"/>
      <c r="T545" s="808"/>
      <c r="U545" s="808"/>
      <c r="V545" s="808"/>
    </row>
    <row r="546">
      <c r="B546" s="808"/>
      <c r="D546" s="808"/>
      <c r="E546" s="808"/>
      <c r="F546" s="808"/>
      <c r="G546" s="808"/>
      <c r="H546" s="808"/>
      <c r="I546" s="808"/>
      <c r="J546" s="808"/>
      <c r="K546" s="808"/>
      <c r="L546" s="808"/>
      <c r="M546" s="807"/>
      <c r="N546" s="808"/>
      <c r="O546" s="807"/>
      <c r="P546" s="808"/>
      <c r="Q546" s="808"/>
      <c r="R546" s="808"/>
      <c r="S546" s="808"/>
      <c r="T546" s="808"/>
      <c r="U546" s="808"/>
      <c r="V546" s="808"/>
    </row>
    <row r="547">
      <c r="B547" s="808"/>
      <c r="D547" s="808"/>
      <c r="E547" s="808"/>
      <c r="F547" s="808"/>
      <c r="G547" s="808"/>
      <c r="H547" s="808"/>
      <c r="I547" s="808"/>
      <c r="J547" s="808"/>
      <c r="K547" s="808"/>
      <c r="L547" s="808"/>
      <c r="M547" s="807"/>
      <c r="N547" s="808"/>
      <c r="O547" s="807"/>
      <c r="P547" s="808"/>
      <c r="Q547" s="808"/>
      <c r="R547" s="808"/>
      <c r="S547" s="808"/>
      <c r="T547" s="808"/>
      <c r="U547" s="808"/>
      <c r="V547" s="808"/>
    </row>
    <row r="548">
      <c r="B548" s="808"/>
      <c r="D548" s="808"/>
      <c r="E548" s="808"/>
      <c r="F548" s="808"/>
      <c r="G548" s="808"/>
      <c r="H548" s="808"/>
      <c r="I548" s="808"/>
      <c r="J548" s="808"/>
      <c r="K548" s="808"/>
      <c r="L548" s="808"/>
      <c r="M548" s="807"/>
      <c r="N548" s="808"/>
      <c r="O548" s="807"/>
      <c r="P548" s="808"/>
      <c r="Q548" s="808"/>
      <c r="R548" s="808"/>
      <c r="S548" s="808"/>
      <c r="T548" s="808"/>
      <c r="U548" s="808"/>
      <c r="V548" s="808"/>
    </row>
    <row r="549">
      <c r="B549" s="808"/>
      <c r="D549" s="808"/>
      <c r="E549" s="808"/>
      <c r="F549" s="808"/>
      <c r="G549" s="808"/>
      <c r="H549" s="808"/>
      <c r="I549" s="808"/>
      <c r="J549" s="808"/>
      <c r="K549" s="808"/>
      <c r="L549" s="808"/>
      <c r="M549" s="807"/>
      <c r="N549" s="808"/>
      <c r="O549" s="807"/>
      <c r="P549" s="808"/>
      <c r="Q549" s="808"/>
      <c r="R549" s="808"/>
      <c r="S549" s="808"/>
      <c r="T549" s="808"/>
      <c r="U549" s="808"/>
      <c r="V549" s="808"/>
    </row>
    <row r="550">
      <c r="B550" s="808"/>
      <c r="D550" s="808"/>
      <c r="E550" s="808"/>
      <c r="F550" s="808"/>
      <c r="G550" s="808"/>
      <c r="H550" s="808"/>
      <c r="I550" s="808"/>
      <c r="J550" s="808"/>
      <c r="K550" s="808"/>
      <c r="L550" s="808"/>
      <c r="M550" s="807"/>
      <c r="N550" s="808"/>
      <c r="O550" s="807"/>
      <c r="P550" s="808"/>
      <c r="Q550" s="808"/>
      <c r="R550" s="808"/>
      <c r="S550" s="808"/>
      <c r="T550" s="808"/>
      <c r="U550" s="808"/>
      <c r="V550" s="808"/>
    </row>
    <row r="551">
      <c r="B551" s="808"/>
      <c r="D551" s="808"/>
      <c r="E551" s="808"/>
      <c r="F551" s="808"/>
      <c r="G551" s="808"/>
      <c r="H551" s="808"/>
      <c r="I551" s="808"/>
      <c r="J551" s="808"/>
      <c r="K551" s="808"/>
      <c r="L551" s="808"/>
      <c r="M551" s="808"/>
      <c r="N551" s="808"/>
      <c r="O551" s="807"/>
      <c r="P551" s="808"/>
      <c r="Q551" s="808"/>
      <c r="R551" s="808"/>
      <c r="S551" s="808"/>
      <c r="T551" s="808"/>
      <c r="U551" s="808"/>
      <c r="V551" s="808"/>
      <c r="W551" s="808"/>
      <c r="X551" s="808"/>
      <c r="Y551" s="808"/>
      <c r="Z551" s="808"/>
    </row>
    <row r="552">
      <c r="B552" s="808"/>
      <c r="D552" s="808"/>
      <c r="E552" s="808"/>
      <c r="F552" s="808"/>
      <c r="G552" s="808"/>
      <c r="H552" s="808"/>
      <c r="I552" s="808"/>
      <c r="J552" s="808"/>
      <c r="K552" s="808"/>
      <c r="L552" s="808"/>
      <c r="M552" s="807"/>
      <c r="N552" s="808"/>
      <c r="O552" s="807"/>
      <c r="P552" s="808"/>
      <c r="Q552" s="808"/>
      <c r="R552" s="808"/>
      <c r="S552" s="808"/>
      <c r="T552" s="808"/>
      <c r="U552" s="808"/>
      <c r="V552" s="808"/>
    </row>
    <row r="553">
      <c r="B553" s="808"/>
      <c r="D553" s="808"/>
      <c r="E553" s="808"/>
      <c r="F553" s="808"/>
      <c r="G553" s="808"/>
      <c r="H553" s="808"/>
      <c r="I553" s="808"/>
      <c r="J553" s="808"/>
      <c r="K553" s="808"/>
      <c r="L553" s="808"/>
      <c r="M553" s="807"/>
      <c r="N553" s="808"/>
      <c r="O553" s="807"/>
      <c r="P553" s="808"/>
      <c r="Q553" s="808"/>
      <c r="R553" s="808"/>
      <c r="S553" s="808"/>
      <c r="T553" s="808"/>
      <c r="U553" s="808"/>
      <c r="V553" s="808"/>
    </row>
    <row r="554">
      <c r="B554" s="808"/>
      <c r="D554" s="808"/>
      <c r="E554" s="808"/>
      <c r="F554" s="808"/>
      <c r="G554" s="808"/>
      <c r="H554" s="808"/>
      <c r="I554" s="808"/>
      <c r="J554" s="808"/>
      <c r="K554" s="808"/>
      <c r="L554" s="808"/>
      <c r="M554" s="807"/>
      <c r="N554" s="808"/>
      <c r="O554" s="807"/>
      <c r="P554" s="808"/>
      <c r="Q554" s="808"/>
      <c r="R554" s="808"/>
      <c r="S554" s="808"/>
      <c r="T554" s="808"/>
      <c r="U554" s="808"/>
      <c r="V554" s="808"/>
    </row>
    <row r="555">
      <c r="B555" s="808"/>
      <c r="D555" s="808"/>
      <c r="E555" s="808"/>
      <c r="F555" s="808"/>
      <c r="G555" s="808"/>
      <c r="H555" s="808"/>
      <c r="I555" s="808"/>
      <c r="J555" s="808"/>
      <c r="K555" s="808"/>
      <c r="L555" s="808"/>
      <c r="M555" s="807"/>
      <c r="N555" s="808"/>
      <c r="O555" s="807"/>
      <c r="P555" s="808"/>
      <c r="Q555" s="808"/>
      <c r="R555" s="808"/>
      <c r="S555" s="808"/>
      <c r="T555" s="808"/>
      <c r="U555" s="808"/>
      <c r="V555" s="808"/>
    </row>
    <row r="556">
      <c r="B556" s="808"/>
      <c r="D556" s="808"/>
      <c r="E556" s="808"/>
      <c r="F556" s="808"/>
      <c r="G556" s="808"/>
      <c r="H556" s="808"/>
      <c r="I556" s="808"/>
      <c r="J556" s="808"/>
      <c r="K556" s="808"/>
      <c r="L556" s="808"/>
      <c r="M556" s="807"/>
      <c r="N556" s="808"/>
      <c r="O556" s="807"/>
      <c r="P556" s="808"/>
      <c r="Q556" s="808"/>
      <c r="R556" s="808"/>
      <c r="S556" s="808"/>
      <c r="T556" s="808"/>
      <c r="U556" s="808"/>
      <c r="V556" s="808"/>
    </row>
    <row r="557">
      <c r="B557" s="808"/>
      <c r="D557" s="808"/>
      <c r="E557" s="808"/>
      <c r="F557" s="808"/>
      <c r="G557" s="808"/>
      <c r="H557" s="808"/>
      <c r="I557" s="808"/>
      <c r="J557" s="808"/>
      <c r="K557" s="808"/>
      <c r="L557" s="808"/>
      <c r="M557" s="807"/>
      <c r="N557" s="808"/>
      <c r="O557" s="807"/>
      <c r="P557" s="808"/>
      <c r="Q557" s="808"/>
      <c r="R557" s="808"/>
      <c r="S557" s="808"/>
      <c r="T557" s="808"/>
      <c r="U557" s="808"/>
      <c r="V557" s="808"/>
    </row>
    <row r="558">
      <c r="B558" s="808"/>
      <c r="D558" s="808"/>
      <c r="E558" s="808"/>
      <c r="F558" s="808"/>
      <c r="G558" s="808"/>
      <c r="H558" s="808"/>
      <c r="I558" s="808"/>
      <c r="J558" s="808"/>
      <c r="K558" s="808"/>
      <c r="L558" s="808"/>
      <c r="M558" s="807"/>
      <c r="N558" s="808"/>
      <c r="O558" s="807"/>
      <c r="P558" s="808"/>
      <c r="Q558" s="808"/>
      <c r="R558" s="808"/>
      <c r="S558" s="808"/>
      <c r="T558" s="808"/>
      <c r="U558" s="808"/>
      <c r="V558" s="808"/>
    </row>
    <row r="559">
      <c r="B559" s="808"/>
      <c r="D559" s="808"/>
      <c r="E559" s="808"/>
      <c r="F559" s="808"/>
      <c r="G559" s="808"/>
      <c r="H559" s="808"/>
      <c r="I559" s="808"/>
      <c r="J559" s="808"/>
      <c r="K559" s="808"/>
      <c r="L559" s="808"/>
      <c r="M559" s="807"/>
      <c r="N559" s="808"/>
      <c r="O559" s="807"/>
      <c r="P559" s="808"/>
      <c r="Q559" s="808"/>
      <c r="R559" s="808"/>
      <c r="S559" s="808"/>
      <c r="T559" s="808"/>
      <c r="U559" s="808"/>
      <c r="V559" s="808"/>
    </row>
    <row r="560">
      <c r="B560" s="808"/>
      <c r="D560" s="808"/>
      <c r="E560" s="808"/>
      <c r="F560" s="808"/>
      <c r="G560" s="808"/>
      <c r="H560" s="808"/>
      <c r="I560" s="808"/>
      <c r="J560" s="808"/>
      <c r="K560" s="808"/>
      <c r="L560" s="808"/>
      <c r="M560" s="807"/>
      <c r="N560" s="808"/>
      <c r="O560" s="807"/>
      <c r="P560" s="808"/>
      <c r="Q560" s="808"/>
      <c r="R560" s="808"/>
      <c r="S560" s="808"/>
      <c r="T560" s="808"/>
      <c r="U560" s="808"/>
      <c r="V560" s="808"/>
    </row>
    <row r="561">
      <c r="B561" s="808"/>
      <c r="D561" s="808"/>
      <c r="E561" s="808"/>
      <c r="F561" s="808"/>
      <c r="G561" s="808"/>
      <c r="H561" s="808"/>
      <c r="I561" s="808"/>
      <c r="J561" s="808"/>
      <c r="K561" s="808"/>
      <c r="L561" s="808"/>
      <c r="M561" s="807"/>
      <c r="N561" s="808"/>
      <c r="O561" s="807"/>
      <c r="P561" s="808"/>
      <c r="Q561" s="808"/>
      <c r="R561" s="808"/>
      <c r="S561" s="808"/>
      <c r="T561" s="808"/>
      <c r="U561" s="808"/>
      <c r="V561" s="808"/>
    </row>
    <row r="562">
      <c r="B562" s="808"/>
      <c r="D562" s="808"/>
      <c r="E562" s="808"/>
      <c r="F562" s="808"/>
      <c r="G562" s="808"/>
      <c r="H562" s="808"/>
      <c r="I562" s="808"/>
      <c r="J562" s="808"/>
      <c r="K562" s="808"/>
      <c r="L562" s="808"/>
      <c r="M562" s="807"/>
      <c r="N562" s="808"/>
      <c r="O562" s="807"/>
      <c r="P562" s="808"/>
      <c r="Q562" s="808"/>
      <c r="R562" s="808"/>
      <c r="S562" s="808"/>
      <c r="T562" s="808"/>
      <c r="U562" s="808"/>
      <c r="V562" s="808"/>
    </row>
    <row r="563">
      <c r="B563" s="808"/>
      <c r="D563" s="808"/>
      <c r="E563" s="808"/>
      <c r="F563" s="808"/>
      <c r="G563" s="808"/>
      <c r="H563" s="808"/>
      <c r="I563" s="808"/>
      <c r="J563" s="808"/>
      <c r="K563" s="808"/>
      <c r="L563" s="808"/>
      <c r="M563" s="807"/>
      <c r="N563" s="808"/>
      <c r="O563" s="807"/>
      <c r="P563" s="808"/>
      <c r="Q563" s="808"/>
      <c r="R563" s="808"/>
      <c r="S563" s="808"/>
      <c r="T563" s="808"/>
      <c r="U563" s="808"/>
      <c r="V563" s="808"/>
    </row>
    <row r="564">
      <c r="B564" s="808"/>
      <c r="D564" s="808"/>
      <c r="E564" s="808"/>
      <c r="F564" s="808"/>
      <c r="G564" s="808"/>
      <c r="H564" s="808"/>
      <c r="I564" s="808"/>
      <c r="J564" s="808"/>
      <c r="K564" s="808"/>
      <c r="L564" s="808"/>
      <c r="M564" s="807"/>
      <c r="N564" s="808"/>
      <c r="O564" s="807"/>
      <c r="P564" s="808"/>
      <c r="Q564" s="808"/>
      <c r="R564" s="808"/>
      <c r="S564" s="808"/>
      <c r="T564" s="808"/>
      <c r="U564" s="808"/>
      <c r="V564" s="808"/>
    </row>
    <row r="565">
      <c r="B565" s="808"/>
      <c r="D565" s="808"/>
      <c r="E565" s="808"/>
      <c r="F565" s="808"/>
      <c r="G565" s="808"/>
      <c r="H565" s="808"/>
      <c r="I565" s="808"/>
      <c r="J565" s="808"/>
      <c r="K565" s="808"/>
      <c r="L565" s="808"/>
      <c r="M565" s="807"/>
      <c r="N565" s="808"/>
      <c r="O565" s="807"/>
      <c r="P565" s="808"/>
      <c r="Q565" s="808"/>
      <c r="R565" s="808"/>
      <c r="S565" s="808"/>
      <c r="T565" s="808"/>
      <c r="U565" s="808"/>
      <c r="V565" s="808"/>
    </row>
    <row r="566">
      <c r="B566" s="808"/>
      <c r="D566" s="808"/>
      <c r="E566" s="808"/>
      <c r="F566" s="808"/>
      <c r="G566" s="808"/>
      <c r="H566" s="808"/>
      <c r="I566" s="808"/>
      <c r="J566" s="808"/>
      <c r="K566" s="808"/>
      <c r="L566" s="808"/>
      <c r="M566" s="807"/>
      <c r="N566" s="808"/>
      <c r="O566" s="807"/>
      <c r="P566" s="808"/>
      <c r="Q566" s="808"/>
      <c r="R566" s="808"/>
      <c r="S566" s="808"/>
      <c r="T566" s="808"/>
      <c r="U566" s="808"/>
      <c r="V566" s="808"/>
    </row>
    <row r="567">
      <c r="B567" s="808"/>
      <c r="D567" s="808"/>
      <c r="E567" s="808"/>
      <c r="F567" s="808"/>
      <c r="G567" s="808"/>
      <c r="H567" s="808"/>
      <c r="I567" s="808"/>
      <c r="J567" s="808"/>
      <c r="K567" s="808"/>
      <c r="L567" s="808"/>
      <c r="M567" s="807"/>
      <c r="N567" s="808"/>
      <c r="O567" s="807"/>
      <c r="P567" s="808"/>
      <c r="Q567" s="808"/>
      <c r="R567" s="808"/>
      <c r="S567" s="808"/>
      <c r="T567" s="808"/>
      <c r="U567" s="808"/>
      <c r="V567" s="808"/>
    </row>
    <row r="568">
      <c r="B568" s="808"/>
      <c r="D568" s="808"/>
      <c r="E568" s="808"/>
      <c r="F568" s="808"/>
      <c r="G568" s="808"/>
      <c r="H568" s="808"/>
      <c r="I568" s="808"/>
      <c r="J568" s="808"/>
      <c r="K568" s="808"/>
      <c r="L568" s="808"/>
      <c r="M568" s="807"/>
      <c r="N568" s="808"/>
      <c r="O568" s="807"/>
      <c r="P568" s="808"/>
      <c r="Q568" s="808"/>
      <c r="R568" s="808"/>
      <c r="S568" s="808"/>
      <c r="T568" s="808"/>
      <c r="U568" s="808"/>
      <c r="V568" s="808"/>
    </row>
    <row r="569">
      <c r="B569" s="808"/>
      <c r="D569" s="808"/>
      <c r="E569" s="808"/>
      <c r="F569" s="808"/>
      <c r="G569" s="808"/>
      <c r="H569" s="808"/>
      <c r="I569" s="808"/>
      <c r="J569" s="808"/>
      <c r="K569" s="808"/>
      <c r="L569" s="808"/>
      <c r="M569" s="807"/>
      <c r="N569" s="808"/>
      <c r="O569" s="807"/>
      <c r="P569" s="808"/>
      <c r="Q569" s="808"/>
      <c r="R569" s="808"/>
      <c r="S569" s="808"/>
      <c r="T569" s="808"/>
      <c r="U569" s="808"/>
      <c r="V569" s="808"/>
    </row>
    <row r="570">
      <c r="B570" s="808"/>
      <c r="D570" s="808"/>
      <c r="E570" s="808"/>
      <c r="F570" s="808"/>
      <c r="G570" s="808"/>
      <c r="H570" s="808"/>
      <c r="I570" s="808"/>
      <c r="J570" s="808"/>
      <c r="K570" s="808"/>
      <c r="L570" s="808"/>
      <c r="M570" s="807"/>
      <c r="N570" s="808"/>
      <c r="O570" s="807"/>
      <c r="P570" s="808"/>
      <c r="Q570" s="808"/>
      <c r="R570" s="808"/>
      <c r="S570" s="808"/>
      <c r="T570" s="808"/>
      <c r="U570" s="808"/>
      <c r="V570" s="808"/>
    </row>
    <row r="571">
      <c r="B571" s="808"/>
      <c r="D571" s="808"/>
      <c r="E571" s="808"/>
      <c r="F571" s="808"/>
      <c r="G571" s="808"/>
      <c r="H571" s="808"/>
      <c r="I571" s="808"/>
      <c r="J571" s="808"/>
      <c r="K571" s="808"/>
      <c r="L571" s="808"/>
      <c r="M571" s="807"/>
      <c r="N571" s="808"/>
      <c r="O571" s="807"/>
      <c r="P571" s="808"/>
      <c r="Q571" s="808"/>
      <c r="R571" s="808"/>
      <c r="S571" s="808"/>
      <c r="T571" s="808"/>
      <c r="U571" s="808"/>
      <c r="V571" s="808"/>
    </row>
    <row r="572">
      <c r="B572" s="808"/>
      <c r="D572" s="808"/>
      <c r="E572" s="808"/>
      <c r="F572" s="808"/>
      <c r="G572" s="808"/>
      <c r="H572" s="808"/>
      <c r="I572" s="808"/>
      <c r="J572" s="808"/>
      <c r="K572" s="808"/>
      <c r="L572" s="808"/>
      <c r="M572" s="807"/>
      <c r="N572" s="808"/>
      <c r="O572" s="807"/>
      <c r="P572" s="808"/>
      <c r="Q572" s="808"/>
      <c r="R572" s="808"/>
      <c r="S572" s="808"/>
      <c r="T572" s="808"/>
      <c r="U572" s="808"/>
      <c r="V572" s="808"/>
    </row>
    <row r="573">
      <c r="B573" s="808"/>
      <c r="D573" s="808"/>
      <c r="E573" s="808"/>
      <c r="F573" s="808"/>
      <c r="G573" s="808"/>
      <c r="H573" s="808"/>
      <c r="I573" s="808"/>
      <c r="J573" s="808"/>
      <c r="K573" s="808"/>
      <c r="L573" s="808"/>
      <c r="M573" s="807"/>
      <c r="N573" s="808"/>
      <c r="O573" s="807"/>
      <c r="P573" s="808"/>
      <c r="Q573" s="808"/>
      <c r="R573" s="808"/>
      <c r="S573" s="808"/>
      <c r="T573" s="808"/>
      <c r="U573" s="808"/>
      <c r="V573" s="808"/>
    </row>
    <row r="574">
      <c r="B574" s="808"/>
      <c r="D574" s="808"/>
      <c r="E574" s="808"/>
      <c r="F574" s="808"/>
      <c r="G574" s="808"/>
      <c r="H574" s="808"/>
      <c r="I574" s="808"/>
      <c r="J574" s="808"/>
      <c r="K574" s="808"/>
      <c r="L574" s="808"/>
      <c r="M574" s="807"/>
      <c r="N574" s="808"/>
      <c r="O574" s="807"/>
      <c r="P574" s="808"/>
      <c r="Q574" s="808"/>
      <c r="R574" s="808"/>
      <c r="S574" s="808"/>
      <c r="T574" s="808"/>
      <c r="U574" s="808"/>
      <c r="V574" s="808"/>
    </row>
    <row r="575">
      <c r="B575" s="808"/>
      <c r="D575" s="808"/>
      <c r="E575" s="808"/>
      <c r="F575" s="808"/>
      <c r="G575" s="808"/>
      <c r="H575" s="808"/>
      <c r="I575" s="808"/>
      <c r="J575" s="808"/>
      <c r="K575" s="808"/>
      <c r="L575" s="808"/>
      <c r="M575" s="807"/>
      <c r="N575" s="808"/>
      <c r="O575" s="807"/>
      <c r="P575" s="808"/>
      <c r="Q575" s="808"/>
      <c r="R575" s="808"/>
      <c r="S575" s="808"/>
      <c r="T575" s="808"/>
      <c r="U575" s="808"/>
      <c r="V575" s="808"/>
    </row>
    <row r="576">
      <c r="B576" s="808"/>
      <c r="D576" s="808"/>
      <c r="E576" s="808"/>
      <c r="F576" s="808"/>
      <c r="G576" s="808"/>
      <c r="H576" s="808"/>
      <c r="I576" s="808"/>
      <c r="J576" s="808"/>
      <c r="K576" s="808"/>
      <c r="L576" s="808"/>
      <c r="M576" s="807"/>
      <c r="N576" s="808"/>
      <c r="O576" s="807"/>
      <c r="P576" s="808"/>
      <c r="Q576" s="808"/>
      <c r="R576" s="808"/>
      <c r="S576" s="808"/>
      <c r="T576" s="808"/>
      <c r="U576" s="808"/>
      <c r="V576" s="808"/>
    </row>
    <row r="577">
      <c r="B577" s="808"/>
      <c r="D577" s="808"/>
      <c r="E577" s="808"/>
      <c r="F577" s="808"/>
      <c r="G577" s="808"/>
      <c r="H577" s="808"/>
      <c r="I577" s="808"/>
      <c r="J577" s="808"/>
      <c r="K577" s="808"/>
      <c r="L577" s="808"/>
      <c r="M577" s="807"/>
      <c r="N577" s="808"/>
      <c r="O577" s="807"/>
      <c r="P577" s="808"/>
      <c r="Q577" s="808"/>
      <c r="R577" s="808"/>
      <c r="S577" s="808"/>
      <c r="T577" s="808"/>
      <c r="U577" s="808"/>
      <c r="V577" s="808"/>
    </row>
    <row r="578">
      <c r="B578" s="808"/>
      <c r="D578" s="808"/>
      <c r="E578" s="808"/>
      <c r="F578" s="808"/>
      <c r="G578" s="808"/>
      <c r="H578" s="808"/>
      <c r="I578" s="808"/>
      <c r="J578" s="808"/>
      <c r="K578" s="808"/>
      <c r="L578" s="808"/>
      <c r="M578" s="807"/>
      <c r="N578" s="808"/>
      <c r="O578" s="807"/>
      <c r="P578" s="808"/>
      <c r="Q578" s="808"/>
      <c r="R578" s="808"/>
      <c r="S578" s="808"/>
      <c r="T578" s="808"/>
      <c r="U578" s="808"/>
      <c r="V578" s="808"/>
    </row>
    <row r="579">
      <c r="B579" s="808"/>
      <c r="D579" s="808"/>
      <c r="E579" s="808"/>
      <c r="F579" s="808"/>
      <c r="G579" s="808"/>
      <c r="H579" s="808"/>
      <c r="I579" s="808"/>
      <c r="J579" s="808"/>
      <c r="K579" s="808"/>
      <c r="L579" s="808"/>
      <c r="M579" s="807"/>
      <c r="N579" s="808"/>
      <c r="O579" s="807"/>
      <c r="P579" s="808"/>
      <c r="Q579" s="808"/>
      <c r="R579" s="808"/>
      <c r="S579" s="808"/>
      <c r="T579" s="808"/>
      <c r="U579" s="808"/>
      <c r="V579" s="808"/>
    </row>
    <row r="580">
      <c r="B580" s="808"/>
      <c r="D580" s="808"/>
      <c r="E580" s="808"/>
      <c r="F580" s="808"/>
      <c r="G580" s="808"/>
      <c r="H580" s="808"/>
      <c r="I580" s="808"/>
      <c r="J580" s="808"/>
      <c r="K580" s="808"/>
      <c r="L580" s="808"/>
      <c r="M580" s="807"/>
      <c r="N580" s="808"/>
      <c r="O580" s="807"/>
      <c r="P580" s="808"/>
      <c r="Q580" s="808"/>
      <c r="R580" s="808"/>
      <c r="S580" s="808"/>
      <c r="T580" s="808"/>
      <c r="U580" s="808"/>
      <c r="V580" s="808"/>
    </row>
    <row r="581">
      <c r="B581" s="808"/>
      <c r="D581" s="808"/>
      <c r="E581" s="808"/>
      <c r="F581" s="808"/>
      <c r="G581" s="808"/>
      <c r="H581" s="808"/>
      <c r="I581" s="808"/>
      <c r="J581" s="808"/>
      <c r="K581" s="808"/>
      <c r="L581" s="808"/>
      <c r="M581" s="807"/>
      <c r="N581" s="808"/>
      <c r="O581" s="807"/>
      <c r="P581" s="808"/>
      <c r="Q581" s="808"/>
      <c r="R581" s="808"/>
      <c r="S581" s="808"/>
      <c r="T581" s="808"/>
      <c r="U581" s="808"/>
      <c r="V581" s="808"/>
    </row>
    <row r="582">
      <c r="B582" s="808"/>
      <c r="D582" s="808"/>
      <c r="E582" s="808"/>
      <c r="F582" s="808"/>
      <c r="G582" s="808"/>
      <c r="H582" s="808"/>
      <c r="I582" s="808"/>
      <c r="J582" s="808"/>
      <c r="K582" s="808"/>
      <c r="L582" s="808"/>
      <c r="M582" s="807"/>
      <c r="N582" s="808"/>
      <c r="O582" s="807"/>
      <c r="P582" s="808"/>
      <c r="Q582" s="808"/>
      <c r="R582" s="808"/>
      <c r="S582" s="808"/>
      <c r="T582" s="808"/>
      <c r="U582" s="808"/>
      <c r="V582" s="808"/>
    </row>
    <row r="583">
      <c r="B583" s="808"/>
      <c r="D583" s="808"/>
      <c r="E583" s="808"/>
      <c r="F583" s="808"/>
      <c r="G583" s="808"/>
      <c r="H583" s="808"/>
      <c r="I583" s="808"/>
      <c r="J583" s="808"/>
      <c r="K583" s="808"/>
      <c r="L583" s="808"/>
      <c r="M583" s="807"/>
      <c r="N583" s="808"/>
      <c r="O583" s="807"/>
      <c r="P583" s="808"/>
      <c r="Q583" s="808"/>
      <c r="R583" s="808"/>
      <c r="S583" s="808"/>
      <c r="T583" s="808"/>
      <c r="U583" s="808"/>
      <c r="V583" s="808"/>
    </row>
    <row r="584">
      <c r="B584" s="808"/>
      <c r="D584" s="808"/>
      <c r="E584" s="808"/>
      <c r="F584" s="808"/>
      <c r="G584" s="808"/>
      <c r="H584" s="808"/>
      <c r="I584" s="808"/>
      <c r="J584" s="808"/>
      <c r="K584" s="808"/>
      <c r="L584" s="808"/>
      <c r="M584" s="807"/>
      <c r="N584" s="808"/>
      <c r="O584" s="807"/>
      <c r="P584" s="808"/>
      <c r="Q584" s="808"/>
      <c r="R584" s="808"/>
      <c r="S584" s="808"/>
      <c r="T584" s="808"/>
      <c r="U584" s="808"/>
      <c r="V584" s="808"/>
    </row>
    <row r="585">
      <c r="B585" s="808"/>
      <c r="D585" s="808"/>
      <c r="E585" s="808"/>
      <c r="F585" s="808"/>
      <c r="G585" s="808"/>
      <c r="H585" s="808"/>
      <c r="I585" s="808"/>
      <c r="J585" s="808"/>
      <c r="K585" s="808"/>
      <c r="L585" s="808"/>
      <c r="M585" s="807"/>
      <c r="N585" s="808"/>
      <c r="O585" s="807"/>
      <c r="P585" s="808"/>
      <c r="Q585" s="808"/>
      <c r="R585" s="808"/>
      <c r="S585" s="808"/>
      <c r="T585" s="808"/>
      <c r="U585" s="808"/>
      <c r="V585" s="808"/>
    </row>
    <row r="586">
      <c r="B586" s="808"/>
      <c r="D586" s="808"/>
      <c r="E586" s="808"/>
      <c r="F586" s="808"/>
      <c r="G586" s="808"/>
      <c r="H586" s="808"/>
      <c r="I586" s="808"/>
      <c r="J586" s="808"/>
      <c r="K586" s="808"/>
      <c r="L586" s="808"/>
      <c r="M586" s="807"/>
      <c r="N586" s="808"/>
      <c r="O586" s="807"/>
      <c r="P586" s="808"/>
      <c r="Q586" s="808"/>
      <c r="R586" s="808"/>
      <c r="S586" s="808"/>
      <c r="T586" s="808"/>
      <c r="U586" s="808"/>
      <c r="V586" s="808"/>
    </row>
    <row r="587">
      <c r="B587" s="808"/>
      <c r="D587" s="808"/>
      <c r="E587" s="808"/>
      <c r="F587" s="808"/>
      <c r="G587" s="808"/>
      <c r="H587" s="808"/>
      <c r="I587" s="808"/>
      <c r="J587" s="808"/>
      <c r="K587" s="808"/>
      <c r="L587" s="808"/>
      <c r="M587" s="807"/>
      <c r="N587" s="808"/>
      <c r="O587" s="807"/>
      <c r="P587" s="808"/>
      <c r="Q587" s="808"/>
      <c r="R587" s="808"/>
      <c r="S587" s="808"/>
      <c r="T587" s="808"/>
      <c r="U587" s="808"/>
      <c r="V587" s="808"/>
    </row>
    <row r="588">
      <c r="B588" s="808"/>
      <c r="D588" s="808"/>
      <c r="E588" s="808"/>
      <c r="F588" s="808"/>
      <c r="G588" s="808"/>
      <c r="H588" s="808"/>
      <c r="I588" s="808"/>
      <c r="J588" s="808"/>
      <c r="K588" s="808"/>
      <c r="L588" s="808"/>
      <c r="M588" s="807"/>
      <c r="N588" s="808"/>
      <c r="O588" s="807"/>
      <c r="P588" s="808"/>
      <c r="Q588" s="808"/>
      <c r="R588" s="808"/>
      <c r="S588" s="808"/>
      <c r="T588" s="808"/>
      <c r="U588" s="808"/>
      <c r="V588" s="808"/>
    </row>
    <row r="589">
      <c r="B589" s="808"/>
      <c r="D589" s="808"/>
      <c r="E589" s="808"/>
      <c r="F589" s="808"/>
      <c r="G589" s="808"/>
      <c r="H589" s="808"/>
      <c r="I589" s="808"/>
      <c r="J589" s="808"/>
      <c r="K589" s="808"/>
      <c r="L589" s="808"/>
      <c r="M589" s="807"/>
      <c r="N589" s="808"/>
      <c r="O589" s="807"/>
      <c r="P589" s="808"/>
      <c r="Q589" s="808"/>
      <c r="R589" s="808"/>
      <c r="S589" s="808"/>
      <c r="T589" s="808"/>
      <c r="U589" s="808"/>
      <c r="V589" s="808"/>
    </row>
    <row r="590">
      <c r="B590" s="808"/>
      <c r="D590" s="808"/>
      <c r="E590" s="808"/>
      <c r="F590" s="808"/>
      <c r="G590" s="808"/>
      <c r="H590" s="808"/>
      <c r="I590" s="808"/>
      <c r="J590" s="808"/>
      <c r="K590" s="808"/>
      <c r="L590" s="808"/>
      <c r="M590" s="807"/>
      <c r="N590" s="808"/>
      <c r="O590" s="807"/>
      <c r="P590" s="808"/>
      <c r="Q590" s="808"/>
      <c r="R590" s="808"/>
      <c r="S590" s="808"/>
      <c r="T590" s="808"/>
      <c r="U590" s="808"/>
      <c r="V590" s="808"/>
    </row>
    <row r="591">
      <c r="B591" s="808"/>
      <c r="D591" s="808"/>
      <c r="E591" s="808"/>
      <c r="F591" s="808"/>
      <c r="G591" s="808"/>
      <c r="H591" s="808"/>
      <c r="I591" s="808"/>
      <c r="J591" s="808"/>
      <c r="K591" s="808"/>
      <c r="L591" s="808"/>
      <c r="M591" s="807"/>
      <c r="N591" s="808"/>
      <c r="O591" s="807"/>
      <c r="P591" s="808"/>
      <c r="Q591" s="808"/>
      <c r="R591" s="808"/>
      <c r="S591" s="808"/>
      <c r="T591" s="808"/>
      <c r="U591" s="808"/>
      <c r="V591" s="808"/>
    </row>
    <row r="592">
      <c r="B592" s="808"/>
      <c r="D592" s="808"/>
      <c r="E592" s="808"/>
      <c r="F592" s="808"/>
      <c r="G592" s="808"/>
      <c r="H592" s="808"/>
      <c r="I592" s="808"/>
      <c r="J592" s="808"/>
      <c r="K592" s="808"/>
      <c r="L592" s="808"/>
      <c r="M592" s="807"/>
      <c r="N592" s="808"/>
      <c r="O592" s="807"/>
      <c r="P592" s="808"/>
      <c r="Q592" s="808"/>
      <c r="R592" s="808"/>
      <c r="S592" s="808"/>
      <c r="T592" s="808"/>
      <c r="U592" s="808"/>
      <c r="V592" s="808"/>
    </row>
    <row r="593">
      <c r="B593" s="808"/>
      <c r="D593" s="808"/>
      <c r="E593" s="808"/>
      <c r="F593" s="808"/>
      <c r="G593" s="808"/>
      <c r="H593" s="808"/>
      <c r="I593" s="808"/>
      <c r="J593" s="808"/>
      <c r="K593" s="808"/>
      <c r="L593" s="808"/>
      <c r="M593" s="807"/>
      <c r="N593" s="808"/>
      <c r="O593" s="807"/>
      <c r="P593" s="808"/>
      <c r="Q593" s="808"/>
      <c r="R593" s="808"/>
      <c r="S593" s="808"/>
      <c r="T593" s="808"/>
      <c r="U593" s="808"/>
      <c r="V593" s="808"/>
    </row>
    <row r="594">
      <c r="B594" s="808"/>
      <c r="D594" s="808"/>
      <c r="E594" s="808"/>
      <c r="F594" s="808"/>
      <c r="G594" s="808"/>
      <c r="H594" s="808"/>
      <c r="I594" s="808"/>
      <c r="J594" s="808"/>
      <c r="K594" s="808"/>
      <c r="L594" s="808"/>
      <c r="M594" s="807"/>
      <c r="N594" s="808"/>
      <c r="O594" s="807"/>
      <c r="P594" s="808"/>
      <c r="Q594" s="808"/>
      <c r="R594" s="808"/>
      <c r="S594" s="808"/>
      <c r="T594" s="808"/>
      <c r="U594" s="808"/>
      <c r="V594" s="808"/>
    </row>
    <row r="595">
      <c r="B595" s="808"/>
      <c r="D595" s="808"/>
      <c r="E595" s="808"/>
      <c r="F595" s="808"/>
      <c r="G595" s="808"/>
      <c r="H595" s="808"/>
      <c r="I595" s="808"/>
      <c r="J595" s="808"/>
      <c r="K595" s="808"/>
      <c r="L595" s="808"/>
      <c r="M595" s="807"/>
      <c r="N595" s="808"/>
      <c r="O595" s="807"/>
      <c r="P595" s="808"/>
      <c r="Q595" s="808"/>
      <c r="R595" s="808"/>
      <c r="S595" s="808"/>
      <c r="T595" s="808"/>
      <c r="U595" s="808"/>
      <c r="V595" s="808"/>
    </row>
    <row r="596">
      <c r="B596" s="808"/>
      <c r="D596" s="808"/>
      <c r="E596" s="808"/>
      <c r="F596" s="808"/>
      <c r="G596" s="808"/>
      <c r="H596" s="808"/>
      <c r="I596" s="808"/>
      <c r="J596" s="808"/>
      <c r="K596" s="808"/>
      <c r="L596" s="808"/>
      <c r="M596" s="807"/>
      <c r="N596" s="808"/>
      <c r="O596" s="807"/>
      <c r="P596" s="808"/>
      <c r="Q596" s="808"/>
      <c r="R596" s="808"/>
      <c r="S596" s="808"/>
      <c r="T596" s="808"/>
      <c r="U596" s="808"/>
      <c r="V596" s="808"/>
    </row>
    <row r="597">
      <c r="B597" s="808"/>
      <c r="D597" s="808"/>
      <c r="E597" s="808"/>
      <c r="F597" s="808"/>
      <c r="G597" s="808"/>
      <c r="H597" s="808"/>
      <c r="I597" s="808"/>
      <c r="J597" s="808"/>
      <c r="K597" s="808"/>
      <c r="L597" s="808"/>
      <c r="M597" s="807"/>
      <c r="N597" s="808"/>
      <c r="O597" s="807"/>
      <c r="P597" s="808"/>
      <c r="Q597" s="808"/>
      <c r="R597" s="808"/>
      <c r="S597" s="808"/>
      <c r="T597" s="808"/>
      <c r="U597" s="808"/>
      <c r="V597" s="808"/>
    </row>
    <row r="598">
      <c r="B598" s="808"/>
      <c r="D598" s="808"/>
      <c r="E598" s="808"/>
      <c r="F598" s="808"/>
      <c r="G598" s="808"/>
      <c r="H598" s="808"/>
      <c r="I598" s="808"/>
      <c r="J598" s="808"/>
      <c r="K598" s="808"/>
      <c r="L598" s="808"/>
      <c r="M598" s="807"/>
      <c r="N598" s="808"/>
      <c r="O598" s="807"/>
      <c r="P598" s="808"/>
      <c r="Q598" s="808"/>
      <c r="R598" s="808"/>
      <c r="S598" s="808"/>
      <c r="T598" s="808"/>
      <c r="U598" s="808"/>
      <c r="V598" s="808"/>
    </row>
    <row r="599">
      <c r="B599" s="808"/>
      <c r="D599" s="808"/>
      <c r="E599" s="808"/>
      <c r="F599" s="808"/>
      <c r="G599" s="808"/>
      <c r="H599" s="808"/>
      <c r="I599" s="808"/>
      <c r="J599" s="808"/>
      <c r="K599" s="808"/>
      <c r="L599" s="808"/>
      <c r="M599" s="807"/>
      <c r="N599" s="808"/>
      <c r="O599" s="807"/>
      <c r="P599" s="808"/>
      <c r="Q599" s="808"/>
      <c r="R599" s="808"/>
      <c r="S599" s="808"/>
      <c r="T599" s="808"/>
      <c r="U599" s="808"/>
      <c r="V599" s="808"/>
    </row>
    <row r="600">
      <c r="B600" s="808"/>
      <c r="D600" s="808"/>
      <c r="E600" s="808"/>
      <c r="F600" s="808"/>
      <c r="G600" s="808"/>
      <c r="H600" s="808"/>
      <c r="I600" s="808"/>
      <c r="J600" s="808"/>
      <c r="K600" s="808"/>
      <c r="L600" s="808"/>
      <c r="M600" s="807"/>
      <c r="N600" s="808"/>
      <c r="O600" s="807"/>
      <c r="P600" s="808"/>
      <c r="Q600" s="808"/>
      <c r="R600" s="808"/>
      <c r="S600" s="808"/>
      <c r="T600" s="808"/>
      <c r="U600" s="808"/>
      <c r="V600" s="808"/>
    </row>
    <row r="601">
      <c r="B601" s="808"/>
      <c r="D601" s="808"/>
      <c r="E601" s="808"/>
      <c r="F601" s="808"/>
      <c r="G601" s="808"/>
      <c r="H601" s="808"/>
      <c r="I601" s="808"/>
      <c r="J601" s="808"/>
      <c r="K601" s="808"/>
      <c r="L601" s="808"/>
      <c r="M601" s="807"/>
      <c r="N601" s="808"/>
      <c r="O601" s="807"/>
      <c r="P601" s="808"/>
      <c r="Q601" s="808"/>
      <c r="R601" s="808"/>
      <c r="S601" s="808"/>
      <c r="T601" s="808"/>
      <c r="U601" s="808"/>
      <c r="V601" s="808"/>
    </row>
    <row r="602">
      <c r="B602" s="808"/>
      <c r="D602" s="808"/>
      <c r="E602" s="808"/>
      <c r="F602" s="808"/>
      <c r="G602" s="808"/>
      <c r="H602" s="808"/>
      <c r="I602" s="808"/>
      <c r="J602" s="808"/>
      <c r="K602" s="808"/>
      <c r="L602" s="808"/>
      <c r="M602" s="807"/>
      <c r="N602" s="808"/>
      <c r="O602" s="807"/>
      <c r="P602" s="808"/>
      <c r="Q602" s="808"/>
      <c r="R602" s="808"/>
      <c r="S602" s="808"/>
      <c r="T602" s="808"/>
      <c r="U602" s="808"/>
      <c r="V602" s="808"/>
    </row>
    <row r="603">
      <c r="B603" s="808"/>
      <c r="D603" s="808"/>
      <c r="E603" s="808"/>
      <c r="F603" s="808"/>
      <c r="G603" s="808"/>
      <c r="H603" s="808"/>
      <c r="I603" s="808"/>
      <c r="J603" s="808"/>
      <c r="K603" s="808"/>
      <c r="L603" s="808"/>
      <c r="M603" s="807"/>
      <c r="N603" s="808"/>
      <c r="O603" s="807"/>
      <c r="P603" s="808"/>
      <c r="Q603" s="808"/>
      <c r="R603" s="808"/>
      <c r="S603" s="808"/>
      <c r="T603" s="808"/>
      <c r="U603" s="808"/>
      <c r="V603" s="808"/>
    </row>
    <row r="604">
      <c r="B604" s="808"/>
      <c r="D604" s="808"/>
      <c r="E604" s="808"/>
      <c r="F604" s="808"/>
      <c r="G604" s="808"/>
      <c r="H604" s="808"/>
      <c r="I604" s="808"/>
      <c r="J604" s="808"/>
      <c r="K604" s="808"/>
      <c r="L604" s="808"/>
      <c r="M604" s="807"/>
      <c r="N604" s="808"/>
      <c r="O604" s="807"/>
      <c r="P604" s="808"/>
      <c r="Q604" s="808"/>
      <c r="R604" s="808"/>
      <c r="S604" s="808"/>
      <c r="T604" s="808"/>
      <c r="U604" s="808"/>
      <c r="V604" s="808"/>
    </row>
    <row r="605">
      <c r="B605" s="808"/>
      <c r="D605" s="808"/>
      <c r="E605" s="808"/>
      <c r="F605" s="808"/>
      <c r="G605" s="808"/>
      <c r="H605" s="808"/>
      <c r="I605" s="808"/>
      <c r="J605" s="808"/>
      <c r="K605" s="808"/>
      <c r="L605" s="808"/>
      <c r="M605" s="807"/>
      <c r="N605" s="808"/>
      <c r="O605" s="807"/>
      <c r="P605" s="808"/>
      <c r="Q605" s="808"/>
      <c r="R605" s="808"/>
      <c r="S605" s="808"/>
      <c r="T605" s="808"/>
      <c r="U605" s="808"/>
      <c r="V605" s="808"/>
    </row>
    <row r="606">
      <c r="B606" s="808"/>
      <c r="D606" s="808"/>
      <c r="E606" s="808"/>
      <c r="F606" s="808"/>
      <c r="G606" s="808"/>
      <c r="H606" s="808"/>
      <c r="I606" s="808"/>
      <c r="J606" s="808"/>
      <c r="K606" s="808"/>
      <c r="L606" s="808"/>
      <c r="M606" s="807"/>
      <c r="N606" s="808"/>
      <c r="O606" s="807"/>
      <c r="P606" s="808"/>
      <c r="Q606" s="808"/>
      <c r="R606" s="808"/>
      <c r="S606" s="808"/>
      <c r="T606" s="808"/>
      <c r="U606" s="808"/>
      <c r="V606" s="808"/>
    </row>
    <row r="607">
      <c r="B607" s="808"/>
      <c r="D607" s="808"/>
      <c r="E607" s="808"/>
      <c r="F607" s="808"/>
      <c r="G607" s="808"/>
      <c r="H607" s="808"/>
      <c r="I607" s="808"/>
      <c r="J607" s="808"/>
      <c r="K607" s="808"/>
      <c r="L607" s="808"/>
      <c r="M607" s="807"/>
      <c r="N607" s="808"/>
      <c r="O607" s="807"/>
      <c r="P607" s="808"/>
      <c r="Q607" s="808"/>
      <c r="R607" s="808"/>
      <c r="S607" s="808"/>
      <c r="T607" s="808"/>
      <c r="U607" s="808"/>
      <c r="V607" s="808"/>
    </row>
    <row r="608">
      <c r="B608" s="808"/>
      <c r="D608" s="808"/>
      <c r="E608" s="808"/>
      <c r="F608" s="808"/>
      <c r="G608" s="808"/>
      <c r="H608" s="808"/>
      <c r="I608" s="808"/>
      <c r="J608" s="808"/>
      <c r="K608" s="808"/>
      <c r="L608" s="808"/>
      <c r="M608" s="807"/>
      <c r="N608" s="808"/>
      <c r="O608" s="807"/>
      <c r="P608" s="808"/>
      <c r="Q608" s="808"/>
      <c r="R608" s="808"/>
      <c r="S608" s="808"/>
      <c r="T608" s="808"/>
      <c r="U608" s="808"/>
      <c r="V608" s="808"/>
    </row>
    <row r="609">
      <c r="B609" s="808"/>
      <c r="D609" s="808"/>
      <c r="E609" s="808"/>
      <c r="F609" s="808"/>
      <c r="G609" s="808"/>
      <c r="H609" s="808"/>
      <c r="I609" s="808"/>
      <c r="J609" s="808"/>
      <c r="K609" s="808"/>
      <c r="L609" s="808"/>
      <c r="M609" s="807"/>
      <c r="N609" s="808"/>
      <c r="O609" s="807"/>
      <c r="P609" s="808"/>
      <c r="Q609" s="808"/>
      <c r="R609" s="808"/>
      <c r="S609" s="808"/>
      <c r="T609" s="808"/>
      <c r="U609" s="808"/>
      <c r="V609" s="808"/>
    </row>
    <row r="610">
      <c r="B610" s="808"/>
      <c r="D610" s="808"/>
      <c r="E610" s="808"/>
      <c r="F610" s="808"/>
      <c r="G610" s="808"/>
      <c r="H610" s="808"/>
      <c r="I610" s="808"/>
      <c r="J610" s="808"/>
      <c r="K610" s="808"/>
      <c r="L610" s="808"/>
      <c r="M610" s="807"/>
      <c r="N610" s="808"/>
      <c r="O610" s="807"/>
      <c r="P610" s="808"/>
      <c r="Q610" s="808"/>
      <c r="R610" s="808"/>
      <c r="S610" s="808"/>
      <c r="T610" s="808"/>
      <c r="U610" s="808"/>
      <c r="V610" s="808"/>
    </row>
    <row r="611">
      <c r="B611" s="808"/>
      <c r="D611" s="808"/>
      <c r="E611" s="808"/>
      <c r="F611" s="808"/>
      <c r="G611" s="808"/>
      <c r="H611" s="808"/>
      <c r="I611" s="808"/>
      <c r="J611" s="808"/>
      <c r="K611" s="808"/>
      <c r="L611" s="808"/>
      <c r="M611" s="807"/>
      <c r="N611" s="808"/>
      <c r="O611" s="807"/>
      <c r="P611" s="808"/>
      <c r="Q611" s="808"/>
      <c r="R611" s="808"/>
      <c r="S611" s="808"/>
      <c r="T611" s="808"/>
      <c r="U611" s="808"/>
      <c r="V611" s="808"/>
    </row>
    <row r="612">
      <c r="B612" s="808"/>
      <c r="D612" s="808"/>
      <c r="E612" s="808"/>
      <c r="F612" s="808"/>
      <c r="G612" s="808"/>
      <c r="H612" s="808"/>
      <c r="I612" s="808"/>
      <c r="J612" s="808"/>
      <c r="K612" s="808"/>
      <c r="L612" s="808"/>
      <c r="M612" s="807"/>
      <c r="N612" s="808"/>
      <c r="O612" s="807"/>
      <c r="P612" s="808"/>
      <c r="Q612" s="808"/>
      <c r="R612" s="808"/>
      <c r="S612" s="808"/>
      <c r="T612" s="808"/>
      <c r="U612" s="808"/>
      <c r="V612" s="808"/>
    </row>
    <row r="613">
      <c r="B613" s="808"/>
      <c r="D613" s="808"/>
      <c r="E613" s="808"/>
      <c r="F613" s="808"/>
      <c r="G613" s="808"/>
      <c r="H613" s="808"/>
      <c r="I613" s="808"/>
      <c r="J613" s="808"/>
      <c r="K613" s="808"/>
      <c r="L613" s="808"/>
      <c r="M613" s="807"/>
      <c r="N613" s="808"/>
      <c r="O613" s="807"/>
      <c r="P613" s="808"/>
      <c r="Q613" s="808"/>
      <c r="R613" s="808"/>
      <c r="S613" s="808"/>
      <c r="T613" s="808"/>
      <c r="U613" s="808"/>
      <c r="V613" s="808"/>
    </row>
    <row r="614">
      <c r="B614" s="808"/>
      <c r="D614" s="808"/>
      <c r="E614" s="808"/>
      <c r="F614" s="808"/>
      <c r="G614" s="808"/>
      <c r="H614" s="808"/>
      <c r="I614" s="808"/>
      <c r="J614" s="808"/>
      <c r="K614" s="808"/>
      <c r="L614" s="808"/>
      <c r="M614" s="807"/>
      <c r="N614" s="808"/>
      <c r="O614" s="807"/>
      <c r="P614" s="808"/>
      <c r="Q614" s="808"/>
      <c r="R614" s="808"/>
      <c r="S614" s="808"/>
      <c r="T614" s="808"/>
      <c r="U614" s="808"/>
      <c r="V614" s="808"/>
    </row>
    <row r="615">
      <c r="B615" s="808"/>
      <c r="D615" s="808"/>
      <c r="E615" s="808"/>
      <c r="F615" s="808"/>
      <c r="G615" s="808"/>
      <c r="H615" s="808"/>
      <c r="I615" s="808"/>
      <c r="J615" s="808"/>
      <c r="K615" s="808"/>
      <c r="L615" s="808"/>
      <c r="M615" s="807"/>
      <c r="N615" s="808"/>
      <c r="O615" s="807"/>
      <c r="P615" s="808"/>
      <c r="Q615" s="808"/>
      <c r="R615" s="808"/>
      <c r="S615" s="808"/>
      <c r="T615" s="808"/>
      <c r="U615" s="808"/>
      <c r="V615" s="808"/>
    </row>
    <row r="616">
      <c r="B616" s="808"/>
      <c r="D616" s="808"/>
      <c r="E616" s="808"/>
      <c r="F616" s="808"/>
      <c r="G616" s="808"/>
      <c r="H616" s="808"/>
      <c r="I616" s="808"/>
      <c r="J616" s="808"/>
      <c r="K616" s="808"/>
      <c r="L616" s="808"/>
      <c r="M616" s="807"/>
      <c r="N616" s="808"/>
      <c r="O616" s="807"/>
      <c r="P616" s="808"/>
      <c r="Q616" s="808"/>
      <c r="R616" s="808"/>
      <c r="S616" s="808"/>
      <c r="T616" s="808"/>
      <c r="U616" s="808"/>
      <c r="V616" s="808"/>
    </row>
    <row r="617">
      <c r="B617" s="808"/>
      <c r="D617" s="808"/>
      <c r="E617" s="808"/>
      <c r="F617" s="808"/>
      <c r="G617" s="808"/>
      <c r="H617" s="808"/>
      <c r="I617" s="808"/>
      <c r="J617" s="808"/>
      <c r="K617" s="808"/>
      <c r="L617" s="808"/>
      <c r="M617" s="807"/>
      <c r="N617" s="808"/>
      <c r="O617" s="807"/>
      <c r="P617" s="808"/>
      <c r="Q617" s="808"/>
      <c r="R617" s="808"/>
      <c r="S617" s="808"/>
      <c r="T617" s="808"/>
      <c r="U617" s="808"/>
      <c r="V617" s="808"/>
    </row>
    <row r="618">
      <c r="B618" s="808"/>
      <c r="D618" s="808"/>
      <c r="E618" s="808"/>
      <c r="F618" s="808"/>
      <c r="G618" s="808"/>
      <c r="H618" s="808"/>
      <c r="I618" s="808"/>
      <c r="J618" s="808"/>
      <c r="K618" s="808"/>
      <c r="L618" s="808"/>
      <c r="M618" s="807"/>
      <c r="N618" s="808"/>
      <c r="O618" s="807"/>
      <c r="P618" s="808"/>
      <c r="Q618" s="808"/>
      <c r="R618" s="808"/>
      <c r="S618" s="808"/>
      <c r="T618" s="808"/>
      <c r="U618" s="808"/>
      <c r="V618" s="808"/>
    </row>
    <row r="619">
      <c r="B619" s="808"/>
      <c r="D619" s="808"/>
      <c r="E619" s="808"/>
      <c r="F619" s="808"/>
      <c r="G619" s="808"/>
      <c r="H619" s="808"/>
      <c r="I619" s="808"/>
      <c r="J619" s="808"/>
      <c r="K619" s="808"/>
      <c r="L619" s="808"/>
      <c r="M619" s="807"/>
      <c r="N619" s="808"/>
      <c r="O619" s="807"/>
      <c r="P619" s="808"/>
      <c r="Q619" s="808"/>
      <c r="R619" s="808"/>
      <c r="S619" s="808"/>
      <c r="T619" s="808"/>
      <c r="U619" s="808"/>
      <c r="V619" s="808"/>
    </row>
    <row r="620">
      <c r="B620" s="808"/>
      <c r="D620" s="808"/>
      <c r="E620" s="808"/>
      <c r="F620" s="808"/>
      <c r="G620" s="808"/>
      <c r="H620" s="808"/>
      <c r="I620" s="808"/>
      <c r="J620" s="808"/>
      <c r="K620" s="808"/>
      <c r="L620" s="808"/>
      <c r="M620" s="807"/>
      <c r="N620" s="808"/>
      <c r="O620" s="807"/>
      <c r="P620" s="808"/>
      <c r="Q620" s="808"/>
      <c r="R620" s="808"/>
      <c r="S620" s="808"/>
      <c r="T620" s="808"/>
      <c r="U620" s="808"/>
      <c r="V620" s="808"/>
    </row>
    <row r="621">
      <c r="B621" s="808"/>
      <c r="D621" s="808"/>
      <c r="E621" s="808"/>
      <c r="F621" s="808"/>
      <c r="G621" s="808"/>
      <c r="H621" s="808"/>
      <c r="I621" s="808"/>
      <c r="J621" s="808"/>
      <c r="K621" s="808"/>
      <c r="L621" s="808"/>
      <c r="M621" s="807"/>
      <c r="N621" s="808"/>
      <c r="O621" s="807"/>
      <c r="P621" s="808"/>
      <c r="Q621" s="808"/>
      <c r="R621" s="808"/>
      <c r="S621" s="808"/>
      <c r="T621" s="808"/>
      <c r="U621" s="808"/>
      <c r="V621" s="808"/>
    </row>
    <row r="622">
      <c r="B622" s="808"/>
      <c r="D622" s="808"/>
      <c r="E622" s="808"/>
      <c r="F622" s="808"/>
      <c r="G622" s="808"/>
      <c r="H622" s="808"/>
      <c r="I622" s="808"/>
      <c r="J622" s="808"/>
      <c r="K622" s="808"/>
      <c r="L622" s="808"/>
      <c r="M622" s="807"/>
      <c r="N622" s="808"/>
      <c r="O622" s="807"/>
      <c r="P622" s="808"/>
      <c r="Q622" s="808"/>
      <c r="R622" s="808"/>
      <c r="S622" s="808"/>
      <c r="T622" s="808"/>
      <c r="U622" s="808"/>
      <c r="V622" s="808"/>
    </row>
    <row r="623">
      <c r="B623" s="808"/>
      <c r="D623" s="808"/>
      <c r="E623" s="808"/>
      <c r="F623" s="808"/>
      <c r="G623" s="808"/>
      <c r="H623" s="808"/>
      <c r="I623" s="808"/>
      <c r="J623" s="808"/>
      <c r="K623" s="808"/>
      <c r="L623" s="808"/>
      <c r="M623" s="807"/>
      <c r="N623" s="808"/>
      <c r="O623" s="807"/>
      <c r="P623" s="808"/>
      <c r="Q623" s="808"/>
      <c r="R623" s="808"/>
      <c r="S623" s="808"/>
      <c r="T623" s="808"/>
      <c r="U623" s="808"/>
      <c r="V623" s="808"/>
    </row>
    <row r="624">
      <c r="B624" s="808"/>
      <c r="D624" s="808"/>
      <c r="E624" s="808"/>
      <c r="F624" s="808"/>
      <c r="G624" s="808"/>
      <c r="H624" s="808"/>
      <c r="I624" s="808"/>
      <c r="J624" s="808"/>
      <c r="K624" s="808"/>
      <c r="L624" s="808"/>
      <c r="M624" s="807"/>
      <c r="N624" s="808"/>
      <c r="O624" s="807"/>
      <c r="P624" s="808"/>
      <c r="Q624" s="808"/>
      <c r="R624" s="808"/>
      <c r="S624" s="808"/>
      <c r="T624" s="808"/>
      <c r="U624" s="808"/>
      <c r="V624" s="808"/>
    </row>
    <row r="625">
      <c r="B625" s="808"/>
      <c r="D625" s="808"/>
      <c r="E625" s="808"/>
      <c r="F625" s="808"/>
      <c r="G625" s="808"/>
      <c r="H625" s="808"/>
      <c r="I625" s="808"/>
      <c r="J625" s="808"/>
      <c r="K625" s="808"/>
      <c r="L625" s="808"/>
      <c r="M625" s="807"/>
      <c r="N625" s="808"/>
      <c r="O625" s="807"/>
      <c r="P625" s="808"/>
      <c r="Q625" s="808"/>
      <c r="R625" s="808"/>
      <c r="S625" s="808"/>
      <c r="T625" s="808"/>
      <c r="U625" s="808"/>
      <c r="V625" s="808"/>
    </row>
    <row r="626">
      <c r="B626" s="808"/>
      <c r="D626" s="808"/>
      <c r="E626" s="808"/>
      <c r="F626" s="808"/>
      <c r="G626" s="808"/>
      <c r="H626" s="808"/>
      <c r="I626" s="808"/>
      <c r="J626" s="808"/>
      <c r="K626" s="808"/>
      <c r="L626" s="808"/>
      <c r="M626" s="807"/>
      <c r="N626" s="808"/>
      <c r="O626" s="807"/>
      <c r="P626" s="808"/>
      <c r="Q626" s="808"/>
      <c r="R626" s="808"/>
      <c r="S626" s="808"/>
      <c r="T626" s="808"/>
      <c r="U626" s="808"/>
      <c r="V626" s="808"/>
    </row>
    <row r="627">
      <c r="B627" s="808"/>
      <c r="D627" s="808"/>
      <c r="E627" s="808"/>
      <c r="F627" s="808"/>
      <c r="G627" s="808"/>
      <c r="H627" s="808"/>
      <c r="I627" s="808"/>
      <c r="J627" s="808"/>
      <c r="K627" s="808"/>
      <c r="L627" s="808"/>
      <c r="M627" s="807"/>
      <c r="N627" s="808"/>
      <c r="O627" s="807"/>
      <c r="P627" s="808"/>
      <c r="Q627" s="808"/>
      <c r="R627" s="808"/>
      <c r="S627" s="808"/>
      <c r="T627" s="808"/>
      <c r="U627" s="808"/>
      <c r="V627" s="808"/>
    </row>
    <row r="628">
      <c r="B628" s="808"/>
      <c r="D628" s="808"/>
      <c r="E628" s="808"/>
      <c r="F628" s="808"/>
      <c r="G628" s="808"/>
      <c r="H628" s="808"/>
      <c r="I628" s="808"/>
      <c r="J628" s="808"/>
      <c r="K628" s="808"/>
      <c r="L628" s="808"/>
      <c r="M628" s="807"/>
      <c r="N628" s="808"/>
      <c r="O628" s="807"/>
      <c r="P628" s="808"/>
      <c r="Q628" s="808"/>
      <c r="R628" s="808"/>
      <c r="S628" s="808"/>
      <c r="T628" s="808"/>
      <c r="U628" s="808"/>
      <c r="V628" s="808"/>
    </row>
    <row r="629">
      <c r="B629" s="808"/>
      <c r="D629" s="808"/>
      <c r="E629" s="808"/>
      <c r="F629" s="808"/>
      <c r="G629" s="808"/>
      <c r="H629" s="808"/>
      <c r="I629" s="808"/>
      <c r="J629" s="808"/>
      <c r="K629" s="808"/>
      <c r="L629" s="808"/>
      <c r="M629" s="807"/>
      <c r="N629" s="808"/>
      <c r="O629" s="807"/>
      <c r="P629" s="808"/>
      <c r="Q629" s="808"/>
      <c r="R629" s="808"/>
      <c r="S629" s="808"/>
      <c r="T629" s="808"/>
      <c r="U629" s="808"/>
      <c r="V629" s="808"/>
    </row>
    <row r="630">
      <c r="B630" s="808"/>
      <c r="D630" s="808"/>
      <c r="E630" s="808"/>
      <c r="F630" s="808"/>
      <c r="G630" s="808"/>
      <c r="H630" s="808"/>
      <c r="I630" s="808"/>
      <c r="J630" s="808"/>
      <c r="K630" s="808"/>
      <c r="L630" s="808"/>
      <c r="M630" s="807"/>
      <c r="N630" s="808"/>
      <c r="O630" s="807"/>
      <c r="P630" s="808"/>
      <c r="Q630" s="808"/>
      <c r="R630" s="808"/>
      <c r="S630" s="808"/>
      <c r="T630" s="808"/>
      <c r="U630" s="808"/>
      <c r="V630" s="808"/>
    </row>
    <row r="631">
      <c r="B631" s="808"/>
      <c r="D631" s="808"/>
      <c r="E631" s="808"/>
      <c r="F631" s="808"/>
      <c r="G631" s="808"/>
      <c r="H631" s="808"/>
      <c r="I631" s="808"/>
      <c r="J631" s="808"/>
      <c r="K631" s="808"/>
      <c r="L631" s="808"/>
      <c r="M631" s="807"/>
      <c r="N631" s="808"/>
      <c r="O631" s="807"/>
      <c r="P631" s="808"/>
      <c r="Q631" s="808"/>
      <c r="R631" s="808"/>
      <c r="S631" s="808"/>
      <c r="T631" s="808"/>
      <c r="U631" s="808"/>
      <c r="V631" s="808"/>
    </row>
    <row r="632">
      <c r="B632" s="808"/>
      <c r="D632" s="808"/>
      <c r="E632" s="808"/>
      <c r="F632" s="808"/>
      <c r="G632" s="808"/>
      <c r="H632" s="808"/>
      <c r="I632" s="808"/>
      <c r="J632" s="808"/>
      <c r="K632" s="808"/>
      <c r="L632" s="808"/>
      <c r="M632" s="807"/>
      <c r="N632" s="808"/>
      <c r="O632" s="807"/>
      <c r="P632" s="808"/>
      <c r="Q632" s="808"/>
      <c r="R632" s="808"/>
      <c r="S632" s="808"/>
      <c r="T632" s="808"/>
      <c r="U632" s="808"/>
      <c r="V632" s="808"/>
    </row>
    <row r="633">
      <c r="B633" s="808"/>
      <c r="D633" s="808"/>
      <c r="E633" s="808"/>
      <c r="F633" s="808"/>
      <c r="G633" s="808"/>
      <c r="H633" s="808"/>
      <c r="I633" s="808"/>
      <c r="J633" s="808"/>
      <c r="K633" s="808"/>
      <c r="L633" s="808"/>
      <c r="M633" s="807"/>
      <c r="N633" s="808"/>
      <c r="O633" s="807"/>
      <c r="P633" s="808"/>
      <c r="Q633" s="808"/>
      <c r="R633" s="808"/>
      <c r="S633" s="808"/>
      <c r="T633" s="808"/>
      <c r="U633" s="808"/>
      <c r="V633" s="808"/>
    </row>
    <row r="634">
      <c r="B634" s="808"/>
      <c r="D634" s="808"/>
      <c r="E634" s="808"/>
      <c r="F634" s="808"/>
      <c r="G634" s="808"/>
      <c r="H634" s="808"/>
      <c r="I634" s="808"/>
      <c r="J634" s="808"/>
      <c r="K634" s="808"/>
      <c r="L634" s="808"/>
      <c r="M634" s="807"/>
      <c r="N634" s="808"/>
      <c r="O634" s="807"/>
      <c r="P634" s="808"/>
      <c r="Q634" s="808"/>
      <c r="R634" s="808"/>
      <c r="S634" s="808"/>
      <c r="T634" s="808"/>
      <c r="U634" s="808"/>
      <c r="V634" s="808"/>
    </row>
    <row r="635">
      <c r="B635" s="808"/>
      <c r="D635" s="808"/>
      <c r="E635" s="808"/>
      <c r="F635" s="808"/>
      <c r="G635" s="808"/>
      <c r="H635" s="808"/>
      <c r="I635" s="808"/>
      <c r="J635" s="808"/>
      <c r="K635" s="808"/>
      <c r="L635" s="808"/>
      <c r="M635" s="807"/>
      <c r="N635" s="808"/>
      <c r="O635" s="807"/>
      <c r="P635" s="808"/>
      <c r="Q635" s="808"/>
      <c r="R635" s="808"/>
      <c r="S635" s="808"/>
      <c r="T635" s="808"/>
      <c r="U635" s="808"/>
      <c r="V635" s="808"/>
    </row>
    <row r="636">
      <c r="B636" s="808"/>
      <c r="D636" s="808"/>
      <c r="E636" s="808"/>
      <c r="F636" s="808"/>
      <c r="G636" s="808"/>
      <c r="H636" s="808"/>
      <c r="I636" s="808"/>
      <c r="J636" s="808"/>
      <c r="K636" s="808"/>
      <c r="L636" s="808"/>
      <c r="M636" s="807"/>
      <c r="N636" s="808"/>
      <c r="O636" s="807"/>
      <c r="P636" s="808"/>
      <c r="Q636" s="808"/>
      <c r="R636" s="808"/>
      <c r="S636" s="808"/>
      <c r="T636" s="808"/>
      <c r="U636" s="808"/>
      <c r="V636" s="808"/>
    </row>
    <row r="637">
      <c r="B637" s="808"/>
      <c r="D637" s="808"/>
      <c r="E637" s="808"/>
      <c r="F637" s="808"/>
      <c r="G637" s="808"/>
      <c r="H637" s="808"/>
      <c r="I637" s="808"/>
      <c r="J637" s="808"/>
      <c r="K637" s="808"/>
      <c r="L637" s="808"/>
      <c r="M637" s="807"/>
      <c r="N637" s="808"/>
      <c r="O637" s="807"/>
      <c r="P637" s="808"/>
      <c r="Q637" s="808"/>
      <c r="R637" s="808"/>
      <c r="S637" s="808"/>
      <c r="T637" s="808"/>
      <c r="U637" s="808"/>
      <c r="V637" s="808"/>
    </row>
    <row r="638">
      <c r="B638" s="808"/>
      <c r="D638" s="808"/>
      <c r="E638" s="808"/>
      <c r="F638" s="808"/>
      <c r="G638" s="808"/>
      <c r="H638" s="808"/>
      <c r="I638" s="808"/>
      <c r="J638" s="808"/>
      <c r="K638" s="808"/>
      <c r="L638" s="808"/>
      <c r="M638" s="807"/>
      <c r="N638" s="808"/>
      <c r="O638" s="807"/>
      <c r="P638" s="808"/>
      <c r="Q638" s="808"/>
      <c r="R638" s="808"/>
      <c r="S638" s="808"/>
      <c r="T638" s="808"/>
      <c r="U638" s="808"/>
      <c r="V638" s="808"/>
    </row>
    <row r="639">
      <c r="B639" s="808"/>
      <c r="D639" s="808"/>
      <c r="E639" s="808"/>
      <c r="F639" s="808"/>
      <c r="G639" s="808"/>
      <c r="H639" s="808"/>
      <c r="I639" s="808"/>
      <c r="J639" s="808"/>
      <c r="K639" s="808"/>
      <c r="L639" s="808"/>
      <c r="M639" s="807"/>
      <c r="N639" s="808"/>
      <c r="O639" s="807"/>
      <c r="P639" s="808"/>
      <c r="Q639" s="808"/>
      <c r="R639" s="808"/>
      <c r="S639" s="808"/>
      <c r="T639" s="808"/>
      <c r="U639" s="808"/>
      <c r="V639" s="808"/>
    </row>
    <row r="640">
      <c r="B640" s="808"/>
      <c r="D640" s="808"/>
      <c r="E640" s="808"/>
      <c r="F640" s="808"/>
      <c r="G640" s="808"/>
      <c r="H640" s="808"/>
      <c r="I640" s="808"/>
      <c r="J640" s="808"/>
      <c r="K640" s="808"/>
      <c r="L640" s="808"/>
      <c r="M640" s="807"/>
      <c r="N640" s="808"/>
      <c r="O640" s="807"/>
      <c r="P640" s="808"/>
      <c r="Q640" s="808"/>
      <c r="R640" s="808"/>
      <c r="S640" s="808"/>
      <c r="T640" s="808"/>
      <c r="U640" s="808"/>
      <c r="V640" s="808"/>
    </row>
    <row r="641">
      <c r="B641" s="808"/>
      <c r="D641" s="808"/>
      <c r="E641" s="808"/>
      <c r="F641" s="808"/>
      <c r="G641" s="808"/>
      <c r="H641" s="808"/>
      <c r="I641" s="808"/>
      <c r="J641" s="808"/>
      <c r="K641" s="808"/>
      <c r="L641" s="808"/>
      <c r="M641" s="807"/>
      <c r="N641" s="808"/>
      <c r="O641" s="807"/>
      <c r="P641" s="808"/>
      <c r="Q641" s="808"/>
      <c r="R641" s="808"/>
      <c r="S641" s="808"/>
      <c r="T641" s="808"/>
      <c r="U641" s="808"/>
      <c r="V641" s="808"/>
    </row>
    <row r="642">
      <c r="B642" s="808"/>
      <c r="D642" s="808"/>
      <c r="E642" s="808"/>
      <c r="F642" s="808"/>
      <c r="G642" s="808"/>
      <c r="H642" s="808"/>
      <c r="I642" s="808"/>
      <c r="J642" s="808"/>
      <c r="K642" s="808"/>
      <c r="L642" s="808"/>
      <c r="M642" s="807"/>
      <c r="N642" s="808"/>
      <c r="O642" s="807"/>
      <c r="P642" s="808"/>
      <c r="Q642" s="808"/>
      <c r="R642" s="808"/>
      <c r="S642" s="808"/>
      <c r="T642" s="808"/>
      <c r="U642" s="808"/>
      <c r="V642" s="808"/>
    </row>
    <row r="643">
      <c r="B643" s="808"/>
      <c r="D643" s="808"/>
      <c r="E643" s="808"/>
      <c r="F643" s="808"/>
      <c r="G643" s="808"/>
      <c r="H643" s="808"/>
      <c r="I643" s="808"/>
      <c r="J643" s="808"/>
      <c r="K643" s="808"/>
      <c r="L643" s="808"/>
      <c r="M643" s="807"/>
      <c r="N643" s="808"/>
      <c r="O643" s="807"/>
      <c r="P643" s="808"/>
      <c r="Q643" s="808"/>
      <c r="R643" s="808"/>
      <c r="S643" s="808"/>
      <c r="T643" s="808"/>
      <c r="U643" s="808"/>
      <c r="V643" s="808"/>
    </row>
    <row r="644">
      <c r="B644" s="808"/>
      <c r="D644" s="808"/>
      <c r="E644" s="808"/>
      <c r="F644" s="808"/>
      <c r="G644" s="808"/>
      <c r="H644" s="808"/>
      <c r="I644" s="808"/>
      <c r="J644" s="808"/>
      <c r="K644" s="808"/>
      <c r="L644" s="808"/>
      <c r="M644" s="807"/>
      <c r="N644" s="808"/>
      <c r="O644" s="807"/>
      <c r="P644" s="808"/>
      <c r="Q644" s="808"/>
      <c r="R644" s="808"/>
      <c r="S644" s="808"/>
      <c r="T644" s="808"/>
      <c r="U644" s="808"/>
      <c r="V644" s="808"/>
    </row>
    <row r="645">
      <c r="B645" s="808"/>
      <c r="D645" s="808"/>
      <c r="E645" s="808"/>
      <c r="F645" s="808"/>
      <c r="G645" s="808"/>
      <c r="H645" s="808"/>
      <c r="I645" s="808"/>
      <c r="J645" s="808"/>
      <c r="K645" s="808"/>
      <c r="L645" s="808"/>
      <c r="M645" s="807"/>
      <c r="N645" s="808"/>
      <c r="O645" s="807"/>
      <c r="P645" s="808"/>
      <c r="Q645" s="808"/>
      <c r="R645" s="808"/>
      <c r="S645" s="808"/>
      <c r="T645" s="808"/>
      <c r="U645" s="808"/>
      <c r="V645" s="808"/>
    </row>
    <row r="646">
      <c r="B646" s="808"/>
      <c r="D646" s="808"/>
      <c r="E646" s="808"/>
      <c r="F646" s="808"/>
      <c r="G646" s="808"/>
      <c r="H646" s="808"/>
      <c r="I646" s="808"/>
      <c r="J646" s="808"/>
      <c r="K646" s="808"/>
      <c r="L646" s="808"/>
      <c r="M646" s="807"/>
      <c r="N646" s="808"/>
      <c r="O646" s="807"/>
      <c r="P646" s="808"/>
      <c r="Q646" s="808"/>
      <c r="R646" s="808"/>
      <c r="S646" s="808"/>
      <c r="T646" s="808"/>
      <c r="U646" s="808"/>
      <c r="V646" s="808"/>
    </row>
    <row r="647">
      <c r="B647" s="808"/>
      <c r="D647" s="808"/>
      <c r="E647" s="808"/>
      <c r="F647" s="808"/>
      <c r="G647" s="808"/>
      <c r="H647" s="808"/>
      <c r="I647" s="808"/>
      <c r="J647" s="808"/>
      <c r="K647" s="808"/>
      <c r="L647" s="808"/>
      <c r="M647" s="807"/>
      <c r="N647" s="808"/>
      <c r="O647" s="807"/>
      <c r="P647" s="808"/>
      <c r="Q647" s="808"/>
      <c r="R647" s="808"/>
      <c r="S647" s="808"/>
      <c r="T647" s="808"/>
      <c r="U647" s="808"/>
      <c r="V647" s="808"/>
    </row>
    <row r="648">
      <c r="B648" s="808"/>
      <c r="D648" s="808"/>
      <c r="E648" s="808"/>
      <c r="F648" s="808"/>
      <c r="G648" s="808"/>
      <c r="H648" s="808"/>
      <c r="I648" s="808"/>
      <c r="J648" s="808"/>
      <c r="K648" s="808"/>
      <c r="L648" s="808"/>
      <c r="M648" s="807"/>
      <c r="N648" s="808"/>
      <c r="O648" s="807"/>
      <c r="P648" s="808"/>
      <c r="Q648" s="808"/>
      <c r="R648" s="808"/>
      <c r="S648" s="808"/>
      <c r="T648" s="808"/>
      <c r="U648" s="808"/>
      <c r="V648" s="808"/>
    </row>
    <row r="649">
      <c r="B649" s="808"/>
      <c r="D649" s="808"/>
      <c r="E649" s="808"/>
      <c r="F649" s="808"/>
      <c r="G649" s="808"/>
      <c r="H649" s="808"/>
      <c r="I649" s="808"/>
      <c r="J649" s="808"/>
      <c r="K649" s="808"/>
      <c r="L649" s="808"/>
      <c r="M649" s="807"/>
      <c r="N649" s="808"/>
      <c r="O649" s="807"/>
      <c r="P649" s="808"/>
      <c r="Q649" s="808"/>
      <c r="R649" s="808"/>
      <c r="S649" s="808"/>
      <c r="T649" s="808"/>
      <c r="U649" s="808"/>
      <c r="V649" s="808"/>
    </row>
    <row r="650">
      <c r="B650" s="808"/>
      <c r="D650" s="808"/>
      <c r="E650" s="808"/>
      <c r="F650" s="808"/>
      <c r="G650" s="808"/>
      <c r="H650" s="808"/>
      <c r="I650" s="808"/>
      <c r="J650" s="808"/>
      <c r="K650" s="808"/>
      <c r="L650" s="808"/>
      <c r="M650" s="807"/>
      <c r="N650" s="808"/>
      <c r="O650" s="807"/>
      <c r="P650" s="808"/>
      <c r="Q650" s="808"/>
      <c r="R650" s="808"/>
      <c r="S650" s="808"/>
      <c r="T650" s="808"/>
      <c r="U650" s="808"/>
      <c r="V650" s="808"/>
    </row>
    <row r="651">
      <c r="B651" s="808"/>
      <c r="D651" s="808"/>
      <c r="E651" s="808"/>
      <c r="F651" s="808"/>
      <c r="G651" s="808"/>
      <c r="H651" s="808"/>
      <c r="I651" s="808"/>
      <c r="J651" s="808"/>
      <c r="K651" s="808"/>
      <c r="L651" s="808"/>
      <c r="M651" s="807"/>
      <c r="N651" s="808"/>
      <c r="O651" s="807"/>
      <c r="P651" s="808"/>
      <c r="Q651" s="808"/>
      <c r="R651" s="808"/>
      <c r="S651" s="808"/>
      <c r="T651" s="808"/>
      <c r="U651" s="808"/>
      <c r="V651" s="808"/>
    </row>
    <row r="652">
      <c r="B652" s="808"/>
      <c r="D652" s="808"/>
      <c r="E652" s="808"/>
      <c r="F652" s="808"/>
      <c r="G652" s="808"/>
      <c r="H652" s="808"/>
      <c r="I652" s="808"/>
      <c r="J652" s="808"/>
      <c r="K652" s="808"/>
      <c r="L652" s="808"/>
      <c r="M652" s="807"/>
      <c r="N652" s="808"/>
      <c r="O652" s="807"/>
      <c r="P652" s="808"/>
      <c r="Q652" s="808"/>
      <c r="R652" s="808"/>
      <c r="S652" s="808"/>
      <c r="T652" s="808"/>
      <c r="U652" s="808"/>
      <c r="V652" s="808"/>
    </row>
    <row r="653">
      <c r="B653" s="808"/>
      <c r="D653" s="808"/>
      <c r="E653" s="808"/>
      <c r="F653" s="808"/>
      <c r="G653" s="808"/>
      <c r="H653" s="808"/>
      <c r="I653" s="808"/>
      <c r="J653" s="808"/>
      <c r="K653" s="808"/>
      <c r="L653" s="808"/>
      <c r="M653" s="807"/>
      <c r="N653" s="808"/>
      <c r="O653" s="807"/>
      <c r="P653" s="808"/>
      <c r="Q653" s="808"/>
      <c r="R653" s="808"/>
      <c r="S653" s="808"/>
      <c r="T653" s="808"/>
      <c r="U653" s="808"/>
      <c r="V653" s="808"/>
    </row>
    <row r="654">
      <c r="B654" s="808"/>
      <c r="D654" s="808"/>
      <c r="E654" s="808"/>
      <c r="F654" s="808"/>
      <c r="G654" s="808"/>
      <c r="H654" s="808"/>
      <c r="I654" s="808"/>
      <c r="J654" s="808"/>
      <c r="K654" s="808"/>
      <c r="L654" s="808"/>
      <c r="M654" s="807"/>
      <c r="N654" s="808"/>
      <c r="O654" s="807"/>
      <c r="P654" s="808"/>
      <c r="Q654" s="808"/>
      <c r="R654" s="808"/>
      <c r="S654" s="808"/>
      <c r="T654" s="808"/>
      <c r="U654" s="808"/>
      <c r="V654" s="808"/>
    </row>
    <row r="655">
      <c r="B655" s="808"/>
      <c r="D655" s="808"/>
      <c r="E655" s="808"/>
      <c r="F655" s="808"/>
      <c r="G655" s="808"/>
      <c r="H655" s="808"/>
      <c r="I655" s="808"/>
      <c r="J655" s="808"/>
      <c r="K655" s="808"/>
      <c r="L655" s="808"/>
      <c r="M655" s="807"/>
      <c r="N655" s="808"/>
      <c r="O655" s="807"/>
      <c r="P655" s="808"/>
      <c r="Q655" s="808"/>
      <c r="R655" s="808"/>
      <c r="S655" s="808"/>
      <c r="T655" s="808"/>
      <c r="U655" s="808"/>
      <c r="V655" s="808"/>
    </row>
    <row r="656">
      <c r="B656" s="808"/>
      <c r="D656" s="808"/>
      <c r="E656" s="808"/>
      <c r="F656" s="808"/>
      <c r="G656" s="808"/>
      <c r="H656" s="808"/>
      <c r="I656" s="808"/>
      <c r="J656" s="808"/>
      <c r="K656" s="808"/>
      <c r="L656" s="808"/>
      <c r="M656" s="807"/>
      <c r="N656" s="808"/>
      <c r="O656" s="807"/>
      <c r="P656" s="808"/>
      <c r="Q656" s="808"/>
      <c r="R656" s="808"/>
      <c r="S656" s="808"/>
      <c r="T656" s="808"/>
      <c r="U656" s="808"/>
      <c r="V656" s="808"/>
    </row>
    <row r="657">
      <c r="B657" s="808"/>
      <c r="D657" s="808"/>
      <c r="E657" s="808"/>
      <c r="F657" s="808"/>
      <c r="G657" s="808"/>
      <c r="H657" s="808"/>
      <c r="I657" s="808"/>
      <c r="J657" s="808"/>
      <c r="K657" s="808"/>
      <c r="L657" s="808"/>
      <c r="M657" s="807"/>
      <c r="N657" s="808"/>
      <c r="O657" s="807"/>
      <c r="P657" s="808"/>
      <c r="Q657" s="808"/>
      <c r="R657" s="808"/>
      <c r="S657" s="808"/>
      <c r="T657" s="808"/>
      <c r="U657" s="808"/>
      <c r="V657" s="808"/>
    </row>
    <row r="658">
      <c r="B658" s="808"/>
      <c r="D658" s="808"/>
      <c r="E658" s="808"/>
      <c r="F658" s="808"/>
      <c r="G658" s="808"/>
      <c r="H658" s="808"/>
      <c r="I658" s="808"/>
      <c r="J658" s="808"/>
      <c r="K658" s="808"/>
      <c r="L658" s="808"/>
      <c r="M658" s="807"/>
      <c r="N658" s="808"/>
      <c r="O658" s="807"/>
      <c r="P658" s="808"/>
      <c r="Q658" s="808"/>
      <c r="R658" s="808"/>
      <c r="S658" s="808"/>
      <c r="T658" s="808"/>
      <c r="U658" s="808"/>
      <c r="V658" s="808"/>
    </row>
    <row r="659">
      <c r="B659" s="808"/>
      <c r="D659" s="808"/>
      <c r="E659" s="808"/>
      <c r="F659" s="808"/>
      <c r="G659" s="808"/>
      <c r="H659" s="808"/>
      <c r="I659" s="808"/>
      <c r="J659" s="808"/>
      <c r="K659" s="808"/>
      <c r="L659" s="808"/>
      <c r="M659" s="807"/>
      <c r="N659" s="808"/>
      <c r="O659" s="807"/>
      <c r="P659" s="808"/>
      <c r="Q659" s="808"/>
      <c r="R659" s="808"/>
      <c r="S659" s="808"/>
      <c r="T659" s="808"/>
      <c r="U659" s="808"/>
      <c r="V659" s="808"/>
    </row>
    <row r="660">
      <c r="B660" s="808"/>
      <c r="D660" s="808"/>
      <c r="E660" s="808"/>
      <c r="F660" s="808"/>
      <c r="G660" s="808"/>
      <c r="H660" s="808"/>
      <c r="I660" s="808"/>
      <c r="J660" s="808"/>
      <c r="K660" s="808"/>
      <c r="L660" s="808"/>
      <c r="M660" s="807"/>
      <c r="N660" s="808"/>
      <c r="O660" s="807"/>
      <c r="P660" s="808"/>
      <c r="Q660" s="808"/>
      <c r="R660" s="808"/>
      <c r="S660" s="808"/>
      <c r="T660" s="808"/>
      <c r="U660" s="808"/>
      <c r="V660" s="808"/>
    </row>
    <row r="661">
      <c r="B661" s="808"/>
      <c r="D661" s="808"/>
      <c r="E661" s="808"/>
      <c r="F661" s="808"/>
      <c r="G661" s="808"/>
      <c r="H661" s="808"/>
      <c r="I661" s="808"/>
      <c r="J661" s="808"/>
      <c r="K661" s="808"/>
      <c r="L661" s="808"/>
      <c r="M661" s="807"/>
      <c r="N661" s="808"/>
      <c r="O661" s="807"/>
      <c r="P661" s="808"/>
      <c r="Q661" s="808"/>
      <c r="R661" s="808"/>
      <c r="S661" s="808"/>
      <c r="T661" s="808"/>
      <c r="U661" s="808"/>
      <c r="V661" s="808"/>
    </row>
    <row r="662">
      <c r="B662" s="808"/>
      <c r="D662" s="808"/>
      <c r="E662" s="808"/>
      <c r="F662" s="808"/>
      <c r="G662" s="808"/>
      <c r="H662" s="808"/>
      <c r="I662" s="808"/>
      <c r="J662" s="808"/>
      <c r="K662" s="808"/>
      <c r="L662" s="808"/>
      <c r="M662" s="807"/>
      <c r="N662" s="808"/>
      <c r="O662" s="807"/>
      <c r="P662" s="808"/>
      <c r="Q662" s="808"/>
      <c r="R662" s="808"/>
      <c r="S662" s="808"/>
      <c r="T662" s="808"/>
      <c r="U662" s="808"/>
      <c r="V662" s="808"/>
    </row>
    <row r="663">
      <c r="B663" s="808"/>
      <c r="D663" s="808"/>
      <c r="E663" s="808"/>
      <c r="F663" s="808"/>
      <c r="G663" s="808"/>
      <c r="H663" s="808"/>
      <c r="I663" s="808"/>
      <c r="J663" s="808"/>
      <c r="K663" s="808"/>
      <c r="L663" s="808"/>
      <c r="M663" s="807"/>
      <c r="N663" s="808"/>
      <c r="O663" s="807"/>
      <c r="P663" s="808"/>
      <c r="Q663" s="808"/>
      <c r="R663" s="808"/>
      <c r="S663" s="808"/>
      <c r="T663" s="808"/>
      <c r="U663" s="808"/>
      <c r="V663" s="808"/>
    </row>
    <row r="664">
      <c r="B664" s="808"/>
      <c r="D664" s="808"/>
      <c r="E664" s="808"/>
      <c r="F664" s="808"/>
      <c r="G664" s="808"/>
      <c r="H664" s="808"/>
      <c r="I664" s="808"/>
      <c r="J664" s="808"/>
      <c r="K664" s="808"/>
      <c r="L664" s="808"/>
      <c r="M664" s="807"/>
      <c r="N664" s="808"/>
      <c r="O664" s="807"/>
      <c r="P664" s="808"/>
      <c r="Q664" s="808"/>
      <c r="R664" s="808"/>
      <c r="S664" s="808"/>
      <c r="T664" s="808"/>
      <c r="U664" s="808"/>
      <c r="V664" s="808"/>
    </row>
    <row r="665">
      <c r="B665" s="808"/>
      <c r="D665" s="808"/>
      <c r="E665" s="808"/>
      <c r="F665" s="808"/>
      <c r="G665" s="808"/>
      <c r="H665" s="808"/>
      <c r="I665" s="808"/>
      <c r="J665" s="808"/>
      <c r="K665" s="808"/>
      <c r="L665" s="808"/>
      <c r="M665" s="807"/>
      <c r="N665" s="808"/>
      <c r="O665" s="807"/>
      <c r="P665" s="808"/>
      <c r="Q665" s="808"/>
      <c r="R665" s="808"/>
      <c r="S665" s="808"/>
      <c r="T665" s="808"/>
      <c r="U665" s="808"/>
      <c r="V665" s="808"/>
    </row>
    <row r="666">
      <c r="B666" s="808"/>
      <c r="D666" s="808"/>
      <c r="E666" s="808"/>
      <c r="F666" s="808"/>
      <c r="G666" s="808"/>
      <c r="H666" s="808"/>
      <c r="I666" s="808"/>
      <c r="J666" s="808"/>
      <c r="K666" s="808"/>
      <c r="L666" s="808"/>
      <c r="M666" s="807"/>
      <c r="N666" s="808"/>
      <c r="O666" s="807"/>
      <c r="P666" s="808"/>
      <c r="Q666" s="808"/>
      <c r="R666" s="808"/>
      <c r="S666" s="808"/>
      <c r="T666" s="808"/>
      <c r="U666" s="808"/>
      <c r="V666" s="808"/>
    </row>
    <row r="667">
      <c r="B667" s="808"/>
      <c r="D667" s="808"/>
      <c r="E667" s="808"/>
      <c r="F667" s="808"/>
      <c r="G667" s="808"/>
      <c r="H667" s="808"/>
      <c r="I667" s="808"/>
      <c r="J667" s="808"/>
      <c r="K667" s="808"/>
      <c r="L667" s="808"/>
      <c r="M667" s="807"/>
      <c r="N667" s="808"/>
      <c r="O667" s="807"/>
      <c r="P667" s="808"/>
      <c r="Q667" s="808"/>
      <c r="R667" s="808"/>
      <c r="S667" s="808"/>
      <c r="T667" s="808"/>
      <c r="U667" s="808"/>
      <c r="V667" s="808"/>
    </row>
    <row r="668">
      <c r="B668" s="808"/>
      <c r="D668" s="808"/>
      <c r="E668" s="808"/>
      <c r="F668" s="808"/>
      <c r="G668" s="808"/>
      <c r="H668" s="808"/>
      <c r="I668" s="808"/>
      <c r="J668" s="808"/>
      <c r="K668" s="808"/>
      <c r="L668" s="808"/>
      <c r="M668" s="807"/>
      <c r="N668" s="808"/>
      <c r="O668" s="807"/>
      <c r="P668" s="808"/>
      <c r="Q668" s="808"/>
      <c r="R668" s="808"/>
      <c r="S668" s="808"/>
      <c r="T668" s="808"/>
      <c r="U668" s="808"/>
      <c r="V668" s="808"/>
    </row>
    <row r="669">
      <c r="B669" s="808"/>
      <c r="D669" s="808"/>
      <c r="E669" s="808"/>
      <c r="F669" s="808"/>
      <c r="G669" s="808"/>
      <c r="H669" s="808"/>
      <c r="I669" s="808"/>
      <c r="J669" s="808"/>
      <c r="K669" s="808"/>
      <c r="L669" s="808"/>
      <c r="M669" s="807"/>
      <c r="N669" s="808"/>
      <c r="O669" s="807"/>
      <c r="P669" s="808"/>
      <c r="Q669" s="808"/>
      <c r="R669" s="808"/>
      <c r="S669" s="808"/>
      <c r="T669" s="808"/>
      <c r="U669" s="808"/>
      <c r="V669" s="808"/>
    </row>
    <row r="670">
      <c r="B670" s="808"/>
      <c r="D670" s="808"/>
      <c r="E670" s="808"/>
      <c r="F670" s="808"/>
      <c r="G670" s="808"/>
      <c r="H670" s="808"/>
      <c r="I670" s="808"/>
      <c r="J670" s="808"/>
      <c r="K670" s="808"/>
      <c r="L670" s="808"/>
      <c r="M670" s="807"/>
      <c r="N670" s="808"/>
      <c r="O670" s="807"/>
      <c r="P670" s="808"/>
      <c r="Q670" s="808"/>
      <c r="R670" s="808"/>
      <c r="S670" s="808"/>
      <c r="T670" s="808"/>
      <c r="U670" s="808"/>
      <c r="V670" s="808"/>
    </row>
    <row r="671">
      <c r="B671" s="808"/>
      <c r="D671" s="808"/>
      <c r="E671" s="808"/>
      <c r="F671" s="808"/>
      <c r="G671" s="808"/>
      <c r="H671" s="808"/>
      <c r="I671" s="808"/>
      <c r="J671" s="808"/>
      <c r="K671" s="808"/>
      <c r="L671" s="808"/>
      <c r="M671" s="807"/>
      <c r="N671" s="808"/>
      <c r="O671" s="807"/>
      <c r="P671" s="808"/>
      <c r="Q671" s="808"/>
      <c r="R671" s="808"/>
      <c r="S671" s="808"/>
      <c r="T671" s="808"/>
      <c r="U671" s="808"/>
      <c r="V671" s="808"/>
    </row>
    <row r="672">
      <c r="B672" s="808"/>
      <c r="D672" s="808"/>
      <c r="E672" s="808"/>
      <c r="F672" s="808"/>
      <c r="G672" s="808"/>
      <c r="H672" s="808"/>
      <c r="I672" s="808"/>
      <c r="J672" s="808"/>
      <c r="K672" s="808"/>
      <c r="L672" s="808"/>
      <c r="M672" s="807"/>
      <c r="N672" s="808"/>
      <c r="O672" s="807"/>
      <c r="P672" s="808"/>
      <c r="Q672" s="808"/>
      <c r="R672" s="808"/>
      <c r="S672" s="808"/>
      <c r="T672" s="808"/>
      <c r="U672" s="808"/>
      <c r="V672" s="808"/>
    </row>
    <row r="673">
      <c r="B673" s="808"/>
      <c r="D673" s="808"/>
      <c r="E673" s="808"/>
      <c r="F673" s="808"/>
      <c r="G673" s="808"/>
      <c r="H673" s="808"/>
      <c r="I673" s="808"/>
      <c r="J673" s="808"/>
      <c r="K673" s="808"/>
      <c r="L673" s="808"/>
      <c r="M673" s="807"/>
      <c r="N673" s="808"/>
      <c r="O673" s="807"/>
      <c r="P673" s="808"/>
      <c r="Q673" s="808"/>
      <c r="R673" s="808"/>
      <c r="S673" s="808"/>
      <c r="T673" s="808"/>
      <c r="U673" s="808"/>
      <c r="V673" s="808"/>
    </row>
    <row r="674">
      <c r="B674" s="808"/>
      <c r="D674" s="808"/>
      <c r="E674" s="808"/>
      <c r="F674" s="808"/>
      <c r="G674" s="808"/>
      <c r="H674" s="808"/>
      <c r="I674" s="808"/>
      <c r="J674" s="808"/>
      <c r="K674" s="808"/>
      <c r="L674" s="808"/>
      <c r="M674" s="807"/>
      <c r="N674" s="808"/>
      <c r="O674" s="807"/>
      <c r="P674" s="808"/>
      <c r="Q674" s="808"/>
      <c r="R674" s="808"/>
      <c r="S674" s="808"/>
      <c r="T674" s="808"/>
      <c r="U674" s="808"/>
      <c r="V674" s="808"/>
    </row>
    <row r="675">
      <c r="B675" s="808"/>
      <c r="D675" s="808"/>
      <c r="E675" s="808"/>
      <c r="F675" s="808"/>
      <c r="G675" s="808"/>
      <c r="H675" s="808"/>
      <c r="I675" s="808"/>
      <c r="J675" s="808"/>
      <c r="K675" s="808"/>
      <c r="L675" s="808"/>
      <c r="M675" s="807"/>
      <c r="N675" s="808"/>
      <c r="O675" s="807"/>
      <c r="P675" s="808"/>
      <c r="Q675" s="808"/>
      <c r="R675" s="808"/>
      <c r="S675" s="808"/>
      <c r="T675" s="808"/>
      <c r="U675" s="808"/>
      <c r="V675" s="808"/>
    </row>
    <row r="676">
      <c r="B676" s="808"/>
      <c r="D676" s="808"/>
      <c r="E676" s="808"/>
      <c r="F676" s="808"/>
      <c r="G676" s="808"/>
      <c r="H676" s="808"/>
      <c r="I676" s="808"/>
      <c r="J676" s="808"/>
      <c r="K676" s="808"/>
      <c r="L676" s="808"/>
      <c r="M676" s="807"/>
      <c r="N676" s="808"/>
      <c r="O676" s="807"/>
      <c r="P676" s="808"/>
      <c r="Q676" s="808"/>
      <c r="R676" s="808"/>
      <c r="S676" s="808"/>
      <c r="T676" s="808"/>
      <c r="U676" s="808"/>
      <c r="V676" s="808"/>
    </row>
    <row r="677">
      <c r="B677" s="808"/>
      <c r="D677" s="808"/>
      <c r="E677" s="808"/>
      <c r="F677" s="808"/>
      <c r="G677" s="808"/>
      <c r="H677" s="808"/>
      <c r="I677" s="808"/>
      <c r="J677" s="808"/>
      <c r="K677" s="808"/>
      <c r="L677" s="808"/>
      <c r="M677" s="807"/>
      <c r="N677" s="808"/>
      <c r="O677" s="807"/>
      <c r="P677" s="808"/>
      <c r="Q677" s="808"/>
      <c r="R677" s="808"/>
      <c r="S677" s="808"/>
      <c r="T677" s="808"/>
      <c r="U677" s="808"/>
      <c r="V677" s="808"/>
    </row>
    <row r="678">
      <c r="B678" s="808"/>
      <c r="D678" s="808"/>
      <c r="E678" s="808"/>
      <c r="F678" s="808"/>
      <c r="G678" s="808"/>
      <c r="H678" s="808"/>
      <c r="I678" s="808"/>
      <c r="J678" s="808"/>
      <c r="K678" s="808"/>
      <c r="L678" s="808"/>
      <c r="M678" s="807"/>
      <c r="N678" s="808"/>
      <c r="O678" s="807"/>
      <c r="P678" s="808"/>
      <c r="Q678" s="808"/>
      <c r="R678" s="808"/>
      <c r="S678" s="808"/>
      <c r="T678" s="808"/>
      <c r="U678" s="808"/>
      <c r="V678" s="808"/>
    </row>
    <row r="679">
      <c r="B679" s="808"/>
      <c r="D679" s="808"/>
      <c r="E679" s="808"/>
      <c r="F679" s="808"/>
      <c r="G679" s="808"/>
      <c r="H679" s="808"/>
      <c r="I679" s="808"/>
      <c r="J679" s="808"/>
      <c r="K679" s="808"/>
      <c r="L679" s="808"/>
      <c r="M679" s="807"/>
      <c r="N679" s="808"/>
      <c r="O679" s="807"/>
      <c r="P679" s="808"/>
      <c r="Q679" s="808"/>
      <c r="R679" s="808"/>
      <c r="S679" s="808"/>
      <c r="T679" s="808"/>
      <c r="U679" s="808"/>
      <c r="V679" s="808"/>
    </row>
    <row r="680">
      <c r="B680" s="808"/>
      <c r="D680" s="808"/>
      <c r="E680" s="808"/>
      <c r="F680" s="808"/>
      <c r="G680" s="808"/>
      <c r="H680" s="808"/>
      <c r="I680" s="808"/>
      <c r="J680" s="808"/>
      <c r="K680" s="808"/>
      <c r="L680" s="808"/>
      <c r="M680" s="807"/>
      <c r="N680" s="808"/>
      <c r="O680" s="807"/>
      <c r="P680" s="808"/>
      <c r="Q680" s="808"/>
      <c r="R680" s="808"/>
      <c r="S680" s="808"/>
      <c r="T680" s="808"/>
      <c r="U680" s="808"/>
      <c r="V680" s="808"/>
    </row>
    <row r="681">
      <c r="B681" s="808"/>
      <c r="D681" s="808"/>
      <c r="E681" s="808"/>
      <c r="F681" s="808"/>
      <c r="G681" s="808"/>
      <c r="H681" s="808"/>
      <c r="I681" s="808"/>
      <c r="J681" s="808"/>
      <c r="K681" s="808"/>
      <c r="L681" s="808"/>
      <c r="M681" s="807"/>
      <c r="N681" s="808"/>
      <c r="O681" s="807"/>
      <c r="P681" s="808"/>
      <c r="Q681" s="808"/>
      <c r="R681" s="808"/>
      <c r="S681" s="808"/>
      <c r="T681" s="808"/>
      <c r="U681" s="808"/>
      <c r="V681" s="808"/>
    </row>
    <row r="682">
      <c r="B682" s="808"/>
      <c r="D682" s="808"/>
      <c r="E682" s="808"/>
      <c r="F682" s="808"/>
      <c r="G682" s="808"/>
      <c r="H682" s="808"/>
      <c r="I682" s="808"/>
      <c r="J682" s="808"/>
      <c r="K682" s="808"/>
      <c r="L682" s="808"/>
      <c r="M682" s="807"/>
      <c r="N682" s="808"/>
      <c r="O682" s="807"/>
      <c r="P682" s="808"/>
      <c r="Q682" s="808"/>
      <c r="R682" s="808"/>
      <c r="S682" s="808"/>
      <c r="T682" s="808"/>
      <c r="U682" s="808"/>
      <c r="V682" s="808"/>
    </row>
    <row r="683">
      <c r="B683" s="808"/>
      <c r="D683" s="808"/>
      <c r="E683" s="808"/>
      <c r="F683" s="808"/>
      <c r="G683" s="808"/>
      <c r="H683" s="808"/>
      <c r="I683" s="808"/>
      <c r="J683" s="808"/>
      <c r="K683" s="808"/>
      <c r="L683" s="808"/>
      <c r="M683" s="807"/>
      <c r="N683" s="808"/>
      <c r="O683" s="807"/>
      <c r="P683" s="808"/>
      <c r="Q683" s="808"/>
      <c r="R683" s="808"/>
      <c r="S683" s="808"/>
      <c r="T683" s="808"/>
      <c r="U683" s="808"/>
      <c r="V683" s="808"/>
    </row>
    <row r="684">
      <c r="B684" s="808"/>
      <c r="D684" s="808"/>
      <c r="E684" s="808"/>
      <c r="F684" s="808"/>
      <c r="G684" s="808"/>
      <c r="H684" s="808"/>
      <c r="I684" s="808"/>
      <c r="J684" s="808"/>
      <c r="K684" s="808"/>
      <c r="L684" s="808"/>
      <c r="M684" s="807"/>
      <c r="N684" s="808"/>
      <c r="O684" s="807"/>
      <c r="P684" s="808"/>
      <c r="Q684" s="808"/>
      <c r="R684" s="808"/>
      <c r="S684" s="808"/>
      <c r="T684" s="808"/>
      <c r="U684" s="808"/>
      <c r="V684" s="808"/>
    </row>
    <row r="685">
      <c r="B685" s="808"/>
      <c r="D685" s="808"/>
      <c r="E685" s="808"/>
      <c r="F685" s="808"/>
      <c r="G685" s="808"/>
      <c r="H685" s="808"/>
      <c r="I685" s="808"/>
      <c r="J685" s="808"/>
      <c r="K685" s="808"/>
      <c r="L685" s="808"/>
      <c r="M685" s="807"/>
      <c r="N685" s="808"/>
      <c r="O685" s="807"/>
      <c r="P685" s="808"/>
      <c r="Q685" s="808"/>
      <c r="R685" s="808"/>
      <c r="S685" s="808"/>
      <c r="T685" s="808"/>
      <c r="U685" s="808"/>
      <c r="V685" s="808"/>
    </row>
    <row r="686">
      <c r="B686" s="808"/>
      <c r="D686" s="808"/>
      <c r="E686" s="808"/>
      <c r="F686" s="808"/>
      <c r="G686" s="808"/>
      <c r="H686" s="808"/>
      <c r="I686" s="808"/>
      <c r="J686" s="808"/>
      <c r="K686" s="808"/>
      <c r="L686" s="808"/>
      <c r="M686" s="807"/>
      <c r="N686" s="808"/>
      <c r="O686" s="807"/>
      <c r="P686" s="808"/>
      <c r="Q686" s="808"/>
      <c r="R686" s="808"/>
      <c r="S686" s="808"/>
      <c r="T686" s="808"/>
      <c r="U686" s="808"/>
      <c r="V686" s="808"/>
    </row>
    <row r="687">
      <c r="B687" s="808"/>
      <c r="D687" s="808"/>
      <c r="E687" s="808"/>
      <c r="F687" s="808"/>
      <c r="G687" s="808"/>
      <c r="H687" s="808"/>
      <c r="I687" s="808"/>
      <c r="J687" s="808"/>
      <c r="K687" s="808"/>
      <c r="L687" s="808"/>
      <c r="M687" s="807"/>
      <c r="N687" s="808"/>
      <c r="O687" s="807"/>
      <c r="P687" s="808"/>
      <c r="Q687" s="808"/>
      <c r="R687" s="808"/>
      <c r="S687" s="808"/>
      <c r="T687" s="808"/>
      <c r="U687" s="808"/>
      <c r="V687" s="808"/>
    </row>
    <row r="688">
      <c r="B688" s="808"/>
      <c r="D688" s="808"/>
      <c r="E688" s="808"/>
      <c r="F688" s="808"/>
      <c r="G688" s="808"/>
      <c r="H688" s="808"/>
      <c r="I688" s="808"/>
      <c r="J688" s="808"/>
      <c r="K688" s="808"/>
      <c r="L688" s="808"/>
      <c r="M688" s="807"/>
      <c r="N688" s="808"/>
      <c r="O688" s="807"/>
      <c r="P688" s="808"/>
      <c r="Q688" s="808"/>
      <c r="R688" s="808"/>
      <c r="S688" s="808"/>
      <c r="T688" s="808"/>
      <c r="U688" s="808"/>
      <c r="V688" s="808"/>
    </row>
    <row r="689">
      <c r="B689" s="808"/>
      <c r="D689" s="808"/>
      <c r="E689" s="808"/>
      <c r="F689" s="808"/>
      <c r="G689" s="808"/>
      <c r="H689" s="808"/>
      <c r="I689" s="808"/>
      <c r="J689" s="808"/>
      <c r="K689" s="808"/>
      <c r="L689" s="808"/>
      <c r="M689" s="807"/>
      <c r="N689" s="808"/>
      <c r="O689" s="807"/>
      <c r="P689" s="808"/>
      <c r="Q689" s="808"/>
      <c r="R689" s="808"/>
      <c r="S689" s="808"/>
      <c r="T689" s="808"/>
      <c r="U689" s="808"/>
      <c r="V689" s="808"/>
    </row>
    <row r="690">
      <c r="B690" s="808"/>
      <c r="D690" s="808"/>
      <c r="E690" s="808"/>
      <c r="F690" s="808"/>
      <c r="G690" s="808"/>
      <c r="H690" s="808"/>
      <c r="I690" s="808"/>
      <c r="J690" s="808"/>
      <c r="K690" s="808"/>
      <c r="L690" s="808"/>
      <c r="M690" s="807"/>
      <c r="N690" s="808"/>
      <c r="O690" s="807"/>
      <c r="P690" s="808"/>
      <c r="Q690" s="808"/>
      <c r="R690" s="808"/>
      <c r="S690" s="808"/>
      <c r="T690" s="808"/>
      <c r="U690" s="808"/>
      <c r="V690" s="808"/>
    </row>
    <row r="691">
      <c r="B691" s="808"/>
      <c r="D691" s="808"/>
      <c r="E691" s="808"/>
      <c r="F691" s="808"/>
      <c r="G691" s="808"/>
      <c r="H691" s="808"/>
      <c r="I691" s="808"/>
      <c r="J691" s="808"/>
      <c r="K691" s="808"/>
      <c r="L691" s="808"/>
      <c r="M691" s="807"/>
      <c r="N691" s="808"/>
      <c r="O691" s="807"/>
      <c r="P691" s="808"/>
      <c r="Q691" s="808"/>
      <c r="R691" s="808"/>
      <c r="S691" s="808"/>
      <c r="T691" s="808"/>
      <c r="U691" s="808"/>
      <c r="V691" s="808"/>
    </row>
    <row r="692">
      <c r="B692" s="808"/>
      <c r="D692" s="808"/>
      <c r="E692" s="808"/>
      <c r="F692" s="808"/>
      <c r="G692" s="808"/>
      <c r="H692" s="808"/>
      <c r="I692" s="808"/>
      <c r="J692" s="808"/>
      <c r="K692" s="808"/>
      <c r="L692" s="808"/>
      <c r="M692" s="807"/>
      <c r="N692" s="808"/>
      <c r="O692" s="807"/>
      <c r="P692" s="808"/>
      <c r="Q692" s="808"/>
      <c r="R692" s="808"/>
      <c r="S692" s="808"/>
      <c r="T692" s="808"/>
      <c r="U692" s="808"/>
      <c r="V692" s="808"/>
    </row>
    <row r="693">
      <c r="B693" s="808"/>
      <c r="D693" s="808"/>
      <c r="E693" s="808"/>
      <c r="F693" s="808"/>
      <c r="G693" s="808"/>
      <c r="H693" s="808"/>
      <c r="I693" s="808"/>
      <c r="J693" s="808"/>
      <c r="K693" s="808"/>
      <c r="L693" s="808"/>
      <c r="M693" s="807"/>
      <c r="N693" s="808"/>
      <c r="O693" s="807"/>
      <c r="P693" s="808"/>
      <c r="Q693" s="808"/>
      <c r="R693" s="808"/>
      <c r="S693" s="808"/>
      <c r="T693" s="808"/>
      <c r="U693" s="808"/>
      <c r="V693" s="808"/>
    </row>
    <row r="694">
      <c r="B694" s="808"/>
      <c r="D694" s="808"/>
      <c r="E694" s="808"/>
      <c r="F694" s="808"/>
      <c r="G694" s="808"/>
      <c r="H694" s="808"/>
      <c r="I694" s="808"/>
      <c r="J694" s="808"/>
      <c r="K694" s="808"/>
      <c r="L694" s="808"/>
      <c r="M694" s="807"/>
      <c r="N694" s="808"/>
      <c r="O694" s="807"/>
      <c r="P694" s="808"/>
      <c r="Q694" s="808"/>
      <c r="R694" s="808"/>
      <c r="S694" s="808"/>
      <c r="T694" s="808"/>
      <c r="U694" s="808"/>
      <c r="V694" s="808"/>
    </row>
    <row r="695">
      <c r="B695" s="808"/>
      <c r="D695" s="808"/>
      <c r="E695" s="808"/>
      <c r="F695" s="808"/>
      <c r="G695" s="808"/>
      <c r="H695" s="808"/>
      <c r="I695" s="808"/>
      <c r="J695" s="808"/>
      <c r="K695" s="808"/>
      <c r="L695" s="808"/>
      <c r="M695" s="807"/>
      <c r="N695" s="808"/>
      <c r="O695" s="807"/>
      <c r="P695" s="808"/>
      <c r="Q695" s="808"/>
      <c r="R695" s="808"/>
      <c r="S695" s="808"/>
      <c r="T695" s="808"/>
      <c r="U695" s="808"/>
      <c r="V695" s="808"/>
    </row>
    <row r="696">
      <c r="B696" s="808"/>
      <c r="D696" s="808"/>
      <c r="E696" s="808"/>
      <c r="F696" s="808"/>
      <c r="G696" s="808"/>
      <c r="H696" s="808"/>
      <c r="I696" s="808"/>
      <c r="J696" s="808"/>
      <c r="K696" s="808"/>
      <c r="L696" s="808"/>
      <c r="M696" s="807"/>
      <c r="N696" s="808"/>
      <c r="O696" s="807"/>
      <c r="P696" s="808"/>
      <c r="Q696" s="808"/>
      <c r="R696" s="808"/>
      <c r="S696" s="808"/>
      <c r="T696" s="808"/>
      <c r="U696" s="808"/>
      <c r="V696" s="808"/>
    </row>
    <row r="697">
      <c r="B697" s="808"/>
      <c r="D697" s="808"/>
      <c r="E697" s="808"/>
      <c r="F697" s="808"/>
      <c r="G697" s="808"/>
      <c r="H697" s="808"/>
      <c r="I697" s="808"/>
      <c r="J697" s="808"/>
      <c r="K697" s="808"/>
      <c r="L697" s="808"/>
      <c r="M697" s="807"/>
      <c r="N697" s="808"/>
      <c r="O697" s="807"/>
      <c r="P697" s="808"/>
      <c r="Q697" s="808"/>
      <c r="R697" s="808"/>
      <c r="S697" s="808"/>
      <c r="T697" s="808"/>
      <c r="U697" s="808"/>
      <c r="V697" s="808"/>
    </row>
    <row r="698">
      <c r="B698" s="808"/>
      <c r="D698" s="808"/>
      <c r="E698" s="808"/>
      <c r="F698" s="808"/>
      <c r="G698" s="808"/>
      <c r="H698" s="808"/>
      <c r="I698" s="808"/>
      <c r="J698" s="808"/>
      <c r="K698" s="808"/>
      <c r="L698" s="808"/>
      <c r="M698" s="807"/>
      <c r="N698" s="808"/>
      <c r="O698" s="807"/>
      <c r="P698" s="808"/>
      <c r="Q698" s="808"/>
      <c r="R698" s="808"/>
      <c r="S698" s="808"/>
      <c r="T698" s="808"/>
      <c r="U698" s="808"/>
      <c r="V698" s="808"/>
    </row>
    <row r="699">
      <c r="B699" s="808"/>
      <c r="D699" s="808"/>
      <c r="E699" s="808"/>
      <c r="F699" s="808"/>
      <c r="G699" s="808"/>
      <c r="H699" s="808"/>
      <c r="I699" s="808"/>
      <c r="J699" s="808"/>
      <c r="K699" s="808"/>
      <c r="L699" s="808"/>
      <c r="M699" s="807"/>
      <c r="N699" s="808"/>
      <c r="O699" s="807"/>
      <c r="P699" s="808"/>
      <c r="Q699" s="808"/>
      <c r="R699" s="808"/>
      <c r="S699" s="808"/>
      <c r="T699" s="808"/>
      <c r="U699" s="808"/>
      <c r="V699" s="808"/>
    </row>
    <row r="700">
      <c r="B700" s="808"/>
      <c r="D700" s="808"/>
      <c r="E700" s="808"/>
      <c r="F700" s="808"/>
      <c r="G700" s="808"/>
      <c r="H700" s="808"/>
      <c r="I700" s="808"/>
      <c r="J700" s="808"/>
      <c r="K700" s="808"/>
      <c r="L700" s="808"/>
      <c r="M700" s="807"/>
      <c r="N700" s="808"/>
      <c r="O700" s="807"/>
      <c r="P700" s="808"/>
      <c r="Q700" s="808"/>
      <c r="R700" s="808"/>
      <c r="S700" s="808"/>
      <c r="T700" s="808"/>
      <c r="U700" s="808"/>
      <c r="V700" s="808"/>
    </row>
    <row r="701">
      <c r="B701" s="808"/>
      <c r="D701" s="808"/>
      <c r="E701" s="808"/>
      <c r="F701" s="808"/>
      <c r="G701" s="808"/>
      <c r="H701" s="808"/>
      <c r="I701" s="808"/>
      <c r="J701" s="808"/>
      <c r="K701" s="808"/>
      <c r="L701" s="808"/>
      <c r="M701" s="807"/>
      <c r="N701" s="808"/>
      <c r="O701" s="807"/>
      <c r="P701" s="808"/>
      <c r="Q701" s="808"/>
      <c r="R701" s="808"/>
      <c r="S701" s="808"/>
      <c r="T701" s="808"/>
      <c r="U701" s="808"/>
      <c r="V701" s="808"/>
    </row>
    <row r="702">
      <c r="B702" s="808"/>
      <c r="D702" s="808"/>
      <c r="E702" s="808"/>
      <c r="F702" s="808"/>
      <c r="G702" s="808"/>
      <c r="H702" s="808"/>
      <c r="I702" s="808"/>
      <c r="J702" s="808"/>
      <c r="K702" s="808"/>
      <c r="L702" s="808"/>
      <c r="M702" s="807"/>
      <c r="N702" s="808"/>
      <c r="O702" s="807"/>
      <c r="P702" s="808"/>
      <c r="Q702" s="808"/>
      <c r="R702" s="808"/>
      <c r="S702" s="808"/>
      <c r="T702" s="808"/>
      <c r="U702" s="808"/>
      <c r="V702" s="808"/>
    </row>
    <row r="703">
      <c r="B703" s="808"/>
      <c r="D703" s="808"/>
      <c r="E703" s="808"/>
      <c r="F703" s="808"/>
      <c r="G703" s="808"/>
      <c r="H703" s="808"/>
      <c r="I703" s="808"/>
      <c r="J703" s="808"/>
      <c r="K703" s="808"/>
      <c r="L703" s="808"/>
      <c r="M703" s="807"/>
      <c r="N703" s="808"/>
      <c r="O703" s="807"/>
      <c r="P703" s="808"/>
      <c r="Q703" s="808"/>
      <c r="R703" s="808"/>
      <c r="S703" s="808"/>
      <c r="T703" s="808"/>
      <c r="U703" s="808"/>
      <c r="V703" s="808"/>
    </row>
    <row r="704">
      <c r="B704" s="808"/>
      <c r="D704" s="808"/>
      <c r="E704" s="808"/>
      <c r="F704" s="808"/>
      <c r="G704" s="808"/>
      <c r="H704" s="808"/>
      <c r="I704" s="808"/>
      <c r="J704" s="808"/>
      <c r="K704" s="808"/>
      <c r="L704" s="808"/>
      <c r="M704" s="807"/>
      <c r="N704" s="808"/>
      <c r="O704" s="807"/>
      <c r="P704" s="808"/>
      <c r="Q704" s="808"/>
      <c r="R704" s="808"/>
      <c r="S704" s="808"/>
      <c r="T704" s="808"/>
      <c r="U704" s="808"/>
      <c r="V704" s="808"/>
    </row>
    <row r="705">
      <c r="B705" s="808"/>
      <c r="D705" s="808"/>
      <c r="E705" s="808"/>
      <c r="F705" s="808"/>
      <c r="G705" s="808"/>
      <c r="H705" s="808"/>
      <c r="I705" s="808"/>
      <c r="J705" s="808"/>
      <c r="K705" s="808"/>
      <c r="L705" s="808"/>
      <c r="M705" s="807"/>
      <c r="N705" s="808"/>
      <c r="O705" s="807"/>
      <c r="P705" s="808"/>
      <c r="Q705" s="808"/>
      <c r="R705" s="808"/>
      <c r="S705" s="808"/>
      <c r="T705" s="808"/>
      <c r="U705" s="808"/>
      <c r="V705" s="808"/>
    </row>
    <row r="706">
      <c r="B706" s="808"/>
      <c r="D706" s="808"/>
      <c r="E706" s="808"/>
      <c r="F706" s="808"/>
      <c r="G706" s="808"/>
      <c r="H706" s="808"/>
      <c r="I706" s="808"/>
      <c r="J706" s="808"/>
      <c r="K706" s="808"/>
      <c r="L706" s="808"/>
      <c r="M706" s="807"/>
      <c r="N706" s="808"/>
      <c r="O706" s="807"/>
      <c r="P706" s="808"/>
      <c r="Q706" s="808"/>
      <c r="R706" s="808"/>
      <c r="S706" s="808"/>
      <c r="T706" s="808"/>
      <c r="U706" s="808"/>
      <c r="V706" s="808"/>
    </row>
    <row r="707">
      <c r="B707" s="808"/>
      <c r="D707" s="808"/>
      <c r="E707" s="808"/>
      <c r="F707" s="808"/>
      <c r="G707" s="808"/>
      <c r="H707" s="808"/>
      <c r="I707" s="808"/>
      <c r="J707" s="808"/>
      <c r="K707" s="808"/>
      <c r="L707" s="808"/>
      <c r="M707" s="807"/>
      <c r="N707" s="808"/>
      <c r="O707" s="807"/>
      <c r="P707" s="808"/>
      <c r="Q707" s="808"/>
      <c r="R707" s="808"/>
      <c r="S707" s="808"/>
      <c r="T707" s="808"/>
      <c r="U707" s="808"/>
      <c r="V707" s="808"/>
    </row>
    <row r="708">
      <c r="B708" s="808"/>
      <c r="D708" s="808"/>
      <c r="E708" s="808"/>
      <c r="F708" s="808"/>
      <c r="G708" s="808"/>
      <c r="H708" s="808"/>
      <c r="I708" s="808"/>
      <c r="J708" s="808"/>
      <c r="K708" s="808"/>
      <c r="L708" s="808"/>
      <c r="M708" s="807"/>
      <c r="N708" s="808"/>
      <c r="O708" s="807"/>
      <c r="P708" s="808"/>
      <c r="Q708" s="808"/>
      <c r="R708" s="808"/>
      <c r="S708" s="808"/>
      <c r="T708" s="808"/>
      <c r="U708" s="808"/>
      <c r="V708" s="808"/>
    </row>
    <row r="709">
      <c r="B709" s="808"/>
      <c r="D709" s="808"/>
      <c r="E709" s="808"/>
      <c r="F709" s="808"/>
      <c r="G709" s="808"/>
      <c r="H709" s="808"/>
      <c r="I709" s="808"/>
      <c r="J709" s="808"/>
      <c r="K709" s="808"/>
      <c r="L709" s="808"/>
      <c r="M709" s="807"/>
      <c r="N709" s="808"/>
      <c r="O709" s="807"/>
      <c r="P709" s="808"/>
      <c r="Q709" s="808"/>
      <c r="R709" s="808"/>
      <c r="S709" s="808"/>
      <c r="T709" s="808"/>
      <c r="U709" s="808"/>
      <c r="V709" s="808"/>
    </row>
    <row r="710">
      <c r="B710" s="808"/>
      <c r="D710" s="808"/>
      <c r="E710" s="808"/>
      <c r="F710" s="808"/>
      <c r="G710" s="808"/>
      <c r="H710" s="808"/>
      <c r="I710" s="808"/>
      <c r="J710" s="808"/>
      <c r="K710" s="808"/>
      <c r="L710" s="808"/>
      <c r="M710" s="807"/>
      <c r="N710" s="808"/>
      <c r="O710" s="807"/>
      <c r="P710" s="808"/>
      <c r="Q710" s="808"/>
      <c r="R710" s="808"/>
      <c r="S710" s="808"/>
      <c r="T710" s="808"/>
      <c r="U710" s="808"/>
      <c r="V710" s="808"/>
    </row>
    <row r="711">
      <c r="B711" s="808"/>
      <c r="D711" s="808"/>
      <c r="E711" s="808"/>
      <c r="F711" s="808"/>
      <c r="G711" s="808"/>
      <c r="H711" s="808"/>
      <c r="I711" s="808"/>
      <c r="J711" s="808"/>
      <c r="K711" s="808"/>
      <c r="L711" s="808"/>
      <c r="M711" s="807"/>
      <c r="N711" s="808"/>
      <c r="O711" s="807"/>
      <c r="P711" s="808"/>
      <c r="Q711" s="808"/>
      <c r="R711" s="808"/>
      <c r="S711" s="808"/>
      <c r="T711" s="808"/>
      <c r="U711" s="808"/>
      <c r="V711" s="808"/>
    </row>
    <row r="712">
      <c r="B712" s="808"/>
      <c r="D712" s="808"/>
      <c r="E712" s="808"/>
      <c r="F712" s="808"/>
      <c r="G712" s="808"/>
      <c r="H712" s="808"/>
      <c r="I712" s="808"/>
      <c r="J712" s="808"/>
      <c r="K712" s="808"/>
      <c r="L712" s="808"/>
      <c r="M712" s="807"/>
      <c r="N712" s="808"/>
      <c r="O712" s="807"/>
      <c r="P712" s="808"/>
      <c r="Q712" s="808"/>
      <c r="R712" s="808"/>
      <c r="S712" s="808"/>
      <c r="T712" s="808"/>
      <c r="U712" s="808"/>
      <c r="V712" s="808"/>
    </row>
    <row r="713">
      <c r="B713" s="808"/>
      <c r="D713" s="808"/>
      <c r="E713" s="808"/>
      <c r="F713" s="808"/>
      <c r="G713" s="808"/>
      <c r="H713" s="808"/>
      <c r="I713" s="808"/>
      <c r="J713" s="808"/>
      <c r="K713" s="808"/>
      <c r="L713" s="808"/>
      <c r="M713" s="807"/>
      <c r="N713" s="808"/>
      <c r="O713" s="807"/>
      <c r="P713" s="808"/>
      <c r="Q713" s="808"/>
      <c r="R713" s="808"/>
      <c r="S713" s="808"/>
      <c r="T713" s="808"/>
      <c r="U713" s="808"/>
      <c r="V713" s="808"/>
    </row>
    <row r="714">
      <c r="B714" s="808"/>
      <c r="D714" s="808"/>
      <c r="E714" s="808"/>
      <c r="F714" s="808"/>
      <c r="G714" s="808"/>
      <c r="H714" s="808"/>
      <c r="I714" s="808"/>
      <c r="J714" s="808"/>
      <c r="K714" s="808"/>
      <c r="L714" s="808"/>
      <c r="M714" s="807"/>
      <c r="N714" s="808"/>
      <c r="O714" s="807"/>
      <c r="P714" s="808"/>
      <c r="Q714" s="808"/>
      <c r="R714" s="808"/>
      <c r="S714" s="808"/>
      <c r="T714" s="808"/>
      <c r="U714" s="808"/>
      <c r="V714" s="808"/>
    </row>
    <row r="715">
      <c r="B715" s="808"/>
      <c r="D715" s="808"/>
      <c r="E715" s="808"/>
      <c r="F715" s="808"/>
      <c r="G715" s="808"/>
      <c r="H715" s="808"/>
      <c r="I715" s="808"/>
      <c r="J715" s="808"/>
      <c r="K715" s="808"/>
      <c r="L715" s="808"/>
      <c r="M715" s="807"/>
      <c r="N715" s="808"/>
      <c r="O715" s="807"/>
      <c r="P715" s="808"/>
      <c r="Q715" s="808"/>
      <c r="R715" s="808"/>
      <c r="S715" s="808"/>
      <c r="T715" s="808"/>
      <c r="U715" s="808"/>
      <c r="V715" s="808"/>
    </row>
    <row r="716">
      <c r="B716" s="808"/>
      <c r="D716" s="808"/>
      <c r="E716" s="808"/>
      <c r="F716" s="808"/>
      <c r="G716" s="808"/>
      <c r="H716" s="808"/>
      <c r="I716" s="808"/>
      <c r="J716" s="808"/>
      <c r="K716" s="808"/>
      <c r="L716" s="808"/>
      <c r="M716" s="807"/>
      <c r="N716" s="808"/>
      <c r="O716" s="807"/>
      <c r="P716" s="808"/>
      <c r="Q716" s="808"/>
      <c r="R716" s="808"/>
      <c r="S716" s="808"/>
      <c r="T716" s="808"/>
      <c r="U716" s="808"/>
      <c r="V716" s="808"/>
    </row>
    <row r="717">
      <c r="B717" s="808"/>
      <c r="D717" s="808"/>
      <c r="E717" s="808"/>
      <c r="F717" s="808"/>
      <c r="G717" s="808"/>
      <c r="H717" s="808"/>
      <c r="I717" s="808"/>
      <c r="J717" s="808"/>
      <c r="K717" s="808"/>
      <c r="L717" s="808"/>
      <c r="M717" s="807"/>
      <c r="N717" s="808"/>
      <c r="O717" s="807"/>
      <c r="P717" s="808"/>
      <c r="Q717" s="808"/>
      <c r="R717" s="808"/>
      <c r="S717" s="808"/>
      <c r="T717" s="808"/>
      <c r="U717" s="808"/>
      <c r="V717" s="808"/>
    </row>
    <row r="718">
      <c r="B718" s="808"/>
      <c r="D718" s="808"/>
      <c r="E718" s="808"/>
      <c r="F718" s="808"/>
      <c r="G718" s="808"/>
      <c r="H718" s="808"/>
      <c r="I718" s="808"/>
      <c r="J718" s="808"/>
      <c r="K718" s="808"/>
      <c r="L718" s="808"/>
      <c r="M718" s="807"/>
      <c r="N718" s="808"/>
      <c r="O718" s="807"/>
      <c r="P718" s="808"/>
      <c r="Q718" s="808"/>
      <c r="R718" s="808"/>
      <c r="S718" s="808"/>
      <c r="T718" s="808"/>
      <c r="U718" s="808"/>
      <c r="V718" s="808"/>
    </row>
    <row r="719">
      <c r="B719" s="808"/>
      <c r="D719" s="808"/>
      <c r="E719" s="808"/>
      <c r="F719" s="808"/>
      <c r="G719" s="808"/>
      <c r="H719" s="808"/>
      <c r="I719" s="808"/>
      <c r="J719" s="808"/>
      <c r="K719" s="808"/>
      <c r="L719" s="808"/>
      <c r="M719" s="807"/>
      <c r="N719" s="808"/>
      <c r="O719" s="807"/>
      <c r="P719" s="808"/>
      <c r="Q719" s="808"/>
      <c r="R719" s="808"/>
      <c r="S719" s="808"/>
      <c r="T719" s="808"/>
      <c r="U719" s="808"/>
      <c r="V719" s="808"/>
    </row>
    <row r="720">
      <c r="B720" s="808"/>
      <c r="D720" s="808"/>
      <c r="E720" s="808"/>
      <c r="F720" s="808"/>
      <c r="G720" s="808"/>
      <c r="H720" s="808"/>
      <c r="I720" s="808"/>
      <c r="J720" s="808"/>
      <c r="K720" s="808"/>
      <c r="L720" s="808"/>
      <c r="M720" s="807"/>
      <c r="N720" s="808"/>
      <c r="O720" s="807"/>
      <c r="P720" s="808"/>
      <c r="Q720" s="808"/>
      <c r="R720" s="808"/>
      <c r="S720" s="808"/>
      <c r="T720" s="808"/>
      <c r="U720" s="808"/>
      <c r="V720" s="808"/>
    </row>
    <row r="721">
      <c r="B721" s="808"/>
      <c r="D721" s="808"/>
      <c r="E721" s="808"/>
      <c r="F721" s="808"/>
      <c r="G721" s="808"/>
      <c r="H721" s="808"/>
      <c r="I721" s="808"/>
      <c r="J721" s="808"/>
      <c r="K721" s="808"/>
      <c r="L721" s="808"/>
      <c r="M721" s="807"/>
      <c r="N721" s="808"/>
      <c r="O721" s="807"/>
      <c r="P721" s="808"/>
      <c r="Q721" s="808"/>
      <c r="R721" s="808"/>
      <c r="S721" s="808"/>
      <c r="T721" s="808"/>
      <c r="U721" s="808"/>
      <c r="V721" s="808"/>
    </row>
    <row r="722">
      <c r="B722" s="808"/>
      <c r="D722" s="808"/>
      <c r="E722" s="808"/>
      <c r="F722" s="808"/>
      <c r="G722" s="808"/>
      <c r="H722" s="808"/>
      <c r="I722" s="808"/>
      <c r="J722" s="808"/>
      <c r="K722" s="808"/>
      <c r="L722" s="808"/>
      <c r="M722" s="807"/>
      <c r="N722" s="808"/>
      <c r="O722" s="807"/>
      <c r="P722" s="808"/>
      <c r="Q722" s="808"/>
      <c r="R722" s="808"/>
      <c r="S722" s="808"/>
      <c r="T722" s="808"/>
      <c r="U722" s="808"/>
      <c r="V722" s="808"/>
    </row>
    <row r="723">
      <c r="B723" s="808"/>
      <c r="D723" s="808"/>
      <c r="E723" s="808"/>
      <c r="F723" s="808"/>
      <c r="G723" s="808"/>
      <c r="H723" s="808"/>
      <c r="I723" s="808"/>
      <c r="J723" s="808"/>
      <c r="K723" s="808"/>
      <c r="L723" s="808"/>
      <c r="M723" s="807"/>
      <c r="N723" s="808"/>
      <c r="O723" s="807"/>
      <c r="P723" s="808"/>
      <c r="Q723" s="808"/>
      <c r="R723" s="808"/>
      <c r="S723" s="808"/>
      <c r="T723" s="808"/>
      <c r="U723" s="808"/>
      <c r="V723" s="808"/>
    </row>
    <row r="724">
      <c r="B724" s="808"/>
      <c r="D724" s="808"/>
      <c r="E724" s="808"/>
      <c r="F724" s="808"/>
      <c r="G724" s="808"/>
      <c r="H724" s="808"/>
      <c r="I724" s="808"/>
      <c r="J724" s="808"/>
      <c r="K724" s="808"/>
      <c r="L724" s="808"/>
      <c r="M724" s="807"/>
      <c r="N724" s="808"/>
      <c r="O724" s="807"/>
      <c r="P724" s="808"/>
      <c r="Q724" s="808"/>
      <c r="R724" s="808"/>
      <c r="S724" s="808"/>
      <c r="T724" s="808"/>
      <c r="U724" s="808"/>
      <c r="V724" s="808"/>
    </row>
    <row r="725">
      <c r="B725" s="808"/>
      <c r="D725" s="808"/>
      <c r="E725" s="808"/>
      <c r="F725" s="808"/>
      <c r="G725" s="808"/>
      <c r="H725" s="808"/>
      <c r="I725" s="808"/>
      <c r="J725" s="808"/>
      <c r="K725" s="808"/>
      <c r="L725" s="808"/>
      <c r="M725" s="807"/>
      <c r="N725" s="808"/>
      <c r="O725" s="807"/>
      <c r="P725" s="808"/>
      <c r="Q725" s="808"/>
      <c r="R725" s="808"/>
      <c r="S725" s="808"/>
      <c r="T725" s="808"/>
      <c r="U725" s="808"/>
      <c r="V725" s="808"/>
    </row>
    <row r="726">
      <c r="B726" s="808"/>
      <c r="D726" s="808"/>
      <c r="E726" s="808"/>
      <c r="F726" s="808"/>
      <c r="G726" s="808"/>
      <c r="H726" s="808"/>
      <c r="I726" s="808"/>
      <c r="J726" s="808"/>
      <c r="K726" s="808"/>
      <c r="L726" s="808"/>
      <c r="M726" s="807"/>
      <c r="N726" s="808"/>
      <c r="O726" s="807"/>
      <c r="P726" s="808"/>
      <c r="Q726" s="808"/>
      <c r="R726" s="808"/>
      <c r="S726" s="808"/>
      <c r="T726" s="808"/>
      <c r="U726" s="808"/>
      <c r="V726" s="808"/>
    </row>
    <row r="727">
      <c r="B727" s="808"/>
      <c r="D727" s="808"/>
      <c r="E727" s="808"/>
      <c r="F727" s="808"/>
      <c r="G727" s="808"/>
      <c r="H727" s="808"/>
      <c r="I727" s="808"/>
      <c r="J727" s="808"/>
      <c r="K727" s="808"/>
      <c r="L727" s="808"/>
      <c r="M727" s="807"/>
      <c r="N727" s="808"/>
      <c r="O727" s="807"/>
      <c r="P727" s="808"/>
      <c r="Q727" s="808"/>
      <c r="R727" s="808"/>
      <c r="S727" s="808"/>
      <c r="T727" s="808"/>
      <c r="U727" s="808"/>
      <c r="V727" s="808"/>
    </row>
    <row r="728">
      <c r="B728" s="808"/>
      <c r="D728" s="808"/>
      <c r="E728" s="808"/>
      <c r="F728" s="808"/>
      <c r="G728" s="808"/>
      <c r="H728" s="808"/>
      <c r="I728" s="808"/>
      <c r="J728" s="808"/>
      <c r="K728" s="808"/>
      <c r="L728" s="808"/>
      <c r="M728" s="807"/>
      <c r="N728" s="808"/>
      <c r="O728" s="807"/>
      <c r="P728" s="808"/>
      <c r="Q728" s="808"/>
      <c r="R728" s="808"/>
      <c r="S728" s="808"/>
      <c r="T728" s="808"/>
      <c r="U728" s="808"/>
      <c r="V728" s="808"/>
    </row>
    <row r="729">
      <c r="B729" s="808"/>
      <c r="D729" s="808"/>
      <c r="E729" s="808"/>
      <c r="F729" s="808"/>
      <c r="G729" s="808"/>
      <c r="H729" s="808"/>
      <c r="I729" s="808"/>
      <c r="J729" s="808"/>
      <c r="K729" s="808"/>
      <c r="L729" s="808"/>
      <c r="M729" s="807"/>
      <c r="N729" s="808"/>
      <c r="O729" s="807"/>
      <c r="P729" s="808"/>
      <c r="Q729" s="808"/>
      <c r="R729" s="808"/>
      <c r="S729" s="808"/>
      <c r="T729" s="808"/>
      <c r="U729" s="808"/>
      <c r="V729" s="808"/>
    </row>
    <row r="730">
      <c r="B730" s="808"/>
      <c r="D730" s="808"/>
      <c r="E730" s="808"/>
      <c r="F730" s="808"/>
      <c r="G730" s="808"/>
      <c r="H730" s="808"/>
      <c r="I730" s="808"/>
      <c r="J730" s="808"/>
      <c r="K730" s="808"/>
      <c r="L730" s="808"/>
      <c r="M730" s="807"/>
      <c r="N730" s="808"/>
      <c r="O730" s="807"/>
      <c r="P730" s="808"/>
      <c r="Q730" s="808"/>
      <c r="R730" s="808"/>
      <c r="S730" s="808"/>
      <c r="T730" s="808"/>
      <c r="U730" s="808"/>
      <c r="V730" s="808"/>
    </row>
    <row r="731">
      <c r="B731" s="808"/>
      <c r="D731" s="808"/>
      <c r="E731" s="808"/>
      <c r="F731" s="808"/>
      <c r="G731" s="808"/>
      <c r="H731" s="808"/>
      <c r="I731" s="808"/>
      <c r="J731" s="808"/>
      <c r="K731" s="808"/>
      <c r="L731" s="808"/>
      <c r="M731" s="807"/>
      <c r="N731" s="808"/>
      <c r="O731" s="807"/>
      <c r="P731" s="808"/>
      <c r="Q731" s="808"/>
      <c r="R731" s="808"/>
      <c r="S731" s="808"/>
      <c r="T731" s="808"/>
      <c r="U731" s="808"/>
      <c r="V731" s="808"/>
    </row>
    <row r="732">
      <c r="B732" s="808"/>
      <c r="D732" s="808"/>
      <c r="E732" s="808"/>
      <c r="F732" s="808"/>
      <c r="G732" s="808"/>
      <c r="H732" s="808"/>
      <c r="I732" s="808"/>
      <c r="J732" s="808"/>
      <c r="K732" s="808"/>
      <c r="L732" s="808"/>
      <c r="M732" s="807"/>
      <c r="N732" s="808"/>
      <c r="O732" s="807"/>
      <c r="P732" s="808"/>
      <c r="Q732" s="808"/>
      <c r="R732" s="808"/>
      <c r="S732" s="808"/>
      <c r="T732" s="808"/>
      <c r="U732" s="808"/>
      <c r="V732" s="808"/>
    </row>
    <row r="733">
      <c r="B733" s="808"/>
      <c r="D733" s="808"/>
      <c r="E733" s="808"/>
      <c r="F733" s="808"/>
      <c r="G733" s="808"/>
      <c r="H733" s="808"/>
      <c r="I733" s="808"/>
      <c r="J733" s="808"/>
      <c r="K733" s="808"/>
      <c r="L733" s="808"/>
      <c r="M733" s="807"/>
      <c r="N733" s="808"/>
      <c r="O733" s="807"/>
      <c r="P733" s="808"/>
      <c r="Q733" s="808"/>
      <c r="R733" s="808"/>
      <c r="S733" s="808"/>
      <c r="T733" s="808"/>
      <c r="U733" s="808"/>
      <c r="V733" s="808"/>
    </row>
    <row r="734">
      <c r="B734" s="808"/>
      <c r="D734" s="808"/>
      <c r="E734" s="808"/>
      <c r="F734" s="808"/>
      <c r="G734" s="808"/>
      <c r="H734" s="808"/>
      <c r="I734" s="808"/>
      <c r="J734" s="808"/>
      <c r="K734" s="808"/>
      <c r="L734" s="808"/>
      <c r="M734" s="807"/>
      <c r="N734" s="808"/>
      <c r="O734" s="807"/>
      <c r="P734" s="808"/>
      <c r="Q734" s="808"/>
      <c r="R734" s="808"/>
      <c r="S734" s="808"/>
      <c r="T734" s="808"/>
      <c r="U734" s="808"/>
      <c r="V734" s="808"/>
    </row>
    <row r="735">
      <c r="B735" s="808"/>
      <c r="D735" s="808"/>
      <c r="E735" s="808"/>
      <c r="F735" s="808"/>
      <c r="G735" s="808"/>
      <c r="H735" s="808"/>
      <c r="I735" s="808"/>
      <c r="J735" s="808"/>
      <c r="K735" s="808"/>
      <c r="L735" s="808"/>
      <c r="M735" s="807"/>
      <c r="N735" s="808"/>
      <c r="O735" s="807"/>
      <c r="P735" s="808"/>
      <c r="Q735" s="808"/>
      <c r="R735" s="808"/>
      <c r="S735" s="808"/>
      <c r="T735" s="808"/>
      <c r="U735" s="808"/>
      <c r="V735" s="808"/>
    </row>
    <row r="736">
      <c r="B736" s="808"/>
      <c r="D736" s="808"/>
      <c r="E736" s="808"/>
      <c r="F736" s="808"/>
      <c r="G736" s="808"/>
      <c r="H736" s="808"/>
      <c r="I736" s="808"/>
      <c r="J736" s="808"/>
      <c r="K736" s="808"/>
      <c r="L736" s="808"/>
      <c r="M736" s="807"/>
      <c r="N736" s="808"/>
      <c r="O736" s="807"/>
      <c r="P736" s="808"/>
      <c r="Q736" s="808"/>
      <c r="R736" s="808"/>
      <c r="S736" s="808"/>
      <c r="T736" s="808"/>
      <c r="U736" s="808"/>
      <c r="V736" s="808"/>
    </row>
    <row r="737">
      <c r="B737" s="808"/>
      <c r="D737" s="808"/>
      <c r="E737" s="808"/>
      <c r="F737" s="808"/>
      <c r="G737" s="808"/>
      <c r="H737" s="808"/>
      <c r="I737" s="808"/>
      <c r="J737" s="808"/>
      <c r="K737" s="808"/>
      <c r="L737" s="808"/>
      <c r="M737" s="807"/>
      <c r="N737" s="808"/>
      <c r="O737" s="807"/>
      <c r="P737" s="808"/>
      <c r="Q737" s="808"/>
      <c r="R737" s="808"/>
      <c r="S737" s="808"/>
      <c r="T737" s="808"/>
      <c r="U737" s="808"/>
      <c r="V737" s="808"/>
    </row>
    <row r="738">
      <c r="B738" s="808"/>
      <c r="D738" s="808"/>
      <c r="E738" s="808"/>
      <c r="F738" s="808"/>
      <c r="G738" s="808"/>
      <c r="H738" s="808"/>
      <c r="I738" s="808"/>
      <c r="J738" s="808"/>
      <c r="K738" s="808"/>
      <c r="L738" s="808"/>
      <c r="M738" s="807"/>
      <c r="N738" s="808"/>
      <c r="O738" s="807"/>
      <c r="P738" s="808"/>
      <c r="Q738" s="808"/>
      <c r="R738" s="808"/>
      <c r="S738" s="808"/>
      <c r="T738" s="808"/>
      <c r="U738" s="808"/>
      <c r="V738" s="808"/>
    </row>
    <row r="739">
      <c r="B739" s="808"/>
      <c r="D739" s="808"/>
      <c r="E739" s="808"/>
      <c r="F739" s="808"/>
      <c r="G739" s="808"/>
      <c r="H739" s="808"/>
      <c r="I739" s="808"/>
      <c r="J739" s="808"/>
      <c r="K739" s="808"/>
      <c r="L739" s="808"/>
      <c r="M739" s="807"/>
      <c r="N739" s="808"/>
      <c r="O739" s="807"/>
      <c r="P739" s="808"/>
      <c r="Q739" s="808"/>
      <c r="R739" s="808"/>
      <c r="S739" s="808"/>
      <c r="T739" s="808"/>
      <c r="U739" s="808"/>
      <c r="V739" s="808"/>
    </row>
    <row r="740">
      <c r="B740" s="808"/>
      <c r="D740" s="808"/>
      <c r="E740" s="808"/>
      <c r="F740" s="808"/>
      <c r="G740" s="808"/>
      <c r="H740" s="808"/>
      <c r="I740" s="808"/>
      <c r="J740" s="808"/>
      <c r="K740" s="808"/>
      <c r="L740" s="808"/>
      <c r="M740" s="807"/>
      <c r="N740" s="808"/>
      <c r="O740" s="807"/>
      <c r="P740" s="808"/>
      <c r="Q740" s="808"/>
      <c r="R740" s="808"/>
      <c r="S740" s="808"/>
      <c r="T740" s="808"/>
      <c r="U740" s="808"/>
      <c r="V740" s="808"/>
    </row>
    <row r="741">
      <c r="B741" s="808"/>
      <c r="D741" s="808"/>
      <c r="E741" s="808"/>
      <c r="F741" s="808"/>
      <c r="G741" s="808"/>
      <c r="H741" s="808"/>
      <c r="I741" s="808"/>
      <c r="J741" s="808"/>
      <c r="K741" s="808"/>
      <c r="L741" s="808"/>
      <c r="M741" s="807"/>
      <c r="N741" s="808"/>
      <c r="O741" s="807"/>
      <c r="P741" s="808"/>
      <c r="Q741" s="808"/>
      <c r="R741" s="808"/>
      <c r="S741" s="808"/>
      <c r="T741" s="808"/>
      <c r="U741" s="808"/>
      <c r="V741" s="808"/>
    </row>
    <row r="742">
      <c r="B742" s="808"/>
      <c r="D742" s="808"/>
      <c r="E742" s="808"/>
      <c r="F742" s="808"/>
      <c r="G742" s="808"/>
      <c r="H742" s="808"/>
      <c r="I742" s="808"/>
      <c r="J742" s="808"/>
      <c r="K742" s="808"/>
      <c r="L742" s="808"/>
      <c r="M742" s="807"/>
      <c r="N742" s="808"/>
      <c r="O742" s="807"/>
      <c r="P742" s="808"/>
      <c r="Q742" s="808"/>
      <c r="R742" s="808"/>
      <c r="S742" s="808"/>
      <c r="T742" s="808"/>
      <c r="U742" s="808"/>
      <c r="V742" s="808"/>
    </row>
    <row r="743">
      <c r="B743" s="808"/>
      <c r="D743" s="808"/>
      <c r="E743" s="808"/>
      <c r="F743" s="808"/>
      <c r="G743" s="808"/>
      <c r="H743" s="808"/>
      <c r="I743" s="808"/>
      <c r="J743" s="808"/>
      <c r="K743" s="808"/>
      <c r="L743" s="808"/>
      <c r="M743" s="807"/>
      <c r="N743" s="808"/>
      <c r="O743" s="807"/>
      <c r="P743" s="808"/>
      <c r="Q743" s="808"/>
      <c r="R743" s="808"/>
      <c r="S743" s="808"/>
      <c r="T743" s="808"/>
      <c r="U743" s="808"/>
      <c r="V743" s="808"/>
    </row>
    <row r="744">
      <c r="B744" s="808"/>
      <c r="D744" s="808"/>
      <c r="E744" s="808"/>
      <c r="F744" s="808"/>
      <c r="G744" s="808"/>
      <c r="H744" s="808"/>
      <c r="I744" s="808"/>
      <c r="J744" s="808"/>
      <c r="K744" s="808"/>
      <c r="L744" s="808"/>
      <c r="M744" s="807"/>
      <c r="N744" s="808"/>
      <c r="O744" s="807"/>
      <c r="P744" s="808"/>
      <c r="Q744" s="808"/>
      <c r="R744" s="808"/>
      <c r="S744" s="808"/>
      <c r="T744" s="808"/>
      <c r="U744" s="808"/>
      <c r="V744" s="808"/>
    </row>
    <row r="745">
      <c r="B745" s="808"/>
      <c r="D745" s="808"/>
      <c r="E745" s="808"/>
      <c r="F745" s="808"/>
      <c r="G745" s="808"/>
      <c r="H745" s="808"/>
      <c r="I745" s="808"/>
      <c r="J745" s="808"/>
      <c r="K745" s="808"/>
      <c r="L745" s="808"/>
      <c r="M745" s="807"/>
      <c r="N745" s="808"/>
      <c r="O745" s="807"/>
      <c r="P745" s="808"/>
      <c r="Q745" s="808"/>
      <c r="R745" s="808"/>
      <c r="S745" s="808"/>
      <c r="T745" s="808"/>
      <c r="U745" s="808"/>
      <c r="V745" s="808"/>
    </row>
    <row r="746">
      <c r="B746" s="808"/>
      <c r="D746" s="808"/>
      <c r="E746" s="808"/>
      <c r="F746" s="808"/>
      <c r="G746" s="808"/>
      <c r="H746" s="808"/>
      <c r="I746" s="808"/>
      <c r="J746" s="808"/>
      <c r="K746" s="808"/>
      <c r="L746" s="808"/>
      <c r="M746" s="807"/>
      <c r="N746" s="808"/>
      <c r="O746" s="807"/>
      <c r="P746" s="808"/>
      <c r="Q746" s="808"/>
      <c r="R746" s="808"/>
      <c r="S746" s="808"/>
      <c r="T746" s="808"/>
      <c r="U746" s="808"/>
      <c r="V746" s="808"/>
    </row>
    <row r="747">
      <c r="B747" s="808"/>
      <c r="D747" s="808"/>
      <c r="E747" s="808"/>
      <c r="F747" s="808"/>
      <c r="G747" s="808"/>
      <c r="H747" s="808"/>
      <c r="I747" s="808"/>
      <c r="J747" s="808"/>
      <c r="K747" s="808"/>
      <c r="L747" s="808"/>
      <c r="M747" s="807"/>
      <c r="N747" s="808"/>
      <c r="O747" s="807"/>
      <c r="P747" s="808"/>
      <c r="Q747" s="808"/>
      <c r="R747" s="808"/>
      <c r="S747" s="808"/>
      <c r="T747" s="808"/>
      <c r="U747" s="808"/>
      <c r="V747" s="808"/>
    </row>
    <row r="748">
      <c r="B748" s="808"/>
      <c r="D748" s="808"/>
      <c r="E748" s="808"/>
      <c r="F748" s="808"/>
      <c r="G748" s="808"/>
      <c r="H748" s="808"/>
      <c r="I748" s="808"/>
      <c r="J748" s="808"/>
      <c r="K748" s="808"/>
      <c r="L748" s="808"/>
      <c r="M748" s="807"/>
      <c r="N748" s="808"/>
      <c r="O748" s="807"/>
      <c r="P748" s="808"/>
      <c r="Q748" s="808"/>
      <c r="R748" s="808"/>
      <c r="S748" s="808"/>
      <c r="T748" s="808"/>
      <c r="U748" s="808"/>
      <c r="V748" s="808"/>
    </row>
    <row r="749">
      <c r="B749" s="808"/>
      <c r="D749" s="808"/>
      <c r="E749" s="808"/>
      <c r="F749" s="808"/>
      <c r="G749" s="808"/>
      <c r="H749" s="808"/>
      <c r="I749" s="808"/>
      <c r="J749" s="808"/>
      <c r="K749" s="808"/>
      <c r="L749" s="808"/>
      <c r="M749" s="807"/>
      <c r="N749" s="808"/>
      <c r="O749" s="807"/>
      <c r="P749" s="808"/>
      <c r="Q749" s="808"/>
      <c r="R749" s="808"/>
      <c r="S749" s="808"/>
      <c r="T749" s="808"/>
      <c r="U749" s="808"/>
      <c r="V749" s="808"/>
    </row>
    <row r="750">
      <c r="B750" s="808"/>
      <c r="D750" s="808"/>
      <c r="E750" s="808"/>
      <c r="F750" s="808"/>
      <c r="G750" s="808"/>
      <c r="H750" s="808"/>
      <c r="I750" s="808"/>
      <c r="J750" s="808"/>
      <c r="K750" s="808"/>
      <c r="L750" s="808"/>
      <c r="M750" s="807"/>
      <c r="N750" s="808"/>
      <c r="O750" s="807"/>
      <c r="P750" s="808"/>
      <c r="Q750" s="808"/>
      <c r="R750" s="808"/>
      <c r="S750" s="808"/>
      <c r="T750" s="808"/>
      <c r="U750" s="808"/>
      <c r="V750" s="808"/>
    </row>
    <row r="751">
      <c r="B751" s="808"/>
      <c r="D751" s="808"/>
      <c r="E751" s="808"/>
      <c r="F751" s="808"/>
      <c r="G751" s="808"/>
      <c r="H751" s="808"/>
      <c r="I751" s="808"/>
      <c r="J751" s="808"/>
      <c r="K751" s="808"/>
      <c r="L751" s="808"/>
      <c r="M751" s="807"/>
      <c r="N751" s="808"/>
      <c r="O751" s="807"/>
      <c r="P751" s="808"/>
      <c r="Q751" s="808"/>
      <c r="R751" s="808"/>
      <c r="S751" s="808"/>
      <c r="T751" s="808"/>
      <c r="U751" s="808"/>
      <c r="V751" s="808"/>
    </row>
    <row r="752">
      <c r="B752" s="808"/>
      <c r="D752" s="808"/>
      <c r="E752" s="808"/>
      <c r="F752" s="808"/>
      <c r="G752" s="808"/>
      <c r="H752" s="808"/>
      <c r="I752" s="808"/>
      <c r="J752" s="808"/>
      <c r="K752" s="808"/>
      <c r="L752" s="808"/>
      <c r="M752" s="807"/>
      <c r="N752" s="808"/>
      <c r="O752" s="807"/>
      <c r="P752" s="808"/>
      <c r="Q752" s="808"/>
      <c r="R752" s="808"/>
      <c r="S752" s="808"/>
      <c r="T752" s="808"/>
      <c r="U752" s="808"/>
      <c r="V752" s="808"/>
    </row>
    <row r="753">
      <c r="B753" s="808"/>
      <c r="D753" s="808"/>
      <c r="E753" s="808"/>
      <c r="F753" s="808"/>
      <c r="G753" s="808"/>
      <c r="H753" s="808"/>
      <c r="I753" s="808"/>
      <c r="J753" s="808"/>
      <c r="K753" s="808"/>
      <c r="L753" s="808"/>
      <c r="M753" s="807"/>
      <c r="N753" s="808"/>
      <c r="O753" s="807"/>
      <c r="P753" s="808"/>
      <c r="Q753" s="808"/>
      <c r="R753" s="808"/>
      <c r="S753" s="808"/>
      <c r="T753" s="808"/>
      <c r="U753" s="808"/>
      <c r="V753" s="808"/>
    </row>
    <row r="754">
      <c r="B754" s="808"/>
      <c r="D754" s="808"/>
      <c r="E754" s="808"/>
      <c r="F754" s="808"/>
      <c r="G754" s="808"/>
      <c r="H754" s="808"/>
      <c r="I754" s="808"/>
      <c r="J754" s="808"/>
      <c r="K754" s="808"/>
      <c r="L754" s="808"/>
      <c r="M754" s="807"/>
      <c r="N754" s="808"/>
      <c r="O754" s="807"/>
      <c r="P754" s="808"/>
      <c r="Q754" s="808"/>
      <c r="R754" s="808"/>
      <c r="S754" s="808"/>
      <c r="T754" s="808"/>
      <c r="U754" s="808"/>
      <c r="V754" s="808"/>
    </row>
    <row r="755">
      <c r="B755" s="808"/>
      <c r="D755" s="808"/>
      <c r="E755" s="808"/>
      <c r="F755" s="808"/>
      <c r="G755" s="808"/>
      <c r="H755" s="808"/>
      <c r="I755" s="808"/>
      <c r="J755" s="808"/>
      <c r="K755" s="808"/>
      <c r="L755" s="808"/>
      <c r="M755" s="807"/>
      <c r="N755" s="808"/>
      <c r="O755" s="807"/>
      <c r="P755" s="808"/>
      <c r="Q755" s="808"/>
      <c r="R755" s="808"/>
      <c r="S755" s="808"/>
      <c r="T755" s="808"/>
      <c r="U755" s="808"/>
      <c r="V755" s="808"/>
    </row>
    <row r="756">
      <c r="B756" s="808"/>
      <c r="D756" s="808"/>
      <c r="E756" s="808"/>
      <c r="F756" s="808"/>
      <c r="G756" s="808"/>
      <c r="H756" s="808"/>
      <c r="I756" s="808"/>
      <c r="J756" s="808"/>
      <c r="K756" s="808"/>
      <c r="L756" s="808"/>
      <c r="M756" s="807"/>
      <c r="N756" s="808"/>
      <c r="O756" s="807"/>
      <c r="P756" s="808"/>
      <c r="Q756" s="808"/>
      <c r="R756" s="808"/>
      <c r="S756" s="808"/>
      <c r="T756" s="808"/>
      <c r="U756" s="808"/>
      <c r="V756" s="808"/>
    </row>
    <row r="757">
      <c r="B757" s="808"/>
      <c r="D757" s="808"/>
      <c r="E757" s="808"/>
      <c r="F757" s="808"/>
      <c r="G757" s="808"/>
      <c r="H757" s="808"/>
      <c r="I757" s="808"/>
      <c r="J757" s="808"/>
      <c r="K757" s="808"/>
      <c r="L757" s="808"/>
      <c r="M757" s="807"/>
      <c r="N757" s="808"/>
      <c r="O757" s="807"/>
      <c r="P757" s="808"/>
      <c r="Q757" s="808"/>
      <c r="R757" s="808"/>
      <c r="S757" s="808"/>
      <c r="T757" s="808"/>
      <c r="U757" s="808"/>
      <c r="V757" s="808"/>
    </row>
    <row r="758">
      <c r="B758" s="808"/>
      <c r="D758" s="808"/>
      <c r="E758" s="808"/>
      <c r="F758" s="808"/>
      <c r="G758" s="808"/>
      <c r="H758" s="808"/>
      <c r="I758" s="808"/>
      <c r="J758" s="808"/>
      <c r="K758" s="808"/>
      <c r="L758" s="808"/>
      <c r="M758" s="807"/>
      <c r="N758" s="808"/>
      <c r="O758" s="807"/>
      <c r="P758" s="808"/>
      <c r="Q758" s="808"/>
      <c r="R758" s="808"/>
      <c r="S758" s="808"/>
      <c r="T758" s="808"/>
      <c r="U758" s="808"/>
      <c r="V758" s="808"/>
    </row>
    <row r="759">
      <c r="B759" s="808"/>
      <c r="D759" s="808"/>
      <c r="E759" s="808"/>
      <c r="F759" s="808"/>
      <c r="G759" s="808"/>
      <c r="H759" s="808"/>
      <c r="I759" s="808"/>
      <c r="J759" s="808"/>
      <c r="K759" s="808"/>
      <c r="L759" s="808"/>
      <c r="M759" s="807"/>
      <c r="N759" s="808"/>
      <c r="O759" s="807"/>
      <c r="P759" s="808"/>
      <c r="Q759" s="808"/>
      <c r="R759" s="808"/>
      <c r="S759" s="808"/>
      <c r="T759" s="808"/>
      <c r="U759" s="808"/>
      <c r="V759" s="808"/>
    </row>
    <row r="760">
      <c r="B760" s="808"/>
      <c r="D760" s="808"/>
      <c r="E760" s="808"/>
      <c r="F760" s="808"/>
      <c r="G760" s="808"/>
      <c r="H760" s="808"/>
      <c r="I760" s="808"/>
      <c r="J760" s="808"/>
      <c r="K760" s="808"/>
      <c r="L760" s="808"/>
      <c r="M760" s="807"/>
      <c r="N760" s="808"/>
      <c r="O760" s="807"/>
      <c r="P760" s="808"/>
      <c r="Q760" s="808"/>
      <c r="R760" s="808"/>
      <c r="S760" s="808"/>
      <c r="T760" s="808"/>
      <c r="U760" s="808"/>
      <c r="V760" s="808"/>
    </row>
    <row r="761">
      <c r="B761" s="808"/>
      <c r="D761" s="808"/>
      <c r="E761" s="808"/>
      <c r="F761" s="808"/>
      <c r="G761" s="808"/>
      <c r="H761" s="808"/>
      <c r="I761" s="808"/>
      <c r="J761" s="808"/>
      <c r="K761" s="808"/>
      <c r="L761" s="808"/>
      <c r="M761" s="807"/>
      <c r="N761" s="808"/>
      <c r="O761" s="807"/>
      <c r="P761" s="808"/>
      <c r="Q761" s="808"/>
      <c r="R761" s="808"/>
      <c r="S761" s="808"/>
      <c r="T761" s="808"/>
      <c r="U761" s="808"/>
      <c r="V761" s="808"/>
    </row>
    <row r="762">
      <c r="B762" s="808"/>
      <c r="D762" s="808"/>
      <c r="E762" s="808"/>
      <c r="F762" s="808"/>
      <c r="G762" s="808"/>
      <c r="H762" s="808"/>
      <c r="I762" s="808"/>
      <c r="J762" s="808"/>
      <c r="K762" s="808"/>
      <c r="L762" s="808"/>
      <c r="M762" s="807"/>
      <c r="N762" s="808"/>
      <c r="O762" s="807"/>
      <c r="P762" s="808"/>
      <c r="Q762" s="808"/>
      <c r="R762" s="808"/>
      <c r="S762" s="808"/>
      <c r="T762" s="808"/>
      <c r="U762" s="808"/>
      <c r="V762" s="808"/>
    </row>
    <row r="763">
      <c r="B763" s="808"/>
      <c r="D763" s="808"/>
      <c r="E763" s="808"/>
      <c r="F763" s="808"/>
      <c r="G763" s="808"/>
      <c r="H763" s="808"/>
      <c r="I763" s="808"/>
      <c r="J763" s="808"/>
      <c r="K763" s="808"/>
      <c r="L763" s="808"/>
      <c r="M763" s="807"/>
      <c r="N763" s="808"/>
      <c r="O763" s="807"/>
      <c r="P763" s="808"/>
      <c r="Q763" s="808"/>
      <c r="R763" s="808"/>
      <c r="S763" s="808"/>
      <c r="T763" s="808"/>
      <c r="U763" s="808"/>
      <c r="V763" s="808"/>
    </row>
    <row r="764">
      <c r="B764" s="808"/>
      <c r="D764" s="808"/>
      <c r="E764" s="808"/>
      <c r="F764" s="808"/>
      <c r="G764" s="808"/>
      <c r="H764" s="808"/>
      <c r="I764" s="808"/>
      <c r="J764" s="808"/>
      <c r="K764" s="808"/>
      <c r="L764" s="808"/>
      <c r="M764" s="807"/>
      <c r="N764" s="808"/>
      <c r="O764" s="807"/>
      <c r="P764" s="808"/>
      <c r="Q764" s="808"/>
      <c r="R764" s="808"/>
      <c r="S764" s="808"/>
      <c r="T764" s="808"/>
      <c r="U764" s="808"/>
      <c r="V764" s="808"/>
    </row>
    <row r="765">
      <c r="B765" s="808"/>
      <c r="D765" s="808"/>
      <c r="E765" s="808"/>
      <c r="F765" s="808"/>
      <c r="G765" s="808"/>
      <c r="H765" s="808"/>
      <c r="I765" s="808"/>
      <c r="J765" s="808"/>
      <c r="K765" s="808"/>
      <c r="L765" s="808"/>
      <c r="M765" s="807"/>
      <c r="N765" s="808"/>
      <c r="O765" s="807"/>
      <c r="P765" s="808"/>
      <c r="Q765" s="808"/>
      <c r="R765" s="808"/>
      <c r="S765" s="808"/>
      <c r="T765" s="808"/>
      <c r="U765" s="808"/>
      <c r="V765" s="808"/>
    </row>
    <row r="766">
      <c r="B766" s="808"/>
      <c r="D766" s="808"/>
      <c r="E766" s="808"/>
      <c r="F766" s="808"/>
      <c r="G766" s="808"/>
      <c r="H766" s="808"/>
      <c r="I766" s="808"/>
      <c r="J766" s="808"/>
      <c r="K766" s="808"/>
      <c r="L766" s="808"/>
      <c r="M766" s="807"/>
      <c r="N766" s="808"/>
      <c r="O766" s="807"/>
      <c r="P766" s="808"/>
      <c r="Q766" s="808"/>
      <c r="R766" s="808"/>
      <c r="S766" s="808"/>
      <c r="T766" s="808"/>
      <c r="U766" s="808"/>
      <c r="V766" s="808"/>
    </row>
    <row r="767">
      <c r="B767" s="808"/>
      <c r="D767" s="808"/>
      <c r="E767" s="808"/>
      <c r="F767" s="808"/>
      <c r="G767" s="808"/>
      <c r="H767" s="808"/>
      <c r="I767" s="808"/>
      <c r="J767" s="808"/>
      <c r="K767" s="808"/>
      <c r="L767" s="808"/>
      <c r="M767" s="807"/>
      <c r="N767" s="808"/>
      <c r="O767" s="807"/>
      <c r="P767" s="808"/>
      <c r="Q767" s="808"/>
      <c r="R767" s="808"/>
      <c r="S767" s="808"/>
      <c r="T767" s="808"/>
      <c r="U767" s="808"/>
      <c r="V767" s="808"/>
    </row>
    <row r="768">
      <c r="B768" s="808"/>
      <c r="D768" s="808"/>
      <c r="E768" s="808"/>
      <c r="F768" s="808"/>
      <c r="G768" s="808"/>
      <c r="H768" s="808"/>
      <c r="I768" s="808"/>
      <c r="J768" s="808"/>
      <c r="K768" s="808"/>
      <c r="L768" s="808"/>
      <c r="M768" s="807"/>
      <c r="N768" s="808"/>
      <c r="O768" s="807"/>
      <c r="P768" s="808"/>
      <c r="Q768" s="808"/>
      <c r="R768" s="808"/>
      <c r="S768" s="808"/>
      <c r="T768" s="808"/>
      <c r="U768" s="808"/>
      <c r="V768" s="808"/>
    </row>
    <row r="769">
      <c r="B769" s="808"/>
      <c r="D769" s="808"/>
      <c r="E769" s="808"/>
      <c r="F769" s="808"/>
      <c r="G769" s="808"/>
      <c r="H769" s="808"/>
      <c r="I769" s="808"/>
      <c r="J769" s="808"/>
      <c r="K769" s="808"/>
      <c r="L769" s="808"/>
      <c r="M769" s="807"/>
      <c r="N769" s="808"/>
      <c r="O769" s="807"/>
      <c r="P769" s="808"/>
      <c r="Q769" s="808"/>
      <c r="R769" s="808"/>
      <c r="S769" s="808"/>
      <c r="T769" s="808"/>
      <c r="U769" s="808"/>
      <c r="V769" s="808"/>
    </row>
    <row r="770">
      <c r="B770" s="808"/>
      <c r="D770" s="808"/>
      <c r="E770" s="808"/>
      <c r="F770" s="808"/>
      <c r="G770" s="808"/>
      <c r="H770" s="808"/>
      <c r="I770" s="808"/>
      <c r="J770" s="808"/>
      <c r="K770" s="808"/>
      <c r="L770" s="808"/>
      <c r="M770" s="807"/>
      <c r="N770" s="808"/>
      <c r="O770" s="807"/>
      <c r="P770" s="808"/>
      <c r="Q770" s="808"/>
      <c r="R770" s="808"/>
      <c r="S770" s="808"/>
      <c r="T770" s="808"/>
      <c r="U770" s="808"/>
      <c r="V770" s="808"/>
    </row>
    <row r="771">
      <c r="B771" s="808"/>
      <c r="D771" s="808"/>
      <c r="E771" s="808"/>
      <c r="F771" s="808"/>
      <c r="G771" s="808"/>
      <c r="H771" s="808"/>
      <c r="I771" s="808"/>
      <c r="J771" s="808"/>
      <c r="K771" s="808"/>
      <c r="L771" s="808"/>
      <c r="M771" s="807"/>
      <c r="N771" s="808"/>
      <c r="O771" s="807"/>
      <c r="P771" s="808"/>
      <c r="Q771" s="808"/>
      <c r="R771" s="808"/>
      <c r="S771" s="808"/>
      <c r="T771" s="808"/>
      <c r="U771" s="808"/>
      <c r="V771" s="808"/>
    </row>
    <row r="772">
      <c r="B772" s="808"/>
      <c r="D772" s="808"/>
      <c r="E772" s="808"/>
      <c r="F772" s="808"/>
      <c r="G772" s="808"/>
      <c r="H772" s="808"/>
      <c r="I772" s="808"/>
      <c r="J772" s="808"/>
      <c r="K772" s="808"/>
      <c r="L772" s="808"/>
      <c r="M772" s="807"/>
      <c r="N772" s="808"/>
      <c r="O772" s="807"/>
      <c r="P772" s="808"/>
      <c r="Q772" s="808"/>
      <c r="R772" s="808"/>
      <c r="S772" s="808"/>
      <c r="T772" s="808"/>
      <c r="U772" s="808"/>
      <c r="V772" s="808"/>
    </row>
    <row r="773">
      <c r="B773" s="808"/>
      <c r="D773" s="808"/>
      <c r="E773" s="808"/>
      <c r="F773" s="808"/>
      <c r="G773" s="808"/>
      <c r="H773" s="808"/>
      <c r="I773" s="808"/>
      <c r="J773" s="808"/>
      <c r="K773" s="808"/>
      <c r="L773" s="808"/>
      <c r="M773" s="807"/>
      <c r="N773" s="808"/>
      <c r="O773" s="807"/>
      <c r="P773" s="808"/>
      <c r="Q773" s="808"/>
      <c r="R773" s="808"/>
      <c r="S773" s="808"/>
      <c r="T773" s="808"/>
      <c r="U773" s="808"/>
      <c r="V773" s="808"/>
    </row>
    <row r="774">
      <c r="B774" s="808"/>
      <c r="D774" s="808"/>
      <c r="E774" s="808"/>
      <c r="F774" s="808"/>
      <c r="G774" s="808"/>
      <c r="H774" s="808"/>
      <c r="I774" s="808"/>
      <c r="J774" s="808"/>
      <c r="K774" s="808"/>
      <c r="L774" s="808"/>
      <c r="M774" s="807"/>
      <c r="N774" s="808"/>
      <c r="O774" s="807"/>
      <c r="P774" s="808"/>
      <c r="Q774" s="808"/>
      <c r="R774" s="808"/>
      <c r="S774" s="808"/>
      <c r="T774" s="808"/>
      <c r="U774" s="808"/>
      <c r="V774" s="808"/>
    </row>
    <row r="775">
      <c r="B775" s="808"/>
      <c r="D775" s="808"/>
      <c r="E775" s="808"/>
      <c r="F775" s="808"/>
      <c r="G775" s="808"/>
      <c r="H775" s="808"/>
      <c r="I775" s="808"/>
      <c r="J775" s="808"/>
      <c r="K775" s="808"/>
      <c r="L775" s="808"/>
      <c r="M775" s="807"/>
      <c r="N775" s="808"/>
      <c r="O775" s="807"/>
      <c r="P775" s="808"/>
      <c r="Q775" s="808"/>
      <c r="R775" s="808"/>
      <c r="S775" s="808"/>
      <c r="T775" s="808"/>
      <c r="U775" s="808"/>
      <c r="V775" s="808"/>
    </row>
    <row r="776">
      <c r="B776" s="808"/>
      <c r="D776" s="808"/>
      <c r="E776" s="808"/>
      <c r="F776" s="808"/>
      <c r="G776" s="808"/>
      <c r="H776" s="808"/>
      <c r="I776" s="808"/>
      <c r="J776" s="808"/>
      <c r="K776" s="808"/>
      <c r="L776" s="808"/>
      <c r="M776" s="807"/>
      <c r="N776" s="808"/>
      <c r="O776" s="807"/>
      <c r="P776" s="808"/>
      <c r="Q776" s="808"/>
      <c r="R776" s="808"/>
      <c r="S776" s="808"/>
      <c r="T776" s="808"/>
      <c r="U776" s="808"/>
      <c r="V776" s="808"/>
    </row>
    <row r="777">
      <c r="B777" s="808"/>
      <c r="D777" s="808"/>
      <c r="E777" s="808"/>
      <c r="F777" s="808"/>
      <c r="G777" s="808"/>
      <c r="H777" s="808"/>
      <c r="I777" s="808"/>
      <c r="J777" s="808"/>
      <c r="K777" s="808"/>
      <c r="L777" s="808"/>
      <c r="M777" s="807"/>
      <c r="N777" s="808"/>
      <c r="O777" s="807"/>
      <c r="P777" s="808"/>
      <c r="Q777" s="808"/>
      <c r="R777" s="808"/>
      <c r="S777" s="808"/>
      <c r="T777" s="808"/>
      <c r="U777" s="808"/>
      <c r="V777" s="808"/>
    </row>
    <row r="778">
      <c r="B778" s="808"/>
      <c r="D778" s="808"/>
      <c r="E778" s="808"/>
      <c r="F778" s="808"/>
      <c r="G778" s="808"/>
      <c r="H778" s="808"/>
      <c r="I778" s="808"/>
      <c r="J778" s="808"/>
      <c r="K778" s="808"/>
      <c r="L778" s="808"/>
      <c r="M778" s="807"/>
      <c r="N778" s="808"/>
      <c r="O778" s="807"/>
      <c r="P778" s="808"/>
      <c r="Q778" s="808"/>
      <c r="R778" s="808"/>
      <c r="S778" s="808"/>
      <c r="T778" s="808"/>
      <c r="U778" s="808"/>
      <c r="V778" s="808"/>
    </row>
    <row r="779">
      <c r="B779" s="808"/>
      <c r="D779" s="808"/>
      <c r="E779" s="808"/>
      <c r="F779" s="808"/>
      <c r="G779" s="808"/>
      <c r="H779" s="808"/>
      <c r="I779" s="808"/>
      <c r="J779" s="808"/>
      <c r="K779" s="808"/>
      <c r="L779" s="808"/>
      <c r="M779" s="807"/>
      <c r="N779" s="808"/>
      <c r="O779" s="807"/>
      <c r="P779" s="808"/>
      <c r="Q779" s="808"/>
      <c r="R779" s="808"/>
      <c r="S779" s="808"/>
      <c r="T779" s="808"/>
      <c r="U779" s="808"/>
      <c r="V779" s="808"/>
    </row>
    <row r="780">
      <c r="B780" s="808"/>
      <c r="D780" s="808"/>
      <c r="E780" s="808"/>
      <c r="F780" s="808"/>
      <c r="G780" s="808"/>
      <c r="H780" s="808"/>
      <c r="I780" s="808"/>
      <c r="J780" s="808"/>
      <c r="K780" s="808"/>
      <c r="L780" s="808"/>
      <c r="M780" s="807"/>
      <c r="N780" s="808"/>
      <c r="O780" s="807"/>
      <c r="P780" s="808"/>
      <c r="Q780" s="808"/>
      <c r="R780" s="808"/>
      <c r="S780" s="808"/>
      <c r="T780" s="808"/>
      <c r="U780" s="808"/>
      <c r="V780" s="808"/>
    </row>
    <row r="781">
      <c r="B781" s="808"/>
      <c r="D781" s="808"/>
      <c r="E781" s="808"/>
      <c r="F781" s="808"/>
      <c r="G781" s="808"/>
      <c r="H781" s="808"/>
      <c r="I781" s="808"/>
      <c r="J781" s="808"/>
      <c r="K781" s="808"/>
      <c r="L781" s="808"/>
      <c r="M781" s="807"/>
      <c r="N781" s="808"/>
      <c r="O781" s="807"/>
      <c r="P781" s="808"/>
      <c r="Q781" s="808"/>
      <c r="R781" s="808"/>
      <c r="S781" s="808"/>
      <c r="T781" s="808"/>
      <c r="U781" s="808"/>
      <c r="V781" s="808"/>
    </row>
    <row r="782">
      <c r="B782" s="808"/>
      <c r="D782" s="808"/>
      <c r="E782" s="808"/>
      <c r="F782" s="808"/>
      <c r="G782" s="808"/>
      <c r="H782" s="808"/>
      <c r="I782" s="808"/>
      <c r="J782" s="808"/>
      <c r="K782" s="808"/>
      <c r="L782" s="808"/>
      <c r="M782" s="807"/>
      <c r="N782" s="808"/>
      <c r="O782" s="807"/>
      <c r="P782" s="808"/>
      <c r="Q782" s="808"/>
      <c r="R782" s="808"/>
      <c r="S782" s="808"/>
      <c r="T782" s="808"/>
      <c r="U782" s="808"/>
      <c r="V782" s="808"/>
    </row>
    <row r="783">
      <c r="B783" s="808"/>
      <c r="D783" s="808"/>
      <c r="E783" s="808"/>
      <c r="F783" s="808"/>
      <c r="G783" s="808"/>
      <c r="H783" s="808"/>
      <c r="I783" s="808"/>
      <c r="J783" s="808"/>
      <c r="K783" s="808"/>
      <c r="L783" s="808"/>
      <c r="M783" s="807"/>
      <c r="N783" s="808"/>
      <c r="O783" s="807"/>
      <c r="P783" s="808"/>
      <c r="Q783" s="808"/>
      <c r="R783" s="808"/>
      <c r="S783" s="808"/>
      <c r="T783" s="808"/>
      <c r="U783" s="808"/>
      <c r="V783" s="808"/>
    </row>
    <row r="784">
      <c r="B784" s="808"/>
      <c r="D784" s="808"/>
      <c r="E784" s="808"/>
      <c r="F784" s="808"/>
      <c r="G784" s="808"/>
      <c r="H784" s="808"/>
      <c r="I784" s="808"/>
      <c r="J784" s="808"/>
      <c r="K784" s="808"/>
      <c r="L784" s="808"/>
      <c r="M784" s="807"/>
      <c r="N784" s="808"/>
      <c r="O784" s="807"/>
      <c r="P784" s="808"/>
      <c r="Q784" s="808"/>
      <c r="R784" s="808"/>
      <c r="S784" s="808"/>
      <c r="T784" s="808"/>
      <c r="U784" s="808"/>
      <c r="V784" s="808"/>
    </row>
    <row r="785">
      <c r="B785" s="808"/>
      <c r="D785" s="808"/>
      <c r="E785" s="808"/>
      <c r="F785" s="808"/>
      <c r="G785" s="808"/>
      <c r="H785" s="808"/>
      <c r="I785" s="808"/>
      <c r="J785" s="808"/>
      <c r="K785" s="808"/>
      <c r="L785" s="808"/>
      <c r="M785" s="807"/>
      <c r="N785" s="808"/>
      <c r="O785" s="807"/>
      <c r="P785" s="808"/>
      <c r="Q785" s="808"/>
      <c r="R785" s="808"/>
      <c r="S785" s="808"/>
      <c r="T785" s="808"/>
      <c r="U785" s="808"/>
      <c r="V785" s="808"/>
    </row>
    <row r="786">
      <c r="B786" s="808"/>
      <c r="D786" s="808"/>
      <c r="E786" s="808"/>
      <c r="F786" s="808"/>
      <c r="G786" s="808"/>
      <c r="H786" s="808"/>
      <c r="I786" s="808"/>
      <c r="J786" s="808"/>
      <c r="K786" s="808"/>
      <c r="L786" s="808"/>
      <c r="M786" s="807"/>
      <c r="N786" s="808"/>
      <c r="O786" s="807"/>
      <c r="P786" s="808"/>
      <c r="Q786" s="808"/>
      <c r="R786" s="808"/>
      <c r="S786" s="808"/>
      <c r="T786" s="808"/>
      <c r="U786" s="808"/>
      <c r="V786" s="808"/>
    </row>
    <row r="787">
      <c r="B787" s="808"/>
      <c r="D787" s="808"/>
      <c r="E787" s="808"/>
      <c r="F787" s="808"/>
      <c r="G787" s="808"/>
      <c r="H787" s="808"/>
      <c r="I787" s="808"/>
      <c r="J787" s="808"/>
      <c r="K787" s="808"/>
      <c r="L787" s="808"/>
      <c r="M787" s="807"/>
      <c r="N787" s="808"/>
      <c r="O787" s="807"/>
      <c r="P787" s="808"/>
      <c r="Q787" s="808"/>
      <c r="R787" s="808"/>
      <c r="S787" s="808"/>
      <c r="T787" s="808"/>
      <c r="U787" s="808"/>
      <c r="V787" s="808"/>
    </row>
    <row r="788">
      <c r="B788" s="808"/>
      <c r="D788" s="808"/>
      <c r="E788" s="808"/>
      <c r="F788" s="808"/>
      <c r="G788" s="808"/>
      <c r="H788" s="808"/>
      <c r="I788" s="808"/>
      <c r="J788" s="808"/>
      <c r="K788" s="808"/>
      <c r="L788" s="808"/>
      <c r="M788" s="807"/>
      <c r="N788" s="808"/>
      <c r="O788" s="807"/>
      <c r="P788" s="808"/>
      <c r="Q788" s="808"/>
      <c r="R788" s="808"/>
      <c r="S788" s="808"/>
      <c r="T788" s="808"/>
      <c r="U788" s="808"/>
      <c r="V788" s="808"/>
    </row>
    <row r="789">
      <c r="B789" s="808"/>
      <c r="D789" s="808"/>
      <c r="E789" s="808"/>
      <c r="F789" s="808"/>
      <c r="G789" s="808"/>
      <c r="H789" s="808"/>
      <c r="I789" s="808"/>
      <c r="J789" s="808"/>
      <c r="K789" s="808"/>
      <c r="L789" s="808"/>
      <c r="M789" s="807"/>
      <c r="N789" s="808"/>
      <c r="O789" s="807"/>
      <c r="P789" s="808"/>
      <c r="Q789" s="808"/>
      <c r="R789" s="808"/>
      <c r="S789" s="808"/>
      <c r="T789" s="808"/>
      <c r="U789" s="808"/>
      <c r="V789" s="808"/>
    </row>
    <row r="790">
      <c r="B790" s="808"/>
      <c r="D790" s="808"/>
      <c r="E790" s="808"/>
      <c r="F790" s="808"/>
      <c r="G790" s="808"/>
      <c r="H790" s="808"/>
      <c r="I790" s="808"/>
      <c r="J790" s="808"/>
      <c r="K790" s="808"/>
      <c r="L790" s="808"/>
      <c r="M790" s="807"/>
      <c r="N790" s="808"/>
      <c r="O790" s="807"/>
      <c r="P790" s="808"/>
      <c r="Q790" s="808"/>
      <c r="R790" s="808"/>
      <c r="S790" s="808"/>
      <c r="T790" s="808"/>
      <c r="U790" s="808"/>
      <c r="V790" s="808"/>
    </row>
    <row r="791">
      <c r="B791" s="808"/>
      <c r="D791" s="808"/>
      <c r="E791" s="808"/>
      <c r="F791" s="808"/>
      <c r="G791" s="808"/>
      <c r="H791" s="808"/>
      <c r="I791" s="808"/>
      <c r="J791" s="808"/>
      <c r="K791" s="808"/>
      <c r="L791" s="808"/>
      <c r="M791" s="807"/>
      <c r="N791" s="808"/>
      <c r="O791" s="807"/>
      <c r="P791" s="808"/>
      <c r="Q791" s="808"/>
      <c r="R791" s="808"/>
      <c r="S791" s="808"/>
      <c r="T791" s="808"/>
      <c r="U791" s="808"/>
      <c r="V791" s="808"/>
    </row>
    <row r="792">
      <c r="B792" s="808"/>
      <c r="D792" s="808"/>
      <c r="E792" s="808"/>
      <c r="F792" s="808"/>
      <c r="G792" s="808"/>
      <c r="H792" s="808"/>
      <c r="I792" s="808"/>
      <c r="J792" s="808"/>
      <c r="K792" s="808"/>
      <c r="L792" s="808"/>
      <c r="M792" s="807"/>
      <c r="N792" s="808"/>
      <c r="O792" s="807"/>
      <c r="P792" s="808"/>
      <c r="Q792" s="808"/>
      <c r="R792" s="808"/>
      <c r="S792" s="808"/>
      <c r="T792" s="808"/>
      <c r="U792" s="808"/>
      <c r="V792" s="808"/>
    </row>
    <row r="793">
      <c r="B793" s="808"/>
      <c r="D793" s="808"/>
      <c r="E793" s="808"/>
      <c r="F793" s="808"/>
      <c r="G793" s="808"/>
      <c r="H793" s="808"/>
      <c r="I793" s="808"/>
      <c r="J793" s="808"/>
      <c r="K793" s="808"/>
      <c r="L793" s="808"/>
      <c r="M793" s="807"/>
      <c r="N793" s="808"/>
      <c r="O793" s="807"/>
      <c r="P793" s="808"/>
      <c r="Q793" s="808"/>
      <c r="R793" s="808"/>
      <c r="S793" s="808"/>
      <c r="T793" s="808"/>
      <c r="U793" s="808"/>
      <c r="V793" s="808"/>
    </row>
    <row r="794">
      <c r="B794" s="808"/>
      <c r="D794" s="808"/>
      <c r="E794" s="808"/>
      <c r="F794" s="808"/>
      <c r="G794" s="808"/>
      <c r="H794" s="808"/>
      <c r="I794" s="808"/>
      <c r="J794" s="808"/>
      <c r="K794" s="808"/>
      <c r="L794" s="808"/>
      <c r="M794" s="807"/>
      <c r="N794" s="808"/>
      <c r="O794" s="807"/>
      <c r="P794" s="808"/>
      <c r="Q794" s="808"/>
      <c r="R794" s="808"/>
      <c r="S794" s="808"/>
      <c r="T794" s="808"/>
      <c r="U794" s="808"/>
      <c r="V794" s="808"/>
    </row>
    <row r="795">
      <c r="B795" s="808"/>
      <c r="D795" s="808"/>
      <c r="E795" s="808"/>
      <c r="F795" s="808"/>
      <c r="G795" s="808"/>
      <c r="H795" s="808"/>
      <c r="I795" s="808"/>
      <c r="J795" s="808"/>
      <c r="K795" s="808"/>
      <c r="L795" s="808"/>
      <c r="M795" s="807"/>
      <c r="N795" s="808"/>
      <c r="O795" s="807"/>
      <c r="P795" s="808"/>
      <c r="Q795" s="808"/>
      <c r="R795" s="808"/>
      <c r="S795" s="808"/>
      <c r="T795" s="808"/>
      <c r="U795" s="808"/>
      <c r="V795" s="808"/>
    </row>
    <row r="796">
      <c r="B796" s="808"/>
      <c r="D796" s="808"/>
      <c r="E796" s="808"/>
      <c r="F796" s="808"/>
      <c r="G796" s="808"/>
      <c r="H796" s="808"/>
      <c r="I796" s="808"/>
      <c r="J796" s="808"/>
      <c r="K796" s="808"/>
      <c r="L796" s="808"/>
      <c r="M796" s="807"/>
      <c r="N796" s="808"/>
      <c r="O796" s="807"/>
      <c r="P796" s="808"/>
      <c r="Q796" s="808"/>
      <c r="R796" s="808"/>
      <c r="S796" s="808"/>
      <c r="T796" s="808"/>
      <c r="U796" s="808"/>
      <c r="V796" s="808"/>
    </row>
    <row r="797">
      <c r="B797" s="808"/>
      <c r="D797" s="808"/>
      <c r="E797" s="808"/>
      <c r="F797" s="808"/>
      <c r="G797" s="808"/>
      <c r="H797" s="808"/>
      <c r="I797" s="808"/>
      <c r="J797" s="808"/>
      <c r="K797" s="808"/>
      <c r="L797" s="808"/>
      <c r="M797" s="807"/>
      <c r="N797" s="808"/>
      <c r="O797" s="807"/>
      <c r="P797" s="808"/>
      <c r="Q797" s="808"/>
      <c r="R797" s="808"/>
      <c r="S797" s="808"/>
      <c r="T797" s="808"/>
      <c r="U797" s="808"/>
      <c r="V797" s="808"/>
    </row>
    <row r="798">
      <c r="B798" s="808"/>
      <c r="D798" s="808"/>
      <c r="E798" s="808"/>
      <c r="F798" s="808"/>
      <c r="G798" s="808"/>
      <c r="H798" s="808"/>
      <c r="I798" s="808"/>
      <c r="J798" s="808"/>
      <c r="K798" s="808"/>
      <c r="L798" s="808"/>
      <c r="M798" s="807"/>
      <c r="N798" s="808"/>
      <c r="O798" s="807"/>
      <c r="P798" s="808"/>
      <c r="Q798" s="808"/>
      <c r="R798" s="808"/>
      <c r="S798" s="808"/>
      <c r="T798" s="808"/>
      <c r="U798" s="808"/>
      <c r="V798" s="808"/>
    </row>
    <row r="799">
      <c r="B799" s="808"/>
      <c r="D799" s="808"/>
      <c r="E799" s="808"/>
      <c r="F799" s="808"/>
      <c r="G799" s="808"/>
      <c r="H799" s="808"/>
      <c r="I799" s="808"/>
      <c r="J799" s="808"/>
      <c r="K799" s="808"/>
      <c r="L799" s="808"/>
      <c r="M799" s="807"/>
      <c r="N799" s="808"/>
      <c r="O799" s="807"/>
      <c r="P799" s="808"/>
      <c r="Q799" s="808"/>
      <c r="R799" s="808"/>
      <c r="S799" s="808"/>
      <c r="T799" s="808"/>
      <c r="U799" s="808"/>
      <c r="V799" s="808"/>
    </row>
    <row r="800">
      <c r="B800" s="808"/>
      <c r="D800" s="808"/>
      <c r="E800" s="808"/>
      <c r="F800" s="808"/>
      <c r="G800" s="808"/>
      <c r="H800" s="808"/>
      <c r="I800" s="808"/>
      <c r="J800" s="808"/>
      <c r="K800" s="808"/>
      <c r="L800" s="808"/>
      <c r="M800" s="807"/>
      <c r="N800" s="808"/>
      <c r="O800" s="807"/>
      <c r="P800" s="808"/>
      <c r="Q800" s="808"/>
      <c r="R800" s="808"/>
      <c r="S800" s="808"/>
      <c r="T800" s="808"/>
      <c r="U800" s="808"/>
      <c r="V800" s="808"/>
    </row>
    <row r="801">
      <c r="B801" s="808"/>
      <c r="D801" s="808"/>
      <c r="E801" s="808"/>
      <c r="F801" s="808"/>
      <c r="G801" s="808"/>
      <c r="H801" s="808"/>
      <c r="I801" s="808"/>
      <c r="J801" s="808"/>
      <c r="K801" s="808"/>
      <c r="L801" s="808"/>
      <c r="M801" s="807"/>
      <c r="N801" s="808"/>
      <c r="O801" s="807"/>
      <c r="P801" s="808"/>
      <c r="Q801" s="808"/>
      <c r="R801" s="808"/>
      <c r="S801" s="808"/>
      <c r="T801" s="808"/>
      <c r="U801" s="808"/>
      <c r="V801" s="808"/>
    </row>
    <row r="802">
      <c r="B802" s="808"/>
      <c r="D802" s="808"/>
      <c r="E802" s="808"/>
      <c r="F802" s="808"/>
      <c r="G802" s="808"/>
      <c r="H802" s="808"/>
      <c r="I802" s="808"/>
      <c r="J802" s="808"/>
      <c r="K802" s="808"/>
      <c r="L802" s="808"/>
      <c r="M802" s="807"/>
      <c r="N802" s="808"/>
      <c r="O802" s="807"/>
      <c r="P802" s="808"/>
      <c r="Q802" s="808"/>
      <c r="R802" s="808"/>
      <c r="S802" s="808"/>
      <c r="T802" s="808"/>
      <c r="U802" s="808"/>
      <c r="V802" s="808"/>
    </row>
    <row r="803">
      <c r="B803" s="808"/>
      <c r="D803" s="808"/>
      <c r="E803" s="808"/>
      <c r="F803" s="808"/>
      <c r="G803" s="808"/>
      <c r="H803" s="808"/>
      <c r="I803" s="808"/>
      <c r="J803" s="808"/>
      <c r="K803" s="808"/>
      <c r="L803" s="808"/>
      <c r="M803" s="807"/>
      <c r="N803" s="808"/>
      <c r="O803" s="807"/>
      <c r="P803" s="808"/>
      <c r="Q803" s="808"/>
      <c r="R803" s="808"/>
      <c r="S803" s="808"/>
      <c r="T803" s="808"/>
      <c r="U803" s="808"/>
      <c r="V803" s="808"/>
    </row>
    <row r="804">
      <c r="B804" s="808"/>
      <c r="D804" s="808"/>
      <c r="E804" s="808"/>
      <c r="F804" s="808"/>
      <c r="G804" s="808"/>
      <c r="H804" s="808"/>
      <c r="I804" s="808"/>
      <c r="J804" s="808"/>
      <c r="K804" s="808"/>
      <c r="L804" s="808"/>
      <c r="M804" s="807"/>
      <c r="N804" s="808"/>
      <c r="O804" s="807"/>
      <c r="P804" s="808"/>
      <c r="Q804" s="808"/>
      <c r="R804" s="808"/>
      <c r="S804" s="808"/>
      <c r="T804" s="808"/>
      <c r="U804" s="808"/>
      <c r="V804" s="808"/>
    </row>
    <row r="805">
      <c r="B805" s="808"/>
      <c r="D805" s="808"/>
      <c r="E805" s="808"/>
      <c r="F805" s="808"/>
      <c r="G805" s="808"/>
      <c r="H805" s="808"/>
      <c r="I805" s="808"/>
      <c r="J805" s="808"/>
      <c r="K805" s="808"/>
      <c r="L805" s="808"/>
      <c r="M805" s="807"/>
      <c r="N805" s="808"/>
      <c r="O805" s="807"/>
      <c r="P805" s="808"/>
      <c r="Q805" s="808"/>
      <c r="R805" s="808"/>
      <c r="S805" s="808"/>
      <c r="T805" s="808"/>
      <c r="U805" s="808"/>
      <c r="V805" s="808"/>
    </row>
    <row r="806">
      <c r="B806" s="808"/>
      <c r="D806" s="808"/>
      <c r="E806" s="808"/>
      <c r="F806" s="808"/>
      <c r="G806" s="808"/>
      <c r="H806" s="808"/>
      <c r="I806" s="808"/>
      <c r="J806" s="808"/>
      <c r="K806" s="808"/>
      <c r="L806" s="808"/>
      <c r="M806" s="807"/>
      <c r="N806" s="808"/>
      <c r="O806" s="807"/>
      <c r="P806" s="808"/>
      <c r="Q806" s="808"/>
      <c r="R806" s="808"/>
      <c r="S806" s="808"/>
      <c r="T806" s="808"/>
      <c r="U806" s="808"/>
      <c r="V806" s="808"/>
    </row>
    <row r="807">
      <c r="B807" s="808"/>
      <c r="D807" s="808"/>
      <c r="E807" s="808"/>
      <c r="F807" s="808"/>
      <c r="G807" s="808"/>
      <c r="H807" s="808"/>
      <c r="I807" s="808"/>
      <c r="J807" s="808"/>
      <c r="K807" s="808"/>
      <c r="L807" s="808"/>
      <c r="M807" s="807"/>
      <c r="N807" s="808"/>
      <c r="O807" s="807"/>
      <c r="P807" s="808"/>
      <c r="Q807" s="808"/>
      <c r="R807" s="808"/>
      <c r="S807" s="808"/>
      <c r="T807" s="808"/>
      <c r="U807" s="808"/>
      <c r="V807" s="808"/>
    </row>
    <row r="808">
      <c r="B808" s="808"/>
      <c r="D808" s="808"/>
      <c r="E808" s="808"/>
      <c r="F808" s="808"/>
      <c r="G808" s="808"/>
      <c r="H808" s="808"/>
      <c r="I808" s="808"/>
      <c r="J808" s="808"/>
      <c r="K808" s="808"/>
      <c r="L808" s="808"/>
      <c r="M808" s="807"/>
      <c r="N808" s="808"/>
      <c r="O808" s="807"/>
      <c r="P808" s="808"/>
      <c r="Q808" s="808"/>
      <c r="R808" s="808"/>
      <c r="S808" s="808"/>
      <c r="T808" s="808"/>
      <c r="U808" s="808"/>
      <c r="V808" s="808"/>
    </row>
    <row r="809">
      <c r="B809" s="808"/>
      <c r="D809" s="808"/>
      <c r="E809" s="808"/>
      <c r="F809" s="808"/>
      <c r="G809" s="808"/>
      <c r="H809" s="808"/>
      <c r="I809" s="808"/>
      <c r="J809" s="808"/>
      <c r="K809" s="808"/>
      <c r="L809" s="808"/>
      <c r="M809" s="807"/>
      <c r="N809" s="808"/>
      <c r="O809" s="807"/>
      <c r="P809" s="808"/>
      <c r="Q809" s="808"/>
      <c r="R809" s="808"/>
      <c r="S809" s="808"/>
      <c r="T809" s="808"/>
      <c r="U809" s="808"/>
      <c r="V809" s="808"/>
    </row>
    <row r="810">
      <c r="B810" s="808"/>
      <c r="D810" s="808"/>
      <c r="E810" s="808"/>
      <c r="F810" s="808"/>
      <c r="G810" s="808"/>
      <c r="H810" s="808"/>
      <c r="I810" s="808"/>
      <c r="J810" s="808"/>
      <c r="K810" s="808"/>
      <c r="L810" s="808"/>
      <c r="M810" s="807"/>
      <c r="N810" s="808"/>
      <c r="O810" s="807"/>
      <c r="P810" s="808"/>
      <c r="Q810" s="808"/>
      <c r="R810" s="808"/>
      <c r="S810" s="808"/>
      <c r="T810" s="808"/>
      <c r="U810" s="808"/>
      <c r="V810" s="808"/>
    </row>
    <row r="811">
      <c r="B811" s="808"/>
      <c r="D811" s="808"/>
      <c r="E811" s="808"/>
      <c r="F811" s="808"/>
      <c r="G811" s="808"/>
      <c r="H811" s="808"/>
      <c r="I811" s="808"/>
      <c r="J811" s="808"/>
      <c r="K811" s="808"/>
      <c r="L811" s="808"/>
      <c r="M811" s="807"/>
      <c r="N811" s="808"/>
      <c r="O811" s="807"/>
      <c r="P811" s="808"/>
      <c r="Q811" s="808"/>
      <c r="R811" s="808"/>
      <c r="S811" s="808"/>
      <c r="T811" s="808"/>
      <c r="U811" s="808"/>
      <c r="V811" s="808"/>
    </row>
    <row r="812">
      <c r="B812" s="808"/>
      <c r="D812" s="808"/>
      <c r="E812" s="808"/>
      <c r="F812" s="808"/>
      <c r="G812" s="808"/>
      <c r="H812" s="808"/>
      <c r="I812" s="808"/>
      <c r="J812" s="808"/>
      <c r="K812" s="808"/>
      <c r="L812" s="808"/>
      <c r="M812" s="807"/>
      <c r="N812" s="808"/>
      <c r="O812" s="807"/>
      <c r="P812" s="808"/>
      <c r="Q812" s="808"/>
      <c r="R812" s="808"/>
      <c r="S812" s="808"/>
      <c r="T812" s="808"/>
      <c r="U812" s="808"/>
      <c r="V812" s="808"/>
    </row>
    <row r="813">
      <c r="B813" s="808"/>
      <c r="D813" s="808"/>
      <c r="E813" s="808"/>
      <c r="F813" s="808"/>
      <c r="G813" s="808"/>
      <c r="H813" s="808"/>
      <c r="I813" s="808"/>
      <c r="J813" s="808"/>
      <c r="K813" s="808"/>
      <c r="L813" s="808"/>
      <c r="M813" s="807"/>
      <c r="N813" s="808"/>
      <c r="O813" s="807"/>
      <c r="P813" s="808"/>
      <c r="Q813" s="808"/>
      <c r="R813" s="808"/>
      <c r="S813" s="808"/>
      <c r="T813" s="808"/>
      <c r="U813" s="808"/>
      <c r="V813" s="808"/>
    </row>
    <row r="814">
      <c r="B814" s="808"/>
      <c r="D814" s="808"/>
      <c r="E814" s="808"/>
      <c r="F814" s="808"/>
      <c r="G814" s="808"/>
      <c r="H814" s="808"/>
      <c r="I814" s="808"/>
      <c r="J814" s="808"/>
      <c r="K814" s="808"/>
      <c r="L814" s="808"/>
      <c r="M814" s="807"/>
      <c r="N814" s="808"/>
      <c r="O814" s="807"/>
      <c r="P814" s="808"/>
      <c r="Q814" s="808"/>
      <c r="R814" s="808"/>
      <c r="S814" s="808"/>
      <c r="T814" s="808"/>
      <c r="U814" s="808"/>
      <c r="V814" s="808"/>
    </row>
    <row r="815">
      <c r="B815" s="808"/>
      <c r="D815" s="808"/>
      <c r="E815" s="808"/>
      <c r="F815" s="808"/>
      <c r="G815" s="808"/>
      <c r="H815" s="808"/>
      <c r="I815" s="808"/>
      <c r="J815" s="808"/>
      <c r="K815" s="808"/>
      <c r="L815" s="808"/>
      <c r="M815" s="807"/>
      <c r="N815" s="808"/>
      <c r="O815" s="807"/>
      <c r="P815" s="808"/>
      <c r="Q815" s="808"/>
      <c r="R815" s="808"/>
      <c r="S815" s="808"/>
      <c r="T815" s="808"/>
      <c r="U815" s="808"/>
      <c r="V815" s="808"/>
    </row>
    <row r="816">
      <c r="B816" s="808"/>
      <c r="D816" s="808"/>
      <c r="E816" s="808"/>
      <c r="F816" s="808"/>
      <c r="G816" s="808"/>
      <c r="H816" s="808"/>
      <c r="I816" s="808"/>
      <c r="J816" s="808"/>
      <c r="K816" s="808"/>
      <c r="L816" s="808"/>
      <c r="M816" s="807"/>
      <c r="N816" s="808"/>
      <c r="O816" s="807"/>
      <c r="P816" s="808"/>
      <c r="Q816" s="808"/>
      <c r="R816" s="808"/>
      <c r="S816" s="808"/>
      <c r="T816" s="808"/>
      <c r="U816" s="808"/>
      <c r="V816" s="808"/>
    </row>
    <row r="817">
      <c r="B817" s="808"/>
      <c r="D817" s="808"/>
      <c r="E817" s="808"/>
      <c r="F817" s="808"/>
      <c r="G817" s="808"/>
      <c r="H817" s="808"/>
      <c r="I817" s="808"/>
      <c r="J817" s="808"/>
      <c r="K817" s="808"/>
      <c r="L817" s="808"/>
      <c r="M817" s="807"/>
      <c r="N817" s="808"/>
      <c r="O817" s="807"/>
      <c r="P817" s="808"/>
      <c r="Q817" s="808"/>
      <c r="R817" s="808"/>
      <c r="S817" s="808"/>
      <c r="T817" s="808"/>
      <c r="U817" s="808"/>
      <c r="V817" s="808"/>
    </row>
    <row r="818">
      <c r="B818" s="808"/>
      <c r="D818" s="808"/>
      <c r="E818" s="808"/>
      <c r="F818" s="808"/>
      <c r="G818" s="808"/>
      <c r="H818" s="808"/>
      <c r="I818" s="808"/>
      <c r="J818" s="808"/>
      <c r="K818" s="808"/>
      <c r="L818" s="808"/>
      <c r="M818" s="807"/>
      <c r="N818" s="808"/>
      <c r="O818" s="807"/>
      <c r="P818" s="808"/>
      <c r="Q818" s="808"/>
      <c r="R818" s="808"/>
      <c r="S818" s="808"/>
      <c r="T818" s="808"/>
      <c r="U818" s="808"/>
      <c r="V818" s="808"/>
    </row>
    <row r="819">
      <c r="B819" s="808"/>
      <c r="D819" s="808"/>
      <c r="E819" s="808"/>
      <c r="F819" s="808"/>
      <c r="G819" s="808"/>
      <c r="H819" s="808"/>
      <c r="I819" s="808"/>
      <c r="J819" s="808"/>
      <c r="K819" s="808"/>
      <c r="L819" s="808"/>
      <c r="M819" s="807"/>
      <c r="N819" s="808"/>
      <c r="O819" s="807"/>
      <c r="P819" s="808"/>
      <c r="Q819" s="808"/>
      <c r="R819" s="808"/>
      <c r="S819" s="808"/>
      <c r="T819" s="808"/>
      <c r="U819" s="808"/>
      <c r="V819" s="808"/>
    </row>
    <row r="820">
      <c r="B820" s="808"/>
      <c r="D820" s="808"/>
      <c r="E820" s="808"/>
      <c r="F820" s="808"/>
      <c r="G820" s="808"/>
      <c r="H820" s="808"/>
      <c r="I820" s="808"/>
      <c r="J820" s="808"/>
      <c r="K820" s="808"/>
      <c r="L820" s="808"/>
      <c r="M820" s="807"/>
      <c r="N820" s="808"/>
      <c r="O820" s="807"/>
      <c r="P820" s="808"/>
      <c r="Q820" s="808"/>
      <c r="R820" s="808"/>
      <c r="S820" s="808"/>
      <c r="T820" s="808"/>
      <c r="U820" s="808"/>
      <c r="V820" s="808"/>
    </row>
    <row r="821">
      <c r="B821" s="808"/>
      <c r="D821" s="808"/>
      <c r="E821" s="808"/>
      <c r="F821" s="808"/>
      <c r="G821" s="808"/>
      <c r="H821" s="808"/>
      <c r="I821" s="808"/>
      <c r="J821" s="808"/>
      <c r="K821" s="808"/>
      <c r="L821" s="808"/>
      <c r="M821" s="807"/>
      <c r="N821" s="808"/>
      <c r="O821" s="807"/>
      <c r="P821" s="808"/>
      <c r="Q821" s="808"/>
      <c r="R821" s="808"/>
      <c r="S821" s="808"/>
      <c r="T821" s="808"/>
      <c r="U821" s="808"/>
      <c r="V821" s="808"/>
    </row>
    <row r="822">
      <c r="B822" s="808"/>
      <c r="D822" s="808"/>
      <c r="E822" s="808"/>
      <c r="F822" s="808"/>
      <c r="G822" s="808"/>
      <c r="H822" s="808"/>
      <c r="I822" s="808"/>
      <c r="J822" s="808"/>
      <c r="K822" s="808"/>
      <c r="L822" s="808"/>
      <c r="M822" s="807"/>
      <c r="N822" s="808"/>
      <c r="O822" s="807"/>
      <c r="P822" s="808"/>
      <c r="Q822" s="808"/>
      <c r="R822" s="808"/>
      <c r="S822" s="808"/>
      <c r="T822" s="808"/>
      <c r="U822" s="808"/>
      <c r="V822" s="808"/>
    </row>
    <row r="823">
      <c r="B823" s="808"/>
      <c r="D823" s="808"/>
      <c r="E823" s="808"/>
      <c r="F823" s="808"/>
      <c r="G823" s="808"/>
      <c r="H823" s="808"/>
      <c r="I823" s="808"/>
      <c r="J823" s="808"/>
      <c r="K823" s="808"/>
      <c r="L823" s="808"/>
      <c r="M823" s="807"/>
      <c r="N823" s="808"/>
      <c r="O823" s="807"/>
      <c r="P823" s="808"/>
      <c r="Q823" s="808"/>
      <c r="R823" s="808"/>
      <c r="S823" s="808"/>
      <c r="T823" s="808"/>
      <c r="U823" s="808"/>
      <c r="V823" s="808"/>
    </row>
    <row r="824">
      <c r="B824" s="808"/>
      <c r="D824" s="808"/>
      <c r="E824" s="808"/>
      <c r="F824" s="808"/>
      <c r="G824" s="808"/>
      <c r="H824" s="808"/>
      <c r="I824" s="808"/>
      <c r="J824" s="808"/>
      <c r="K824" s="808"/>
      <c r="L824" s="808"/>
      <c r="M824" s="807"/>
      <c r="N824" s="808"/>
      <c r="O824" s="807"/>
      <c r="P824" s="808"/>
      <c r="Q824" s="808"/>
      <c r="R824" s="808"/>
      <c r="S824" s="808"/>
      <c r="T824" s="808"/>
      <c r="U824" s="808"/>
      <c r="V824" s="808"/>
    </row>
    <row r="825">
      <c r="B825" s="808"/>
      <c r="D825" s="808"/>
      <c r="E825" s="808"/>
      <c r="F825" s="808"/>
      <c r="G825" s="808"/>
      <c r="H825" s="808"/>
      <c r="I825" s="808"/>
      <c r="J825" s="808"/>
      <c r="K825" s="808"/>
      <c r="L825" s="808"/>
      <c r="M825" s="807"/>
      <c r="N825" s="808"/>
      <c r="O825" s="807"/>
      <c r="P825" s="808"/>
      <c r="Q825" s="808"/>
      <c r="R825" s="808"/>
      <c r="S825" s="808"/>
      <c r="T825" s="808"/>
      <c r="U825" s="808"/>
      <c r="V825" s="808"/>
    </row>
    <row r="826">
      <c r="B826" s="808"/>
      <c r="D826" s="808"/>
      <c r="E826" s="808"/>
      <c r="F826" s="808"/>
      <c r="G826" s="808"/>
      <c r="H826" s="808"/>
      <c r="I826" s="808"/>
      <c r="J826" s="808"/>
      <c r="K826" s="808"/>
      <c r="L826" s="808"/>
      <c r="M826" s="807"/>
      <c r="N826" s="808"/>
      <c r="O826" s="807"/>
      <c r="P826" s="808"/>
      <c r="Q826" s="808"/>
      <c r="R826" s="808"/>
      <c r="S826" s="808"/>
      <c r="T826" s="808"/>
      <c r="U826" s="808"/>
      <c r="V826" s="808"/>
    </row>
    <row r="827">
      <c r="B827" s="808"/>
      <c r="D827" s="808"/>
      <c r="E827" s="808"/>
      <c r="F827" s="808"/>
      <c r="G827" s="808"/>
      <c r="H827" s="808"/>
      <c r="I827" s="808"/>
      <c r="J827" s="808"/>
      <c r="K827" s="808"/>
      <c r="L827" s="808"/>
      <c r="M827" s="807"/>
      <c r="N827" s="808"/>
      <c r="O827" s="807"/>
      <c r="P827" s="808"/>
      <c r="Q827" s="808"/>
      <c r="R827" s="808"/>
      <c r="S827" s="808"/>
      <c r="T827" s="808"/>
      <c r="U827" s="808"/>
      <c r="V827" s="808"/>
    </row>
    <row r="828">
      <c r="B828" s="808"/>
      <c r="D828" s="808"/>
      <c r="E828" s="808"/>
      <c r="F828" s="808"/>
      <c r="G828" s="808"/>
      <c r="H828" s="808"/>
      <c r="I828" s="808"/>
      <c r="J828" s="808"/>
      <c r="K828" s="808"/>
      <c r="L828" s="808"/>
      <c r="M828" s="807"/>
      <c r="N828" s="808"/>
      <c r="O828" s="807"/>
      <c r="P828" s="808"/>
      <c r="Q828" s="808"/>
      <c r="R828" s="808"/>
      <c r="S828" s="808"/>
      <c r="T828" s="808"/>
      <c r="U828" s="808"/>
      <c r="V828" s="808"/>
    </row>
    <row r="829">
      <c r="B829" s="808"/>
      <c r="D829" s="808"/>
      <c r="E829" s="808"/>
      <c r="F829" s="808"/>
      <c r="G829" s="808"/>
      <c r="H829" s="808"/>
      <c r="I829" s="808"/>
      <c r="J829" s="808"/>
      <c r="K829" s="808"/>
      <c r="L829" s="808"/>
      <c r="M829" s="807"/>
      <c r="N829" s="808"/>
      <c r="O829" s="807"/>
      <c r="P829" s="808"/>
      <c r="Q829" s="808"/>
      <c r="R829" s="808"/>
      <c r="S829" s="808"/>
      <c r="T829" s="808"/>
      <c r="U829" s="808"/>
      <c r="V829" s="808"/>
    </row>
    <row r="830">
      <c r="B830" s="808"/>
      <c r="D830" s="808"/>
      <c r="E830" s="808"/>
      <c r="F830" s="808"/>
      <c r="G830" s="808"/>
      <c r="H830" s="808"/>
      <c r="I830" s="808"/>
      <c r="J830" s="808"/>
      <c r="K830" s="808"/>
      <c r="L830" s="808"/>
      <c r="M830" s="807"/>
      <c r="N830" s="808"/>
      <c r="O830" s="807"/>
      <c r="P830" s="808"/>
      <c r="Q830" s="808"/>
      <c r="R830" s="808"/>
      <c r="S830" s="808"/>
      <c r="T830" s="808"/>
      <c r="U830" s="808"/>
      <c r="V830" s="808"/>
    </row>
    <row r="831">
      <c r="B831" s="808"/>
      <c r="D831" s="808"/>
      <c r="E831" s="808"/>
      <c r="F831" s="808"/>
      <c r="G831" s="808"/>
      <c r="H831" s="808"/>
      <c r="I831" s="808"/>
      <c r="J831" s="808"/>
      <c r="K831" s="808"/>
      <c r="L831" s="808"/>
      <c r="M831" s="807"/>
      <c r="N831" s="808"/>
      <c r="O831" s="807"/>
      <c r="P831" s="808"/>
      <c r="Q831" s="808"/>
      <c r="R831" s="808"/>
      <c r="S831" s="808"/>
      <c r="T831" s="808"/>
      <c r="U831" s="808"/>
      <c r="V831" s="808"/>
    </row>
    <row r="832">
      <c r="B832" s="808"/>
      <c r="D832" s="808"/>
      <c r="E832" s="808"/>
      <c r="F832" s="808"/>
      <c r="G832" s="808"/>
      <c r="H832" s="808"/>
      <c r="I832" s="808"/>
      <c r="J832" s="808"/>
      <c r="K832" s="808"/>
      <c r="L832" s="808"/>
      <c r="M832" s="807"/>
      <c r="N832" s="808"/>
      <c r="O832" s="807"/>
      <c r="P832" s="808"/>
      <c r="Q832" s="808"/>
      <c r="R832" s="808"/>
      <c r="S832" s="808"/>
      <c r="T832" s="808"/>
      <c r="U832" s="808"/>
      <c r="V832" s="808"/>
    </row>
    <row r="833">
      <c r="B833" s="808"/>
      <c r="D833" s="808"/>
      <c r="E833" s="808"/>
      <c r="F833" s="808"/>
      <c r="G833" s="808"/>
      <c r="H833" s="808"/>
      <c r="I833" s="808"/>
      <c r="J833" s="808"/>
      <c r="K833" s="808"/>
      <c r="L833" s="808"/>
      <c r="M833" s="807"/>
      <c r="N833" s="808"/>
      <c r="O833" s="807"/>
      <c r="P833" s="808"/>
      <c r="Q833" s="808"/>
      <c r="R833" s="808"/>
      <c r="S833" s="808"/>
      <c r="T833" s="808"/>
      <c r="U833" s="808"/>
      <c r="V833" s="808"/>
    </row>
    <row r="834">
      <c r="B834" s="808"/>
      <c r="D834" s="808"/>
      <c r="E834" s="808"/>
      <c r="F834" s="808"/>
      <c r="G834" s="808"/>
      <c r="H834" s="808"/>
      <c r="I834" s="808"/>
      <c r="J834" s="808"/>
      <c r="K834" s="808"/>
      <c r="L834" s="808"/>
      <c r="M834" s="807"/>
      <c r="N834" s="808"/>
      <c r="O834" s="807"/>
      <c r="P834" s="808"/>
      <c r="Q834" s="808"/>
      <c r="R834" s="808"/>
      <c r="S834" s="808"/>
      <c r="T834" s="808"/>
      <c r="U834" s="808"/>
      <c r="V834" s="808"/>
    </row>
    <row r="835">
      <c r="B835" s="808"/>
      <c r="D835" s="808"/>
      <c r="E835" s="808"/>
      <c r="F835" s="808"/>
      <c r="G835" s="808"/>
      <c r="H835" s="808"/>
      <c r="I835" s="808"/>
      <c r="J835" s="808"/>
      <c r="K835" s="808"/>
      <c r="L835" s="808"/>
      <c r="M835" s="807"/>
      <c r="N835" s="808"/>
      <c r="O835" s="807"/>
      <c r="P835" s="808"/>
      <c r="Q835" s="808"/>
      <c r="R835" s="808"/>
      <c r="S835" s="808"/>
      <c r="T835" s="808"/>
      <c r="U835" s="808"/>
      <c r="V835" s="808"/>
    </row>
    <row r="836">
      <c r="B836" s="808"/>
      <c r="D836" s="808"/>
      <c r="E836" s="808"/>
      <c r="F836" s="808"/>
      <c r="G836" s="808"/>
      <c r="H836" s="808"/>
      <c r="I836" s="808"/>
      <c r="J836" s="808"/>
      <c r="K836" s="808"/>
      <c r="L836" s="808"/>
      <c r="M836" s="807"/>
      <c r="N836" s="808"/>
      <c r="O836" s="807"/>
      <c r="P836" s="808"/>
      <c r="Q836" s="808"/>
      <c r="R836" s="808"/>
      <c r="S836" s="808"/>
      <c r="T836" s="808"/>
      <c r="U836" s="808"/>
      <c r="V836" s="808"/>
    </row>
    <row r="837">
      <c r="B837" s="808"/>
      <c r="D837" s="808"/>
      <c r="E837" s="808"/>
      <c r="F837" s="808"/>
      <c r="G837" s="808"/>
      <c r="H837" s="808"/>
      <c r="I837" s="808"/>
      <c r="J837" s="808"/>
      <c r="K837" s="808"/>
      <c r="L837" s="808"/>
      <c r="M837" s="807"/>
      <c r="N837" s="808"/>
      <c r="O837" s="807"/>
      <c r="P837" s="808"/>
      <c r="Q837" s="808"/>
      <c r="R837" s="808"/>
      <c r="S837" s="808"/>
      <c r="T837" s="808"/>
      <c r="U837" s="808"/>
      <c r="V837" s="808"/>
    </row>
    <row r="838">
      <c r="B838" s="808"/>
      <c r="D838" s="808"/>
      <c r="E838" s="808"/>
      <c r="F838" s="808"/>
      <c r="G838" s="808"/>
      <c r="H838" s="808"/>
      <c r="I838" s="808"/>
      <c r="J838" s="808"/>
      <c r="K838" s="808"/>
      <c r="L838" s="808"/>
      <c r="M838" s="807"/>
      <c r="N838" s="808"/>
      <c r="O838" s="807"/>
      <c r="P838" s="808"/>
      <c r="Q838" s="808"/>
      <c r="R838" s="808"/>
      <c r="S838" s="808"/>
      <c r="T838" s="808"/>
      <c r="U838" s="808"/>
      <c r="V838" s="808"/>
    </row>
    <row r="839">
      <c r="B839" s="808"/>
      <c r="D839" s="808"/>
      <c r="E839" s="808"/>
      <c r="F839" s="808"/>
      <c r="G839" s="808"/>
      <c r="H839" s="808"/>
      <c r="I839" s="808"/>
      <c r="J839" s="808"/>
      <c r="K839" s="808"/>
      <c r="L839" s="808"/>
      <c r="M839" s="807"/>
      <c r="N839" s="808"/>
      <c r="O839" s="807"/>
      <c r="P839" s="808"/>
      <c r="Q839" s="808"/>
      <c r="R839" s="808"/>
      <c r="S839" s="808"/>
      <c r="T839" s="808"/>
      <c r="U839" s="808"/>
      <c r="V839" s="808"/>
    </row>
    <row r="840">
      <c r="B840" s="808"/>
      <c r="D840" s="808"/>
      <c r="E840" s="808"/>
      <c r="F840" s="808"/>
      <c r="G840" s="808"/>
      <c r="H840" s="808"/>
      <c r="I840" s="808"/>
      <c r="J840" s="808"/>
      <c r="K840" s="808"/>
      <c r="L840" s="808"/>
      <c r="M840" s="807"/>
      <c r="N840" s="808"/>
      <c r="O840" s="807"/>
      <c r="P840" s="808"/>
      <c r="Q840" s="808"/>
      <c r="R840" s="808"/>
      <c r="S840" s="808"/>
      <c r="T840" s="808"/>
      <c r="U840" s="808"/>
      <c r="V840" s="808"/>
    </row>
    <row r="841">
      <c r="B841" s="808"/>
      <c r="D841" s="808"/>
      <c r="E841" s="808"/>
      <c r="F841" s="808"/>
      <c r="G841" s="808"/>
      <c r="H841" s="808"/>
      <c r="I841" s="808"/>
      <c r="J841" s="808"/>
      <c r="K841" s="808"/>
      <c r="L841" s="808"/>
      <c r="M841" s="807"/>
      <c r="N841" s="808"/>
      <c r="O841" s="807"/>
      <c r="P841" s="808"/>
      <c r="Q841" s="808"/>
      <c r="R841" s="808"/>
      <c r="S841" s="808"/>
      <c r="T841" s="808"/>
      <c r="U841" s="808"/>
      <c r="V841" s="808"/>
    </row>
    <row r="842">
      <c r="B842" s="808"/>
      <c r="D842" s="808"/>
      <c r="E842" s="808"/>
      <c r="F842" s="808"/>
      <c r="G842" s="808"/>
      <c r="H842" s="808"/>
      <c r="I842" s="808"/>
      <c r="J842" s="808"/>
      <c r="K842" s="808"/>
      <c r="L842" s="808"/>
      <c r="M842" s="807"/>
      <c r="N842" s="808"/>
      <c r="O842" s="807"/>
      <c r="P842" s="808"/>
      <c r="Q842" s="808"/>
      <c r="R842" s="808"/>
      <c r="S842" s="808"/>
      <c r="T842" s="808"/>
      <c r="U842" s="808"/>
      <c r="V842" s="808"/>
    </row>
    <row r="843">
      <c r="B843" s="808"/>
      <c r="D843" s="808"/>
      <c r="E843" s="808"/>
      <c r="F843" s="808"/>
      <c r="G843" s="808"/>
      <c r="H843" s="808"/>
      <c r="I843" s="808"/>
      <c r="J843" s="808"/>
      <c r="K843" s="808"/>
      <c r="L843" s="808"/>
      <c r="M843" s="807"/>
      <c r="N843" s="808"/>
      <c r="O843" s="807"/>
      <c r="P843" s="808"/>
      <c r="Q843" s="808"/>
      <c r="R843" s="808"/>
      <c r="S843" s="808"/>
      <c r="T843" s="808"/>
      <c r="U843" s="808"/>
      <c r="V843" s="808"/>
    </row>
    <row r="844">
      <c r="B844" s="808"/>
      <c r="D844" s="808"/>
      <c r="E844" s="808"/>
      <c r="F844" s="808"/>
      <c r="G844" s="808"/>
      <c r="H844" s="808"/>
      <c r="I844" s="808"/>
      <c r="J844" s="808"/>
      <c r="K844" s="808"/>
      <c r="L844" s="808"/>
      <c r="M844" s="807"/>
      <c r="N844" s="808"/>
      <c r="O844" s="807"/>
      <c r="P844" s="808"/>
      <c r="Q844" s="808"/>
      <c r="R844" s="808"/>
      <c r="S844" s="808"/>
      <c r="T844" s="808"/>
      <c r="U844" s="808"/>
      <c r="V844" s="808"/>
    </row>
    <row r="845">
      <c r="B845" s="808"/>
      <c r="D845" s="808"/>
      <c r="E845" s="808"/>
      <c r="F845" s="808"/>
      <c r="G845" s="808"/>
      <c r="H845" s="808"/>
      <c r="I845" s="808"/>
      <c r="J845" s="808"/>
      <c r="K845" s="808"/>
      <c r="L845" s="808"/>
      <c r="M845" s="807"/>
      <c r="N845" s="808"/>
      <c r="O845" s="807"/>
      <c r="P845" s="808"/>
      <c r="Q845" s="808"/>
      <c r="R845" s="808"/>
      <c r="S845" s="808"/>
      <c r="T845" s="808"/>
      <c r="U845" s="808"/>
      <c r="V845" s="808"/>
    </row>
    <row r="846">
      <c r="B846" s="808"/>
      <c r="D846" s="808"/>
      <c r="E846" s="808"/>
      <c r="F846" s="808"/>
      <c r="G846" s="808"/>
      <c r="H846" s="808"/>
      <c r="I846" s="808"/>
      <c r="J846" s="808"/>
      <c r="K846" s="808"/>
      <c r="L846" s="808"/>
      <c r="M846" s="807"/>
      <c r="N846" s="808"/>
      <c r="O846" s="807"/>
      <c r="P846" s="808"/>
      <c r="Q846" s="808"/>
      <c r="R846" s="808"/>
      <c r="S846" s="808"/>
      <c r="T846" s="808"/>
      <c r="U846" s="808"/>
      <c r="V846" s="808"/>
    </row>
    <row r="847">
      <c r="B847" s="808"/>
      <c r="D847" s="808"/>
      <c r="E847" s="808"/>
      <c r="F847" s="808"/>
      <c r="G847" s="808"/>
      <c r="H847" s="808"/>
      <c r="I847" s="808"/>
      <c r="J847" s="808"/>
      <c r="K847" s="808"/>
      <c r="L847" s="808"/>
      <c r="M847" s="807"/>
      <c r="N847" s="808"/>
      <c r="O847" s="807"/>
      <c r="P847" s="808"/>
      <c r="Q847" s="808"/>
      <c r="R847" s="808"/>
      <c r="S847" s="808"/>
      <c r="T847" s="808"/>
      <c r="U847" s="808"/>
      <c r="V847" s="808"/>
    </row>
    <row r="848">
      <c r="B848" s="808"/>
      <c r="D848" s="808"/>
      <c r="E848" s="808"/>
      <c r="F848" s="808"/>
      <c r="G848" s="808"/>
      <c r="H848" s="808"/>
      <c r="I848" s="808"/>
      <c r="J848" s="808"/>
      <c r="K848" s="808"/>
      <c r="L848" s="808"/>
      <c r="M848" s="807"/>
      <c r="N848" s="808"/>
      <c r="O848" s="807"/>
      <c r="P848" s="808"/>
      <c r="Q848" s="808"/>
      <c r="R848" s="808"/>
      <c r="S848" s="808"/>
      <c r="T848" s="808"/>
      <c r="U848" s="808"/>
      <c r="V848" s="808"/>
    </row>
    <row r="849">
      <c r="B849" s="808"/>
      <c r="D849" s="808"/>
      <c r="E849" s="808"/>
      <c r="F849" s="808"/>
      <c r="G849" s="808"/>
      <c r="H849" s="808"/>
      <c r="I849" s="808"/>
      <c r="J849" s="808"/>
      <c r="K849" s="808"/>
      <c r="L849" s="808"/>
      <c r="M849" s="807"/>
      <c r="N849" s="808"/>
      <c r="O849" s="807"/>
      <c r="P849" s="808"/>
      <c r="Q849" s="808"/>
      <c r="R849" s="808"/>
      <c r="S849" s="808"/>
      <c r="T849" s="808"/>
      <c r="U849" s="808"/>
      <c r="V849" s="808"/>
    </row>
    <row r="850">
      <c r="B850" s="808"/>
      <c r="D850" s="808"/>
      <c r="E850" s="808"/>
      <c r="F850" s="808"/>
      <c r="G850" s="808"/>
      <c r="H850" s="808"/>
      <c r="I850" s="808"/>
      <c r="J850" s="808"/>
      <c r="K850" s="808"/>
      <c r="L850" s="808"/>
      <c r="M850" s="807"/>
      <c r="N850" s="808"/>
      <c r="O850" s="807"/>
      <c r="P850" s="808"/>
      <c r="Q850" s="808"/>
      <c r="R850" s="808"/>
      <c r="S850" s="808"/>
      <c r="T850" s="808"/>
      <c r="U850" s="808"/>
      <c r="V850" s="808"/>
    </row>
    <row r="851">
      <c r="B851" s="808"/>
      <c r="D851" s="808"/>
      <c r="E851" s="808"/>
      <c r="F851" s="808"/>
      <c r="G851" s="808"/>
      <c r="H851" s="808"/>
      <c r="I851" s="808"/>
      <c r="J851" s="808"/>
      <c r="K851" s="808"/>
      <c r="L851" s="808"/>
      <c r="M851" s="807"/>
      <c r="N851" s="808"/>
      <c r="O851" s="807"/>
      <c r="P851" s="808"/>
      <c r="Q851" s="808"/>
      <c r="R851" s="808"/>
      <c r="S851" s="808"/>
      <c r="T851" s="808"/>
      <c r="U851" s="808"/>
      <c r="V851" s="808"/>
    </row>
    <row r="852">
      <c r="B852" s="808"/>
      <c r="D852" s="808"/>
      <c r="E852" s="808"/>
      <c r="F852" s="808"/>
      <c r="G852" s="808"/>
      <c r="H852" s="808"/>
      <c r="I852" s="808"/>
      <c r="J852" s="808"/>
      <c r="K852" s="808"/>
      <c r="L852" s="808"/>
      <c r="M852" s="807"/>
      <c r="N852" s="808"/>
      <c r="O852" s="807"/>
      <c r="P852" s="808"/>
      <c r="Q852" s="808"/>
      <c r="R852" s="808"/>
      <c r="S852" s="808"/>
      <c r="T852" s="808"/>
      <c r="U852" s="808"/>
      <c r="V852" s="808"/>
    </row>
    <row r="853">
      <c r="B853" s="808"/>
      <c r="D853" s="808"/>
      <c r="E853" s="808"/>
      <c r="F853" s="808"/>
      <c r="G853" s="808"/>
      <c r="H853" s="808"/>
      <c r="I853" s="808"/>
      <c r="J853" s="808"/>
      <c r="K853" s="808"/>
      <c r="L853" s="808"/>
      <c r="M853" s="807"/>
      <c r="N853" s="808"/>
      <c r="O853" s="807"/>
      <c r="P853" s="808"/>
      <c r="Q853" s="808"/>
      <c r="R853" s="808"/>
      <c r="S853" s="808"/>
      <c r="T853" s="808"/>
      <c r="U853" s="808"/>
      <c r="V853" s="808"/>
    </row>
    <row r="854">
      <c r="B854" s="808"/>
      <c r="D854" s="808"/>
      <c r="E854" s="808"/>
      <c r="F854" s="808"/>
      <c r="G854" s="808"/>
      <c r="H854" s="808"/>
      <c r="I854" s="808"/>
      <c r="J854" s="808"/>
      <c r="K854" s="808"/>
      <c r="L854" s="808"/>
      <c r="M854" s="807"/>
      <c r="N854" s="808"/>
      <c r="O854" s="807"/>
      <c r="P854" s="808"/>
      <c r="Q854" s="808"/>
      <c r="R854" s="808"/>
      <c r="S854" s="808"/>
      <c r="T854" s="808"/>
      <c r="U854" s="808"/>
      <c r="V854" s="808"/>
    </row>
    <row r="855">
      <c r="B855" s="808"/>
      <c r="D855" s="808"/>
      <c r="E855" s="808"/>
      <c r="F855" s="808"/>
      <c r="G855" s="808"/>
      <c r="H855" s="808"/>
      <c r="I855" s="808"/>
      <c r="J855" s="808"/>
      <c r="K855" s="808"/>
      <c r="L855" s="808"/>
      <c r="M855" s="807"/>
      <c r="N855" s="808"/>
      <c r="O855" s="807"/>
      <c r="P855" s="808"/>
      <c r="Q855" s="808"/>
      <c r="R855" s="808"/>
      <c r="S855" s="808"/>
      <c r="T855" s="808"/>
      <c r="U855" s="808"/>
      <c r="V855" s="808"/>
    </row>
    <row r="856">
      <c r="B856" s="808"/>
      <c r="D856" s="808"/>
      <c r="E856" s="808"/>
      <c r="F856" s="808"/>
      <c r="G856" s="808"/>
      <c r="H856" s="808"/>
      <c r="I856" s="808"/>
      <c r="J856" s="808"/>
      <c r="K856" s="808"/>
      <c r="L856" s="808"/>
      <c r="M856" s="807"/>
      <c r="N856" s="808"/>
      <c r="O856" s="807"/>
      <c r="P856" s="808"/>
      <c r="Q856" s="808"/>
      <c r="R856" s="808"/>
      <c r="S856" s="808"/>
      <c r="T856" s="808"/>
      <c r="U856" s="808"/>
      <c r="V856" s="808"/>
    </row>
    <row r="857">
      <c r="B857" s="808"/>
      <c r="D857" s="808"/>
      <c r="E857" s="808"/>
      <c r="F857" s="808"/>
      <c r="G857" s="808"/>
      <c r="H857" s="808"/>
      <c r="I857" s="808"/>
      <c r="J857" s="808"/>
      <c r="K857" s="808"/>
      <c r="L857" s="808"/>
      <c r="M857" s="807"/>
      <c r="N857" s="808"/>
      <c r="O857" s="807"/>
      <c r="P857" s="808"/>
      <c r="Q857" s="808"/>
      <c r="R857" s="808"/>
      <c r="S857" s="808"/>
      <c r="T857" s="808"/>
      <c r="U857" s="808"/>
      <c r="V857" s="808"/>
    </row>
    <row r="858">
      <c r="B858" s="808"/>
      <c r="D858" s="808"/>
      <c r="E858" s="808"/>
      <c r="F858" s="808"/>
      <c r="G858" s="808"/>
      <c r="H858" s="808"/>
      <c r="I858" s="808"/>
      <c r="J858" s="808"/>
      <c r="K858" s="808"/>
      <c r="L858" s="808"/>
      <c r="M858" s="807"/>
      <c r="N858" s="808"/>
      <c r="O858" s="807"/>
      <c r="P858" s="808"/>
      <c r="Q858" s="808"/>
      <c r="R858" s="808"/>
      <c r="S858" s="808"/>
      <c r="T858" s="808"/>
      <c r="U858" s="808"/>
      <c r="V858" s="808"/>
    </row>
    <row r="859">
      <c r="B859" s="808"/>
      <c r="D859" s="808"/>
      <c r="E859" s="808"/>
      <c r="F859" s="808"/>
      <c r="G859" s="808"/>
      <c r="H859" s="808"/>
      <c r="I859" s="808"/>
      <c r="J859" s="808"/>
      <c r="K859" s="808"/>
      <c r="L859" s="808"/>
      <c r="M859" s="807"/>
      <c r="N859" s="808"/>
      <c r="O859" s="807"/>
      <c r="P859" s="808"/>
      <c r="Q859" s="808"/>
      <c r="R859" s="808"/>
      <c r="S859" s="808"/>
      <c r="T859" s="808"/>
      <c r="U859" s="808"/>
      <c r="V859" s="808"/>
    </row>
    <row r="860">
      <c r="B860" s="808"/>
      <c r="D860" s="808"/>
      <c r="E860" s="808"/>
      <c r="F860" s="808"/>
      <c r="G860" s="808"/>
      <c r="H860" s="808"/>
      <c r="I860" s="808"/>
      <c r="J860" s="808"/>
      <c r="K860" s="808"/>
      <c r="L860" s="808"/>
      <c r="M860" s="807"/>
      <c r="N860" s="808"/>
      <c r="O860" s="807"/>
      <c r="P860" s="808"/>
      <c r="Q860" s="808"/>
      <c r="R860" s="808"/>
      <c r="S860" s="808"/>
      <c r="T860" s="808"/>
      <c r="U860" s="808"/>
      <c r="V860" s="808"/>
    </row>
    <row r="861">
      <c r="B861" s="808"/>
      <c r="D861" s="808"/>
      <c r="E861" s="808"/>
      <c r="F861" s="808"/>
      <c r="G861" s="808"/>
      <c r="H861" s="808"/>
      <c r="I861" s="808"/>
      <c r="J861" s="808"/>
      <c r="K861" s="808"/>
      <c r="L861" s="808"/>
      <c r="M861" s="807"/>
      <c r="N861" s="808"/>
      <c r="O861" s="807"/>
      <c r="P861" s="808"/>
      <c r="Q861" s="808"/>
      <c r="R861" s="808"/>
      <c r="S861" s="808"/>
      <c r="T861" s="808"/>
      <c r="U861" s="808"/>
      <c r="V861" s="808"/>
    </row>
    <row r="862">
      <c r="B862" s="808"/>
      <c r="D862" s="808"/>
      <c r="E862" s="808"/>
      <c r="F862" s="808"/>
      <c r="G862" s="808"/>
      <c r="H862" s="808"/>
      <c r="I862" s="808"/>
      <c r="J862" s="808"/>
      <c r="K862" s="808"/>
      <c r="L862" s="808"/>
      <c r="M862" s="807"/>
      <c r="N862" s="808"/>
      <c r="O862" s="807"/>
      <c r="P862" s="808"/>
      <c r="Q862" s="808"/>
      <c r="R862" s="808"/>
      <c r="S862" s="808"/>
      <c r="T862" s="808"/>
      <c r="U862" s="808"/>
      <c r="V862" s="808"/>
    </row>
    <row r="863">
      <c r="B863" s="808"/>
      <c r="D863" s="808"/>
      <c r="E863" s="808"/>
      <c r="F863" s="808"/>
      <c r="G863" s="808"/>
      <c r="H863" s="808"/>
      <c r="I863" s="808"/>
      <c r="J863" s="808"/>
      <c r="K863" s="808"/>
      <c r="L863" s="808"/>
      <c r="M863" s="807"/>
      <c r="N863" s="808"/>
      <c r="O863" s="807"/>
      <c r="P863" s="808"/>
      <c r="Q863" s="808"/>
      <c r="R863" s="808"/>
      <c r="S863" s="808"/>
      <c r="T863" s="808"/>
      <c r="U863" s="808"/>
      <c r="V863" s="808"/>
    </row>
    <row r="864">
      <c r="B864" s="808"/>
      <c r="D864" s="808"/>
      <c r="E864" s="808"/>
      <c r="F864" s="808"/>
      <c r="G864" s="808"/>
      <c r="H864" s="808"/>
      <c r="I864" s="808"/>
      <c r="J864" s="808"/>
      <c r="K864" s="808"/>
      <c r="L864" s="808"/>
      <c r="M864" s="807"/>
      <c r="N864" s="808"/>
      <c r="O864" s="807"/>
      <c r="P864" s="808"/>
      <c r="Q864" s="808"/>
      <c r="R864" s="808"/>
      <c r="S864" s="808"/>
      <c r="T864" s="808"/>
      <c r="U864" s="808"/>
      <c r="V864" s="808"/>
    </row>
    <row r="865">
      <c r="B865" s="808"/>
      <c r="D865" s="808"/>
      <c r="E865" s="808"/>
      <c r="F865" s="808"/>
      <c r="G865" s="808"/>
      <c r="H865" s="808"/>
      <c r="I865" s="808"/>
      <c r="J865" s="808"/>
      <c r="K865" s="808"/>
      <c r="L865" s="808"/>
      <c r="M865" s="807"/>
      <c r="N865" s="808"/>
      <c r="O865" s="807"/>
      <c r="P865" s="808"/>
      <c r="Q865" s="808"/>
      <c r="R865" s="808"/>
      <c r="S865" s="808"/>
      <c r="T865" s="808"/>
      <c r="U865" s="808"/>
      <c r="V865" s="808"/>
    </row>
    <row r="866">
      <c r="B866" s="808"/>
      <c r="D866" s="808"/>
      <c r="E866" s="808"/>
      <c r="F866" s="808"/>
      <c r="G866" s="808"/>
      <c r="H866" s="808"/>
      <c r="I866" s="808"/>
      <c r="J866" s="808"/>
      <c r="K866" s="808"/>
      <c r="L866" s="808"/>
      <c r="M866" s="807"/>
      <c r="N866" s="808"/>
      <c r="O866" s="807"/>
      <c r="P866" s="808"/>
      <c r="Q866" s="808"/>
      <c r="R866" s="808"/>
      <c r="S866" s="808"/>
      <c r="T866" s="808"/>
      <c r="U866" s="808"/>
      <c r="V866" s="808"/>
    </row>
    <row r="867">
      <c r="B867" s="808"/>
      <c r="D867" s="808"/>
      <c r="E867" s="808"/>
      <c r="F867" s="808"/>
      <c r="G867" s="808"/>
      <c r="H867" s="808"/>
      <c r="I867" s="808"/>
      <c r="J867" s="808"/>
      <c r="K867" s="808"/>
      <c r="L867" s="808"/>
      <c r="M867" s="807"/>
      <c r="N867" s="808"/>
      <c r="O867" s="807"/>
      <c r="P867" s="808"/>
      <c r="Q867" s="808"/>
      <c r="R867" s="808"/>
      <c r="S867" s="808"/>
      <c r="T867" s="808"/>
      <c r="U867" s="808"/>
      <c r="V867" s="808"/>
    </row>
    <row r="868">
      <c r="B868" s="808"/>
      <c r="D868" s="808"/>
      <c r="E868" s="808"/>
      <c r="F868" s="808"/>
      <c r="G868" s="808"/>
      <c r="H868" s="808"/>
      <c r="I868" s="808"/>
      <c r="J868" s="808"/>
      <c r="K868" s="808"/>
      <c r="L868" s="808"/>
      <c r="M868" s="807"/>
      <c r="N868" s="808"/>
      <c r="O868" s="807"/>
      <c r="P868" s="808"/>
      <c r="Q868" s="808"/>
      <c r="R868" s="808"/>
      <c r="S868" s="808"/>
      <c r="T868" s="808"/>
      <c r="U868" s="808"/>
      <c r="V868" s="808"/>
    </row>
    <row r="869">
      <c r="B869" s="808"/>
      <c r="D869" s="808"/>
      <c r="E869" s="808"/>
      <c r="F869" s="808"/>
      <c r="G869" s="808"/>
      <c r="H869" s="808"/>
      <c r="I869" s="808"/>
      <c r="J869" s="808"/>
      <c r="K869" s="808"/>
      <c r="L869" s="808"/>
      <c r="M869" s="807"/>
      <c r="N869" s="808"/>
      <c r="O869" s="807"/>
      <c r="P869" s="808"/>
      <c r="Q869" s="808"/>
      <c r="R869" s="808"/>
      <c r="S869" s="808"/>
      <c r="T869" s="808"/>
      <c r="U869" s="808"/>
      <c r="V869" s="808"/>
    </row>
    <row r="870">
      <c r="B870" s="808"/>
      <c r="D870" s="808"/>
      <c r="E870" s="808"/>
      <c r="F870" s="808"/>
      <c r="G870" s="808"/>
      <c r="H870" s="808"/>
      <c r="I870" s="808"/>
      <c r="J870" s="808"/>
      <c r="K870" s="808"/>
      <c r="L870" s="808"/>
      <c r="M870" s="807"/>
      <c r="N870" s="808"/>
      <c r="O870" s="807"/>
      <c r="P870" s="808"/>
      <c r="Q870" s="808"/>
      <c r="R870" s="808"/>
      <c r="S870" s="808"/>
      <c r="T870" s="808"/>
      <c r="U870" s="808"/>
      <c r="V870" s="808"/>
    </row>
    <row r="871">
      <c r="B871" s="808"/>
      <c r="D871" s="808"/>
      <c r="E871" s="808"/>
      <c r="F871" s="808"/>
      <c r="G871" s="808"/>
      <c r="H871" s="808"/>
      <c r="I871" s="808"/>
      <c r="J871" s="808"/>
      <c r="K871" s="808"/>
      <c r="L871" s="808"/>
      <c r="M871" s="807"/>
      <c r="N871" s="808"/>
      <c r="O871" s="807"/>
      <c r="P871" s="808"/>
      <c r="Q871" s="808"/>
      <c r="R871" s="808"/>
      <c r="S871" s="808"/>
      <c r="T871" s="808"/>
      <c r="U871" s="808"/>
      <c r="V871" s="808"/>
    </row>
    <row r="872">
      <c r="B872" s="808"/>
      <c r="D872" s="808"/>
      <c r="E872" s="808"/>
      <c r="F872" s="808"/>
      <c r="G872" s="808"/>
      <c r="H872" s="808"/>
      <c r="I872" s="808"/>
      <c r="J872" s="808"/>
      <c r="K872" s="808"/>
      <c r="L872" s="808"/>
      <c r="M872" s="807"/>
      <c r="N872" s="808"/>
      <c r="O872" s="807"/>
      <c r="P872" s="808"/>
      <c r="Q872" s="808"/>
      <c r="R872" s="808"/>
      <c r="S872" s="808"/>
      <c r="T872" s="808"/>
      <c r="U872" s="808"/>
      <c r="V872" s="808"/>
    </row>
    <row r="873">
      <c r="B873" s="808"/>
      <c r="D873" s="808"/>
      <c r="E873" s="808"/>
      <c r="F873" s="808"/>
      <c r="G873" s="808"/>
      <c r="H873" s="808"/>
      <c r="I873" s="808"/>
      <c r="J873" s="808"/>
      <c r="K873" s="808"/>
      <c r="L873" s="808"/>
      <c r="M873" s="807"/>
      <c r="N873" s="808"/>
      <c r="O873" s="807"/>
      <c r="P873" s="808"/>
      <c r="Q873" s="808"/>
      <c r="R873" s="808"/>
      <c r="S873" s="808"/>
      <c r="T873" s="808"/>
      <c r="U873" s="808"/>
      <c r="V873" s="808"/>
    </row>
    <row r="874">
      <c r="B874" s="808"/>
      <c r="D874" s="808"/>
      <c r="E874" s="808"/>
      <c r="F874" s="808"/>
      <c r="G874" s="808"/>
      <c r="H874" s="808"/>
      <c r="I874" s="808"/>
      <c r="J874" s="808"/>
      <c r="K874" s="808"/>
      <c r="L874" s="808"/>
      <c r="M874" s="807"/>
      <c r="N874" s="808"/>
      <c r="O874" s="807"/>
      <c r="P874" s="808"/>
      <c r="Q874" s="808"/>
      <c r="R874" s="808"/>
      <c r="S874" s="808"/>
      <c r="T874" s="808"/>
      <c r="U874" s="808"/>
      <c r="V874" s="808"/>
    </row>
    <row r="875">
      <c r="B875" s="808"/>
      <c r="D875" s="808"/>
      <c r="E875" s="808"/>
      <c r="F875" s="808"/>
      <c r="G875" s="808"/>
      <c r="H875" s="808"/>
      <c r="I875" s="808"/>
      <c r="J875" s="808"/>
      <c r="K875" s="808"/>
      <c r="L875" s="808"/>
      <c r="M875" s="807"/>
      <c r="N875" s="808"/>
      <c r="O875" s="807"/>
      <c r="P875" s="808"/>
      <c r="Q875" s="808"/>
      <c r="R875" s="808"/>
      <c r="S875" s="808"/>
      <c r="T875" s="808"/>
      <c r="U875" s="808"/>
      <c r="V875" s="808"/>
    </row>
    <row r="876">
      <c r="B876" s="808"/>
      <c r="D876" s="808"/>
      <c r="E876" s="808"/>
      <c r="F876" s="808"/>
      <c r="G876" s="808"/>
      <c r="H876" s="808"/>
      <c r="I876" s="808"/>
      <c r="J876" s="808"/>
      <c r="K876" s="808"/>
      <c r="L876" s="808"/>
      <c r="M876" s="807"/>
      <c r="N876" s="808"/>
      <c r="O876" s="807"/>
      <c r="P876" s="808"/>
      <c r="Q876" s="808"/>
      <c r="R876" s="808"/>
      <c r="S876" s="808"/>
      <c r="T876" s="808"/>
      <c r="U876" s="808"/>
      <c r="V876" s="808"/>
    </row>
    <row r="877">
      <c r="B877" s="808"/>
      <c r="D877" s="808"/>
      <c r="E877" s="808"/>
      <c r="F877" s="808"/>
      <c r="G877" s="808"/>
      <c r="H877" s="808"/>
      <c r="I877" s="808"/>
      <c r="J877" s="808"/>
      <c r="K877" s="808"/>
      <c r="L877" s="808"/>
      <c r="M877" s="807"/>
      <c r="N877" s="808"/>
      <c r="O877" s="807"/>
      <c r="P877" s="808"/>
      <c r="Q877" s="808"/>
      <c r="R877" s="808"/>
      <c r="S877" s="808"/>
      <c r="T877" s="808"/>
      <c r="U877" s="808"/>
      <c r="V877" s="808"/>
    </row>
    <row r="878">
      <c r="B878" s="808"/>
      <c r="D878" s="808"/>
      <c r="E878" s="808"/>
      <c r="F878" s="808"/>
      <c r="G878" s="808"/>
      <c r="H878" s="808"/>
      <c r="I878" s="808"/>
      <c r="J878" s="808"/>
      <c r="K878" s="808"/>
      <c r="L878" s="808"/>
      <c r="M878" s="807"/>
      <c r="N878" s="808"/>
      <c r="O878" s="807"/>
      <c r="P878" s="808"/>
      <c r="Q878" s="808"/>
      <c r="R878" s="808"/>
      <c r="S878" s="808"/>
      <c r="T878" s="808"/>
      <c r="U878" s="808"/>
      <c r="V878" s="808"/>
    </row>
    <row r="879">
      <c r="B879" s="808"/>
      <c r="D879" s="808"/>
      <c r="E879" s="808"/>
      <c r="F879" s="808"/>
      <c r="G879" s="808"/>
      <c r="H879" s="808"/>
      <c r="I879" s="808"/>
      <c r="J879" s="808"/>
      <c r="K879" s="808"/>
      <c r="L879" s="808"/>
      <c r="M879" s="807"/>
      <c r="N879" s="808"/>
      <c r="O879" s="807"/>
      <c r="P879" s="808"/>
      <c r="Q879" s="808"/>
      <c r="R879" s="808"/>
      <c r="S879" s="808"/>
      <c r="T879" s="808"/>
      <c r="U879" s="808"/>
      <c r="V879" s="808"/>
    </row>
    <row r="880">
      <c r="B880" s="808"/>
      <c r="D880" s="808"/>
      <c r="E880" s="808"/>
      <c r="F880" s="808"/>
      <c r="G880" s="808"/>
      <c r="H880" s="808"/>
      <c r="I880" s="808"/>
      <c r="J880" s="808"/>
      <c r="K880" s="808"/>
      <c r="L880" s="808"/>
      <c r="M880" s="807"/>
      <c r="N880" s="808"/>
      <c r="O880" s="807"/>
      <c r="P880" s="808"/>
      <c r="Q880" s="808"/>
      <c r="R880" s="808"/>
      <c r="S880" s="808"/>
      <c r="T880" s="808"/>
      <c r="U880" s="808"/>
      <c r="V880" s="808"/>
    </row>
    <row r="881">
      <c r="B881" s="808"/>
      <c r="D881" s="808"/>
      <c r="E881" s="808"/>
      <c r="F881" s="808"/>
      <c r="G881" s="808"/>
      <c r="H881" s="808"/>
      <c r="I881" s="808"/>
      <c r="J881" s="808"/>
      <c r="K881" s="808"/>
      <c r="L881" s="808"/>
      <c r="M881" s="807"/>
      <c r="N881" s="808"/>
      <c r="O881" s="807"/>
      <c r="P881" s="808"/>
      <c r="Q881" s="808"/>
      <c r="R881" s="808"/>
      <c r="S881" s="808"/>
      <c r="T881" s="808"/>
      <c r="U881" s="808"/>
      <c r="V881" s="808"/>
    </row>
    <row r="882">
      <c r="B882" s="808"/>
      <c r="D882" s="808"/>
      <c r="E882" s="808"/>
      <c r="F882" s="808"/>
      <c r="G882" s="808"/>
      <c r="H882" s="808"/>
      <c r="I882" s="808"/>
      <c r="J882" s="808"/>
      <c r="K882" s="808"/>
      <c r="L882" s="808"/>
      <c r="M882" s="807"/>
      <c r="N882" s="808"/>
      <c r="O882" s="807"/>
      <c r="P882" s="808"/>
      <c r="Q882" s="808"/>
      <c r="R882" s="808"/>
      <c r="S882" s="808"/>
      <c r="T882" s="808"/>
      <c r="U882" s="808"/>
      <c r="V882" s="808"/>
    </row>
    <row r="883">
      <c r="B883" s="808"/>
      <c r="D883" s="808"/>
      <c r="E883" s="808"/>
      <c r="F883" s="808"/>
      <c r="G883" s="808"/>
      <c r="H883" s="808"/>
      <c r="I883" s="808"/>
      <c r="J883" s="808"/>
      <c r="K883" s="808"/>
      <c r="L883" s="808"/>
      <c r="M883" s="807"/>
      <c r="N883" s="808"/>
      <c r="O883" s="807"/>
      <c r="P883" s="808"/>
      <c r="Q883" s="808"/>
      <c r="R883" s="808"/>
      <c r="S883" s="808"/>
      <c r="T883" s="808"/>
      <c r="U883" s="808"/>
      <c r="V883" s="808"/>
    </row>
    <row r="884">
      <c r="B884" s="808"/>
      <c r="D884" s="808"/>
      <c r="E884" s="808"/>
      <c r="F884" s="808"/>
      <c r="G884" s="808"/>
      <c r="H884" s="808"/>
      <c r="I884" s="808"/>
      <c r="J884" s="808"/>
      <c r="K884" s="808"/>
      <c r="L884" s="808"/>
      <c r="M884" s="807"/>
      <c r="N884" s="808"/>
      <c r="O884" s="807"/>
      <c r="P884" s="808"/>
      <c r="Q884" s="808"/>
      <c r="R884" s="808"/>
      <c r="S884" s="808"/>
      <c r="T884" s="808"/>
      <c r="U884" s="808"/>
      <c r="V884" s="808"/>
    </row>
    <row r="885">
      <c r="B885" s="808"/>
      <c r="D885" s="808"/>
      <c r="E885" s="808"/>
      <c r="F885" s="808"/>
      <c r="G885" s="808"/>
      <c r="H885" s="808"/>
      <c r="I885" s="808"/>
      <c r="J885" s="808"/>
      <c r="K885" s="808"/>
      <c r="L885" s="808"/>
      <c r="M885" s="807"/>
      <c r="N885" s="808"/>
      <c r="O885" s="807"/>
      <c r="P885" s="808"/>
      <c r="Q885" s="808"/>
      <c r="R885" s="808"/>
      <c r="S885" s="808"/>
      <c r="T885" s="808"/>
      <c r="U885" s="808"/>
      <c r="V885" s="808"/>
    </row>
    <row r="886">
      <c r="B886" s="808"/>
      <c r="D886" s="808"/>
      <c r="E886" s="808"/>
      <c r="F886" s="808"/>
      <c r="G886" s="808"/>
      <c r="H886" s="808"/>
      <c r="I886" s="808"/>
      <c r="J886" s="808"/>
      <c r="K886" s="808"/>
      <c r="L886" s="808"/>
      <c r="M886" s="807"/>
      <c r="N886" s="808"/>
      <c r="O886" s="807"/>
      <c r="P886" s="808"/>
      <c r="Q886" s="808"/>
      <c r="R886" s="808"/>
      <c r="S886" s="808"/>
      <c r="T886" s="808"/>
      <c r="U886" s="808"/>
      <c r="V886" s="808"/>
    </row>
    <row r="887">
      <c r="B887" s="808"/>
      <c r="D887" s="808"/>
      <c r="E887" s="808"/>
      <c r="F887" s="808"/>
      <c r="G887" s="808"/>
      <c r="H887" s="808"/>
      <c r="I887" s="808"/>
      <c r="J887" s="808"/>
      <c r="K887" s="808"/>
      <c r="L887" s="808"/>
      <c r="M887" s="807"/>
      <c r="N887" s="808"/>
      <c r="O887" s="807"/>
      <c r="P887" s="808"/>
      <c r="Q887" s="808"/>
      <c r="R887" s="808"/>
      <c r="S887" s="808"/>
      <c r="T887" s="808"/>
      <c r="U887" s="808"/>
      <c r="V887" s="808"/>
    </row>
    <row r="888">
      <c r="B888" s="808"/>
      <c r="D888" s="808"/>
      <c r="E888" s="808"/>
      <c r="F888" s="808"/>
      <c r="G888" s="808"/>
      <c r="H888" s="808"/>
      <c r="I888" s="808"/>
      <c r="J888" s="808"/>
      <c r="K888" s="808"/>
      <c r="L888" s="808"/>
      <c r="M888" s="807"/>
      <c r="N888" s="808"/>
      <c r="O888" s="807"/>
      <c r="P888" s="808"/>
      <c r="Q888" s="808"/>
      <c r="R888" s="808"/>
      <c r="S888" s="808"/>
      <c r="T888" s="808"/>
      <c r="U888" s="808"/>
      <c r="V888" s="808"/>
    </row>
    <row r="889">
      <c r="B889" s="808"/>
      <c r="D889" s="808"/>
      <c r="E889" s="808"/>
      <c r="F889" s="808"/>
      <c r="G889" s="808"/>
      <c r="H889" s="808"/>
      <c r="I889" s="808"/>
      <c r="J889" s="808"/>
      <c r="K889" s="808"/>
      <c r="L889" s="808"/>
      <c r="M889" s="807"/>
      <c r="N889" s="808"/>
      <c r="O889" s="807"/>
      <c r="P889" s="808"/>
      <c r="Q889" s="808"/>
      <c r="R889" s="808"/>
      <c r="S889" s="808"/>
      <c r="T889" s="808"/>
      <c r="U889" s="808"/>
      <c r="V889" s="808"/>
    </row>
    <row r="890">
      <c r="B890" s="808"/>
      <c r="D890" s="808"/>
      <c r="E890" s="808"/>
      <c r="F890" s="808"/>
      <c r="G890" s="808"/>
      <c r="H890" s="808"/>
      <c r="I890" s="808"/>
      <c r="J890" s="808"/>
      <c r="K890" s="808"/>
      <c r="L890" s="808"/>
      <c r="M890" s="807"/>
      <c r="N890" s="808"/>
      <c r="O890" s="807"/>
      <c r="P890" s="808"/>
      <c r="Q890" s="808"/>
      <c r="R890" s="808"/>
      <c r="S890" s="808"/>
      <c r="T890" s="808"/>
      <c r="U890" s="808"/>
      <c r="V890" s="808"/>
    </row>
    <row r="891">
      <c r="B891" s="808"/>
      <c r="D891" s="808"/>
      <c r="E891" s="808"/>
      <c r="F891" s="808"/>
      <c r="G891" s="808"/>
      <c r="H891" s="808"/>
      <c r="I891" s="808"/>
      <c r="J891" s="808"/>
      <c r="K891" s="808"/>
      <c r="L891" s="808"/>
      <c r="M891" s="807"/>
      <c r="N891" s="808"/>
      <c r="O891" s="807"/>
      <c r="P891" s="808"/>
      <c r="Q891" s="808"/>
      <c r="R891" s="808"/>
      <c r="S891" s="808"/>
      <c r="T891" s="808"/>
      <c r="U891" s="808"/>
      <c r="V891" s="808"/>
    </row>
    <row r="892">
      <c r="B892" s="808"/>
      <c r="D892" s="808"/>
      <c r="E892" s="808"/>
      <c r="F892" s="808"/>
      <c r="G892" s="808"/>
      <c r="H892" s="808"/>
      <c r="I892" s="808"/>
      <c r="J892" s="808"/>
      <c r="K892" s="808"/>
      <c r="L892" s="808"/>
      <c r="M892" s="807"/>
      <c r="N892" s="808"/>
      <c r="O892" s="807"/>
      <c r="P892" s="808"/>
      <c r="Q892" s="808"/>
      <c r="R892" s="808"/>
      <c r="S892" s="808"/>
      <c r="T892" s="808"/>
      <c r="U892" s="808"/>
      <c r="V892" s="808"/>
    </row>
    <row r="893">
      <c r="B893" s="808"/>
      <c r="D893" s="808"/>
      <c r="E893" s="808"/>
      <c r="F893" s="808"/>
      <c r="G893" s="808"/>
      <c r="H893" s="808"/>
      <c r="I893" s="808"/>
      <c r="J893" s="808"/>
      <c r="K893" s="808"/>
      <c r="L893" s="808"/>
      <c r="M893" s="807"/>
      <c r="N893" s="808"/>
      <c r="O893" s="807"/>
      <c r="P893" s="808"/>
      <c r="Q893" s="808"/>
      <c r="R893" s="808"/>
      <c r="S893" s="808"/>
      <c r="T893" s="808"/>
      <c r="U893" s="808"/>
      <c r="V893" s="808"/>
    </row>
    <row r="894">
      <c r="B894" s="808"/>
      <c r="D894" s="808"/>
      <c r="E894" s="808"/>
      <c r="F894" s="808"/>
      <c r="G894" s="808"/>
      <c r="H894" s="808"/>
      <c r="I894" s="808"/>
      <c r="J894" s="808"/>
      <c r="K894" s="808"/>
      <c r="L894" s="808"/>
      <c r="M894" s="807"/>
      <c r="N894" s="808"/>
      <c r="O894" s="807"/>
      <c r="P894" s="808"/>
      <c r="Q894" s="808"/>
      <c r="R894" s="808"/>
      <c r="S894" s="808"/>
      <c r="T894" s="808"/>
      <c r="U894" s="808"/>
      <c r="V894" s="808"/>
    </row>
    <row r="895">
      <c r="B895" s="808"/>
      <c r="D895" s="808"/>
      <c r="E895" s="808"/>
      <c r="F895" s="808"/>
      <c r="G895" s="808"/>
      <c r="H895" s="808"/>
      <c r="I895" s="808"/>
      <c r="J895" s="808"/>
      <c r="K895" s="808"/>
      <c r="L895" s="808"/>
      <c r="M895" s="807"/>
      <c r="N895" s="808"/>
      <c r="O895" s="807"/>
      <c r="P895" s="808"/>
      <c r="Q895" s="808"/>
      <c r="R895" s="808"/>
      <c r="S895" s="808"/>
      <c r="T895" s="808"/>
      <c r="U895" s="808"/>
      <c r="V895" s="808"/>
    </row>
    <row r="896">
      <c r="B896" s="808"/>
      <c r="D896" s="808"/>
      <c r="E896" s="808"/>
      <c r="F896" s="808"/>
      <c r="G896" s="808"/>
      <c r="H896" s="808"/>
      <c r="I896" s="808"/>
      <c r="J896" s="808"/>
      <c r="K896" s="808"/>
      <c r="L896" s="808"/>
      <c r="M896" s="807"/>
      <c r="N896" s="808"/>
      <c r="O896" s="807"/>
      <c r="P896" s="808"/>
      <c r="Q896" s="808"/>
      <c r="R896" s="808"/>
      <c r="S896" s="808"/>
      <c r="T896" s="808"/>
      <c r="U896" s="808"/>
      <c r="V896" s="808"/>
    </row>
    <row r="897">
      <c r="B897" s="808"/>
      <c r="D897" s="808"/>
      <c r="E897" s="808"/>
      <c r="F897" s="808"/>
      <c r="G897" s="808"/>
      <c r="H897" s="808"/>
      <c r="I897" s="808"/>
      <c r="J897" s="808"/>
      <c r="K897" s="808"/>
      <c r="L897" s="808"/>
      <c r="M897" s="807"/>
      <c r="N897" s="808"/>
      <c r="O897" s="807"/>
      <c r="P897" s="808"/>
      <c r="Q897" s="808"/>
      <c r="R897" s="808"/>
      <c r="S897" s="808"/>
      <c r="T897" s="808"/>
      <c r="U897" s="808"/>
      <c r="V897" s="808"/>
    </row>
    <row r="898">
      <c r="B898" s="808"/>
      <c r="D898" s="808"/>
      <c r="E898" s="808"/>
      <c r="F898" s="808"/>
      <c r="G898" s="808"/>
      <c r="H898" s="808"/>
      <c r="I898" s="808"/>
      <c r="J898" s="808"/>
      <c r="K898" s="808"/>
      <c r="L898" s="808"/>
      <c r="M898" s="807"/>
      <c r="N898" s="808"/>
      <c r="O898" s="807"/>
      <c r="P898" s="808"/>
      <c r="Q898" s="808"/>
      <c r="R898" s="808"/>
      <c r="S898" s="808"/>
      <c r="T898" s="808"/>
      <c r="U898" s="808"/>
      <c r="V898" s="808"/>
    </row>
    <row r="899">
      <c r="B899" s="808"/>
      <c r="D899" s="808"/>
      <c r="E899" s="808"/>
      <c r="F899" s="808"/>
      <c r="G899" s="808"/>
      <c r="H899" s="808"/>
      <c r="I899" s="808"/>
      <c r="J899" s="808"/>
      <c r="K899" s="808"/>
      <c r="L899" s="808"/>
      <c r="M899" s="807"/>
      <c r="N899" s="808"/>
      <c r="O899" s="807"/>
      <c r="P899" s="808"/>
      <c r="Q899" s="808"/>
      <c r="R899" s="808"/>
      <c r="S899" s="808"/>
      <c r="T899" s="808"/>
      <c r="U899" s="808"/>
      <c r="V899" s="808"/>
    </row>
    <row r="900">
      <c r="B900" s="808"/>
      <c r="D900" s="808"/>
      <c r="E900" s="808"/>
      <c r="F900" s="808"/>
      <c r="G900" s="808"/>
      <c r="H900" s="808"/>
      <c r="I900" s="808"/>
      <c r="J900" s="808"/>
      <c r="K900" s="808"/>
      <c r="L900" s="808"/>
      <c r="M900" s="807"/>
      <c r="N900" s="808"/>
      <c r="O900" s="807"/>
      <c r="P900" s="808"/>
      <c r="Q900" s="808"/>
      <c r="R900" s="808"/>
      <c r="S900" s="808"/>
      <c r="T900" s="808"/>
      <c r="U900" s="808"/>
      <c r="V900" s="808"/>
    </row>
    <row r="901">
      <c r="B901" s="808"/>
      <c r="D901" s="808"/>
      <c r="E901" s="808"/>
      <c r="F901" s="808"/>
      <c r="G901" s="808"/>
      <c r="H901" s="808"/>
      <c r="I901" s="808"/>
      <c r="J901" s="808"/>
      <c r="K901" s="808"/>
      <c r="L901" s="808"/>
      <c r="M901" s="807"/>
      <c r="N901" s="808"/>
      <c r="O901" s="807"/>
      <c r="P901" s="808"/>
      <c r="Q901" s="808"/>
      <c r="R901" s="808"/>
      <c r="S901" s="808"/>
      <c r="T901" s="808"/>
      <c r="U901" s="808"/>
      <c r="V901" s="808"/>
    </row>
    <row r="902">
      <c r="B902" s="808"/>
      <c r="D902" s="808"/>
      <c r="E902" s="808"/>
      <c r="F902" s="808"/>
      <c r="G902" s="808"/>
      <c r="H902" s="808"/>
      <c r="I902" s="808"/>
      <c r="J902" s="808"/>
      <c r="K902" s="808"/>
      <c r="L902" s="808"/>
      <c r="M902" s="807"/>
      <c r="N902" s="808"/>
      <c r="O902" s="807"/>
      <c r="P902" s="808"/>
      <c r="Q902" s="808"/>
      <c r="R902" s="808"/>
      <c r="S902" s="808"/>
      <c r="T902" s="808"/>
      <c r="U902" s="808"/>
      <c r="V902" s="808"/>
    </row>
    <row r="903">
      <c r="B903" s="808"/>
      <c r="D903" s="808"/>
      <c r="E903" s="808"/>
      <c r="F903" s="808"/>
      <c r="G903" s="808"/>
      <c r="H903" s="808"/>
      <c r="I903" s="808"/>
      <c r="J903" s="808"/>
      <c r="K903" s="808"/>
      <c r="L903" s="808"/>
      <c r="M903" s="807"/>
      <c r="N903" s="808"/>
      <c r="O903" s="807"/>
      <c r="P903" s="808"/>
      <c r="Q903" s="808"/>
      <c r="R903" s="808"/>
      <c r="S903" s="808"/>
      <c r="T903" s="808"/>
      <c r="U903" s="808"/>
      <c r="V903" s="808"/>
    </row>
    <row r="904">
      <c r="B904" s="808"/>
      <c r="D904" s="808"/>
      <c r="E904" s="808"/>
      <c r="F904" s="808"/>
      <c r="G904" s="808"/>
      <c r="H904" s="808"/>
      <c r="I904" s="808"/>
      <c r="J904" s="808"/>
      <c r="K904" s="808"/>
      <c r="L904" s="808"/>
      <c r="M904" s="807"/>
      <c r="N904" s="808"/>
      <c r="O904" s="807"/>
      <c r="P904" s="808"/>
      <c r="Q904" s="808"/>
      <c r="R904" s="808"/>
      <c r="S904" s="808"/>
      <c r="T904" s="808"/>
      <c r="U904" s="808"/>
      <c r="V904" s="808"/>
    </row>
    <row r="905">
      <c r="B905" s="808"/>
      <c r="D905" s="808"/>
      <c r="E905" s="808"/>
      <c r="F905" s="808"/>
      <c r="G905" s="808"/>
      <c r="H905" s="808"/>
      <c r="I905" s="808"/>
      <c r="J905" s="808"/>
      <c r="K905" s="808"/>
      <c r="L905" s="808"/>
      <c r="M905" s="807"/>
      <c r="N905" s="808"/>
      <c r="O905" s="807"/>
      <c r="P905" s="808"/>
      <c r="Q905" s="808"/>
      <c r="R905" s="808"/>
      <c r="S905" s="808"/>
      <c r="T905" s="808"/>
      <c r="U905" s="808"/>
      <c r="V905" s="808"/>
    </row>
    <row r="906">
      <c r="B906" s="808"/>
      <c r="D906" s="808"/>
      <c r="E906" s="808"/>
      <c r="F906" s="808"/>
      <c r="G906" s="808"/>
      <c r="H906" s="808"/>
      <c r="I906" s="808"/>
      <c r="J906" s="808"/>
      <c r="K906" s="808"/>
      <c r="L906" s="808"/>
      <c r="M906" s="807"/>
      <c r="N906" s="808"/>
      <c r="O906" s="807"/>
      <c r="P906" s="808"/>
      <c r="Q906" s="808"/>
      <c r="R906" s="808"/>
      <c r="S906" s="808"/>
      <c r="T906" s="808"/>
      <c r="U906" s="808"/>
      <c r="V906" s="808"/>
    </row>
    <row r="907">
      <c r="B907" s="808"/>
      <c r="D907" s="808"/>
      <c r="E907" s="808"/>
      <c r="F907" s="808"/>
      <c r="G907" s="808"/>
      <c r="H907" s="808"/>
      <c r="I907" s="808"/>
      <c r="J907" s="808"/>
      <c r="K907" s="808"/>
      <c r="L907" s="808"/>
      <c r="M907" s="807"/>
      <c r="N907" s="808"/>
      <c r="O907" s="807"/>
      <c r="P907" s="808"/>
      <c r="Q907" s="808"/>
      <c r="R907" s="808"/>
      <c r="S907" s="808"/>
      <c r="T907" s="808"/>
      <c r="U907" s="808"/>
      <c r="V907" s="808"/>
    </row>
    <row r="908">
      <c r="B908" s="808"/>
      <c r="D908" s="808"/>
      <c r="E908" s="808"/>
      <c r="F908" s="808"/>
      <c r="G908" s="808"/>
      <c r="H908" s="808"/>
      <c r="I908" s="808"/>
      <c r="J908" s="808"/>
      <c r="K908" s="808"/>
      <c r="L908" s="808"/>
      <c r="M908" s="807"/>
      <c r="N908" s="808"/>
      <c r="O908" s="807"/>
      <c r="P908" s="808"/>
      <c r="Q908" s="808"/>
      <c r="R908" s="808"/>
      <c r="S908" s="808"/>
      <c r="T908" s="808"/>
      <c r="U908" s="808"/>
      <c r="V908" s="808"/>
    </row>
    <row r="909">
      <c r="B909" s="808"/>
      <c r="D909" s="808"/>
      <c r="E909" s="808"/>
      <c r="F909" s="808"/>
      <c r="G909" s="808"/>
      <c r="H909" s="808"/>
      <c r="I909" s="808"/>
      <c r="J909" s="808"/>
      <c r="K909" s="808"/>
      <c r="L909" s="808"/>
      <c r="M909" s="807"/>
      <c r="N909" s="808"/>
      <c r="O909" s="807"/>
      <c r="P909" s="808"/>
      <c r="Q909" s="808"/>
      <c r="R909" s="808"/>
      <c r="S909" s="808"/>
      <c r="T909" s="808"/>
      <c r="U909" s="808"/>
      <c r="V909" s="808"/>
    </row>
    <row r="910">
      <c r="B910" s="808"/>
      <c r="D910" s="808"/>
      <c r="E910" s="808"/>
      <c r="F910" s="808"/>
      <c r="G910" s="808"/>
      <c r="H910" s="808"/>
      <c r="I910" s="808"/>
      <c r="J910" s="808"/>
      <c r="K910" s="808"/>
      <c r="L910" s="808"/>
      <c r="M910" s="807"/>
      <c r="N910" s="808"/>
      <c r="O910" s="807"/>
      <c r="P910" s="808"/>
      <c r="Q910" s="808"/>
      <c r="R910" s="808"/>
      <c r="S910" s="808"/>
      <c r="T910" s="808"/>
      <c r="U910" s="808"/>
      <c r="V910" s="808"/>
    </row>
    <row r="911">
      <c r="B911" s="808"/>
      <c r="D911" s="808"/>
      <c r="E911" s="808"/>
      <c r="F911" s="808"/>
      <c r="G911" s="808"/>
      <c r="H911" s="808"/>
      <c r="I911" s="808"/>
      <c r="J911" s="808"/>
      <c r="K911" s="808"/>
      <c r="L911" s="808"/>
      <c r="M911" s="807"/>
      <c r="N911" s="808"/>
      <c r="O911" s="807"/>
      <c r="P911" s="808"/>
      <c r="Q911" s="808"/>
      <c r="R911" s="808"/>
      <c r="S911" s="808"/>
      <c r="T911" s="808"/>
      <c r="U911" s="808"/>
      <c r="V911" s="808"/>
    </row>
    <row r="912">
      <c r="B912" s="808"/>
      <c r="D912" s="808"/>
      <c r="E912" s="808"/>
      <c r="F912" s="808"/>
      <c r="G912" s="808"/>
      <c r="H912" s="808"/>
      <c r="I912" s="808"/>
      <c r="J912" s="808"/>
      <c r="K912" s="808"/>
      <c r="L912" s="808"/>
      <c r="M912" s="807"/>
      <c r="N912" s="808"/>
      <c r="O912" s="807"/>
      <c r="P912" s="808"/>
      <c r="Q912" s="808"/>
      <c r="R912" s="808"/>
      <c r="S912" s="808"/>
      <c r="T912" s="808"/>
      <c r="U912" s="808"/>
      <c r="V912" s="808"/>
    </row>
    <row r="913">
      <c r="B913" s="808"/>
      <c r="D913" s="808"/>
      <c r="E913" s="808"/>
      <c r="F913" s="808"/>
      <c r="G913" s="808"/>
      <c r="H913" s="808"/>
      <c r="I913" s="808"/>
      <c r="J913" s="808"/>
      <c r="K913" s="808"/>
      <c r="L913" s="808"/>
      <c r="M913" s="807"/>
      <c r="N913" s="808"/>
      <c r="O913" s="807"/>
      <c r="P913" s="808"/>
      <c r="Q913" s="808"/>
      <c r="R913" s="808"/>
      <c r="S913" s="808"/>
      <c r="T913" s="808"/>
      <c r="U913" s="808"/>
      <c r="V913" s="808"/>
    </row>
    <row r="914">
      <c r="B914" s="808"/>
      <c r="D914" s="808"/>
      <c r="E914" s="808"/>
      <c r="F914" s="808"/>
      <c r="G914" s="808"/>
      <c r="H914" s="808"/>
      <c r="I914" s="808"/>
      <c r="J914" s="808"/>
      <c r="K914" s="808"/>
      <c r="L914" s="808"/>
      <c r="M914" s="807"/>
      <c r="N914" s="808"/>
      <c r="O914" s="807"/>
      <c r="P914" s="808"/>
      <c r="Q914" s="808"/>
      <c r="R914" s="808"/>
      <c r="S914" s="808"/>
      <c r="T914" s="808"/>
      <c r="U914" s="808"/>
      <c r="V914" s="808"/>
    </row>
    <row r="915">
      <c r="B915" s="808"/>
      <c r="D915" s="808"/>
      <c r="E915" s="808"/>
      <c r="F915" s="808"/>
      <c r="G915" s="808"/>
      <c r="H915" s="808"/>
      <c r="I915" s="808"/>
      <c r="J915" s="808"/>
      <c r="K915" s="808"/>
      <c r="L915" s="808"/>
      <c r="M915" s="807"/>
      <c r="N915" s="808"/>
      <c r="O915" s="807"/>
      <c r="P915" s="808"/>
      <c r="Q915" s="808"/>
      <c r="R915" s="808"/>
      <c r="S915" s="808"/>
      <c r="T915" s="808"/>
      <c r="U915" s="808"/>
      <c r="V915" s="808"/>
    </row>
    <row r="916">
      <c r="B916" s="808"/>
      <c r="D916" s="808"/>
      <c r="E916" s="808"/>
      <c r="F916" s="808"/>
      <c r="G916" s="808"/>
      <c r="H916" s="808"/>
      <c r="I916" s="808"/>
      <c r="J916" s="808"/>
      <c r="K916" s="808"/>
      <c r="L916" s="808"/>
      <c r="M916" s="807"/>
      <c r="N916" s="808"/>
      <c r="O916" s="807"/>
      <c r="P916" s="808"/>
      <c r="Q916" s="808"/>
      <c r="R916" s="808"/>
      <c r="S916" s="808"/>
      <c r="T916" s="808"/>
      <c r="U916" s="808"/>
      <c r="V916" s="808"/>
    </row>
    <row r="917">
      <c r="B917" s="808"/>
      <c r="D917" s="808"/>
      <c r="E917" s="808"/>
      <c r="F917" s="808"/>
      <c r="G917" s="808"/>
      <c r="H917" s="808"/>
      <c r="I917" s="808"/>
      <c r="J917" s="808"/>
      <c r="K917" s="808"/>
      <c r="L917" s="808"/>
      <c r="M917" s="807"/>
      <c r="N917" s="808"/>
      <c r="O917" s="807"/>
      <c r="P917" s="808"/>
      <c r="Q917" s="808"/>
      <c r="R917" s="808"/>
      <c r="S917" s="808"/>
      <c r="T917" s="808"/>
      <c r="U917" s="808"/>
      <c r="V917" s="808"/>
    </row>
    <row r="918">
      <c r="B918" s="808"/>
      <c r="D918" s="808"/>
      <c r="E918" s="808"/>
      <c r="F918" s="808"/>
      <c r="G918" s="808"/>
      <c r="H918" s="808"/>
      <c r="I918" s="808"/>
      <c r="J918" s="808"/>
      <c r="K918" s="808"/>
      <c r="L918" s="808"/>
      <c r="M918" s="807"/>
      <c r="N918" s="808"/>
      <c r="O918" s="807"/>
      <c r="P918" s="808"/>
      <c r="Q918" s="808"/>
      <c r="R918" s="808"/>
      <c r="S918" s="808"/>
      <c r="T918" s="808"/>
      <c r="U918" s="808"/>
      <c r="V918" s="808"/>
    </row>
    <row r="919">
      <c r="B919" s="808"/>
      <c r="D919" s="808"/>
      <c r="E919" s="808"/>
      <c r="F919" s="808"/>
      <c r="G919" s="808"/>
      <c r="H919" s="808"/>
      <c r="I919" s="808"/>
      <c r="J919" s="808"/>
      <c r="K919" s="808"/>
      <c r="L919" s="808"/>
      <c r="M919" s="807"/>
      <c r="N919" s="808"/>
      <c r="O919" s="807"/>
      <c r="P919" s="808"/>
      <c r="Q919" s="808"/>
      <c r="R919" s="808"/>
      <c r="S919" s="808"/>
      <c r="T919" s="808"/>
      <c r="U919" s="808"/>
      <c r="V919" s="808"/>
    </row>
    <row r="920">
      <c r="B920" s="808"/>
      <c r="D920" s="808"/>
      <c r="E920" s="808"/>
      <c r="F920" s="808"/>
      <c r="G920" s="808"/>
      <c r="H920" s="808"/>
      <c r="I920" s="808"/>
      <c r="J920" s="808"/>
      <c r="K920" s="808"/>
      <c r="L920" s="808"/>
      <c r="M920" s="807"/>
      <c r="N920" s="808"/>
      <c r="O920" s="807"/>
      <c r="P920" s="808"/>
      <c r="Q920" s="808"/>
      <c r="R920" s="808"/>
      <c r="S920" s="808"/>
      <c r="T920" s="808"/>
      <c r="U920" s="808"/>
      <c r="V920" s="808"/>
    </row>
    <row r="921">
      <c r="B921" s="808"/>
      <c r="D921" s="808"/>
      <c r="E921" s="808"/>
      <c r="F921" s="808"/>
      <c r="G921" s="808"/>
      <c r="H921" s="808"/>
      <c r="I921" s="808"/>
      <c r="J921" s="808"/>
      <c r="K921" s="808"/>
      <c r="L921" s="808"/>
      <c r="M921" s="807"/>
      <c r="N921" s="808"/>
      <c r="O921" s="807"/>
      <c r="P921" s="808"/>
      <c r="Q921" s="808"/>
      <c r="R921" s="808"/>
      <c r="S921" s="808"/>
      <c r="T921" s="808"/>
      <c r="U921" s="808"/>
      <c r="V921" s="808"/>
    </row>
    <row r="922">
      <c r="B922" s="808"/>
      <c r="D922" s="808"/>
      <c r="E922" s="808"/>
      <c r="F922" s="808"/>
      <c r="G922" s="808"/>
      <c r="H922" s="808"/>
      <c r="I922" s="808"/>
      <c r="J922" s="808"/>
      <c r="K922" s="808"/>
      <c r="L922" s="808"/>
      <c r="M922" s="807"/>
      <c r="N922" s="808"/>
      <c r="O922" s="807"/>
      <c r="P922" s="808"/>
      <c r="Q922" s="808"/>
      <c r="R922" s="808"/>
      <c r="S922" s="808"/>
      <c r="T922" s="808"/>
      <c r="U922" s="808"/>
      <c r="V922" s="808"/>
    </row>
    <row r="923">
      <c r="B923" s="808"/>
      <c r="D923" s="808"/>
      <c r="E923" s="808"/>
      <c r="F923" s="808"/>
      <c r="G923" s="808"/>
      <c r="H923" s="808"/>
      <c r="I923" s="808"/>
      <c r="J923" s="808"/>
      <c r="K923" s="808"/>
      <c r="L923" s="808"/>
      <c r="M923" s="807"/>
      <c r="N923" s="808"/>
      <c r="O923" s="807"/>
      <c r="P923" s="808"/>
      <c r="Q923" s="808"/>
      <c r="R923" s="808"/>
      <c r="S923" s="808"/>
      <c r="T923" s="808"/>
      <c r="U923" s="808"/>
      <c r="V923" s="808"/>
    </row>
    <row r="924">
      <c r="B924" s="808"/>
      <c r="D924" s="808"/>
      <c r="E924" s="808"/>
      <c r="F924" s="808"/>
      <c r="G924" s="808"/>
      <c r="H924" s="808"/>
      <c r="I924" s="808"/>
      <c r="J924" s="808"/>
      <c r="K924" s="808"/>
      <c r="L924" s="808"/>
      <c r="M924" s="807"/>
      <c r="N924" s="808"/>
      <c r="O924" s="807"/>
      <c r="P924" s="808"/>
      <c r="Q924" s="808"/>
      <c r="R924" s="808"/>
      <c r="S924" s="808"/>
      <c r="T924" s="808"/>
      <c r="U924" s="808"/>
      <c r="V924" s="808"/>
    </row>
    <row r="925">
      <c r="B925" s="808"/>
      <c r="D925" s="808"/>
      <c r="E925" s="808"/>
      <c r="F925" s="808"/>
      <c r="G925" s="808"/>
      <c r="H925" s="808"/>
      <c r="I925" s="808"/>
      <c r="J925" s="808"/>
      <c r="K925" s="808"/>
      <c r="L925" s="808"/>
      <c r="M925" s="807"/>
      <c r="N925" s="808"/>
      <c r="O925" s="807"/>
      <c r="P925" s="808"/>
      <c r="Q925" s="808"/>
      <c r="R925" s="808"/>
      <c r="S925" s="808"/>
      <c r="T925" s="808"/>
      <c r="U925" s="808"/>
      <c r="V925" s="808"/>
    </row>
    <row r="926">
      <c r="B926" s="808"/>
      <c r="D926" s="808"/>
      <c r="E926" s="808"/>
      <c r="F926" s="808"/>
      <c r="G926" s="808"/>
      <c r="H926" s="808"/>
      <c r="I926" s="808"/>
      <c r="J926" s="808"/>
      <c r="K926" s="808"/>
      <c r="L926" s="808"/>
      <c r="M926" s="807"/>
      <c r="N926" s="808"/>
      <c r="O926" s="807"/>
      <c r="P926" s="808"/>
      <c r="Q926" s="808"/>
      <c r="R926" s="808"/>
      <c r="S926" s="808"/>
      <c r="T926" s="808"/>
      <c r="U926" s="808"/>
      <c r="V926" s="808"/>
    </row>
    <row r="927">
      <c r="B927" s="808"/>
      <c r="D927" s="808"/>
      <c r="E927" s="808"/>
      <c r="F927" s="808"/>
      <c r="G927" s="808"/>
      <c r="H927" s="808"/>
      <c r="I927" s="808"/>
      <c r="J927" s="808"/>
      <c r="K927" s="808"/>
      <c r="L927" s="808"/>
      <c r="M927" s="807"/>
      <c r="N927" s="808"/>
      <c r="O927" s="807"/>
      <c r="P927" s="808"/>
      <c r="Q927" s="808"/>
      <c r="R927" s="808"/>
      <c r="S927" s="808"/>
      <c r="T927" s="808"/>
      <c r="U927" s="808"/>
      <c r="V927" s="808"/>
    </row>
    <row r="928">
      <c r="B928" s="808"/>
      <c r="D928" s="808"/>
      <c r="E928" s="808"/>
      <c r="F928" s="808"/>
      <c r="G928" s="808"/>
      <c r="H928" s="808"/>
      <c r="I928" s="808"/>
      <c r="J928" s="808"/>
      <c r="K928" s="808"/>
      <c r="L928" s="808"/>
      <c r="M928" s="807"/>
      <c r="N928" s="808"/>
      <c r="O928" s="807"/>
      <c r="P928" s="808"/>
      <c r="Q928" s="808"/>
      <c r="R928" s="808"/>
      <c r="S928" s="808"/>
      <c r="T928" s="808"/>
      <c r="U928" s="808"/>
      <c r="V928" s="808"/>
    </row>
    <row r="929">
      <c r="B929" s="808"/>
      <c r="D929" s="808"/>
      <c r="E929" s="808"/>
      <c r="F929" s="808"/>
      <c r="G929" s="808"/>
      <c r="H929" s="808"/>
      <c r="I929" s="808"/>
      <c r="J929" s="808"/>
      <c r="K929" s="808"/>
      <c r="L929" s="808"/>
      <c r="M929" s="807"/>
      <c r="N929" s="808"/>
      <c r="O929" s="807"/>
      <c r="P929" s="808"/>
      <c r="Q929" s="808"/>
      <c r="R929" s="808"/>
      <c r="S929" s="808"/>
      <c r="T929" s="808"/>
      <c r="U929" s="808"/>
      <c r="V929" s="808"/>
    </row>
    <row r="930">
      <c r="B930" s="808"/>
      <c r="D930" s="808"/>
      <c r="E930" s="808"/>
      <c r="F930" s="808"/>
      <c r="G930" s="808"/>
      <c r="H930" s="808"/>
      <c r="I930" s="808"/>
      <c r="J930" s="808"/>
      <c r="K930" s="808"/>
      <c r="L930" s="808"/>
      <c r="M930" s="807"/>
      <c r="N930" s="808"/>
      <c r="O930" s="807"/>
      <c r="P930" s="808"/>
      <c r="Q930" s="808"/>
      <c r="R930" s="808"/>
      <c r="S930" s="808"/>
      <c r="T930" s="808"/>
      <c r="U930" s="808"/>
      <c r="V930" s="808"/>
    </row>
    <row r="931">
      <c r="B931" s="808"/>
      <c r="D931" s="808"/>
      <c r="E931" s="808"/>
      <c r="F931" s="808"/>
      <c r="G931" s="808"/>
      <c r="H931" s="808"/>
      <c r="I931" s="808"/>
      <c r="J931" s="808"/>
      <c r="K931" s="808"/>
      <c r="L931" s="808"/>
      <c r="M931" s="807"/>
      <c r="N931" s="808"/>
      <c r="O931" s="807"/>
      <c r="P931" s="808"/>
      <c r="Q931" s="808"/>
      <c r="R931" s="808"/>
      <c r="S931" s="808"/>
      <c r="T931" s="808"/>
      <c r="U931" s="808"/>
      <c r="V931" s="808"/>
    </row>
    <row r="932">
      <c r="B932" s="808"/>
      <c r="D932" s="808"/>
      <c r="E932" s="808"/>
      <c r="F932" s="808"/>
      <c r="G932" s="808"/>
      <c r="H932" s="808"/>
      <c r="I932" s="808"/>
      <c r="J932" s="808"/>
      <c r="K932" s="808"/>
      <c r="L932" s="808"/>
      <c r="M932" s="807"/>
      <c r="N932" s="808"/>
      <c r="O932" s="807"/>
      <c r="P932" s="808"/>
      <c r="Q932" s="808"/>
      <c r="R932" s="808"/>
      <c r="S932" s="808"/>
      <c r="T932" s="808"/>
      <c r="U932" s="808"/>
      <c r="V932" s="808"/>
    </row>
    <row r="933">
      <c r="B933" s="808"/>
      <c r="D933" s="808"/>
      <c r="E933" s="808"/>
      <c r="F933" s="808"/>
      <c r="G933" s="808"/>
      <c r="H933" s="808"/>
      <c r="I933" s="808"/>
      <c r="J933" s="808"/>
      <c r="K933" s="808"/>
      <c r="L933" s="808"/>
      <c r="M933" s="807"/>
      <c r="N933" s="808"/>
      <c r="O933" s="807"/>
      <c r="P933" s="808"/>
      <c r="Q933" s="808"/>
      <c r="R933" s="808"/>
      <c r="S933" s="808"/>
      <c r="T933" s="808"/>
      <c r="U933" s="808"/>
      <c r="V933" s="808"/>
    </row>
    <row r="934">
      <c r="B934" s="808"/>
      <c r="D934" s="808"/>
      <c r="E934" s="808"/>
      <c r="F934" s="808"/>
      <c r="G934" s="808"/>
      <c r="H934" s="808"/>
      <c r="I934" s="808"/>
      <c r="J934" s="808"/>
      <c r="K934" s="808"/>
      <c r="L934" s="808"/>
      <c r="M934" s="807"/>
      <c r="N934" s="808"/>
      <c r="O934" s="807"/>
      <c r="P934" s="808"/>
      <c r="Q934" s="808"/>
      <c r="R934" s="808"/>
      <c r="S934" s="808"/>
      <c r="T934" s="808"/>
      <c r="U934" s="808"/>
      <c r="V934" s="808"/>
    </row>
    <row r="935">
      <c r="B935" s="808"/>
      <c r="D935" s="808"/>
      <c r="E935" s="808"/>
      <c r="F935" s="808"/>
      <c r="G935" s="808"/>
      <c r="H935" s="808"/>
      <c r="I935" s="808"/>
      <c r="J935" s="808"/>
      <c r="K935" s="808"/>
      <c r="L935" s="808"/>
      <c r="M935" s="807"/>
      <c r="N935" s="808"/>
      <c r="O935" s="807"/>
      <c r="P935" s="808"/>
      <c r="Q935" s="808"/>
      <c r="R935" s="808"/>
      <c r="S935" s="808"/>
      <c r="T935" s="808"/>
      <c r="U935" s="808"/>
      <c r="V935" s="808"/>
    </row>
    <row r="936">
      <c r="B936" s="808"/>
      <c r="D936" s="808"/>
      <c r="E936" s="808"/>
      <c r="F936" s="808"/>
      <c r="G936" s="808"/>
      <c r="H936" s="808"/>
      <c r="I936" s="808"/>
      <c r="J936" s="808"/>
      <c r="K936" s="808"/>
      <c r="L936" s="808"/>
      <c r="M936" s="807"/>
      <c r="N936" s="808"/>
      <c r="O936" s="807"/>
      <c r="P936" s="808"/>
      <c r="Q936" s="808"/>
      <c r="R936" s="808"/>
      <c r="S936" s="808"/>
      <c r="T936" s="808"/>
      <c r="U936" s="808"/>
      <c r="V936" s="808"/>
    </row>
    <row r="937">
      <c r="B937" s="808"/>
      <c r="D937" s="808"/>
      <c r="E937" s="808"/>
      <c r="F937" s="808"/>
      <c r="G937" s="808"/>
      <c r="H937" s="808"/>
      <c r="I937" s="808"/>
      <c r="J937" s="808"/>
      <c r="K937" s="808"/>
      <c r="L937" s="808"/>
      <c r="M937" s="807"/>
      <c r="N937" s="808"/>
      <c r="O937" s="807"/>
      <c r="P937" s="808"/>
      <c r="Q937" s="808"/>
      <c r="R937" s="808"/>
      <c r="S937" s="808"/>
      <c r="T937" s="808"/>
      <c r="U937" s="808"/>
      <c r="V937" s="808"/>
    </row>
    <row r="938">
      <c r="B938" s="808"/>
      <c r="D938" s="808"/>
      <c r="E938" s="808"/>
      <c r="F938" s="808"/>
      <c r="G938" s="808"/>
      <c r="H938" s="808"/>
      <c r="I938" s="808"/>
      <c r="J938" s="808"/>
      <c r="K938" s="808"/>
      <c r="L938" s="808"/>
      <c r="M938" s="807"/>
      <c r="N938" s="808"/>
      <c r="O938" s="807"/>
      <c r="P938" s="808"/>
      <c r="Q938" s="808"/>
      <c r="R938" s="808"/>
      <c r="S938" s="808"/>
      <c r="T938" s="808"/>
      <c r="U938" s="808"/>
      <c r="V938" s="808"/>
    </row>
    <row r="939">
      <c r="B939" s="808"/>
      <c r="D939" s="808"/>
      <c r="E939" s="808"/>
      <c r="F939" s="808"/>
      <c r="G939" s="808"/>
      <c r="H939" s="808"/>
      <c r="I939" s="808"/>
      <c r="J939" s="808"/>
      <c r="K939" s="808"/>
      <c r="L939" s="808"/>
      <c r="M939" s="807"/>
      <c r="N939" s="808"/>
      <c r="O939" s="807"/>
      <c r="P939" s="808"/>
      <c r="Q939" s="808"/>
      <c r="R939" s="808"/>
      <c r="S939" s="808"/>
      <c r="T939" s="808"/>
      <c r="U939" s="808"/>
      <c r="V939" s="808"/>
    </row>
    <row r="940">
      <c r="B940" s="808"/>
      <c r="D940" s="808"/>
      <c r="E940" s="808"/>
      <c r="F940" s="808"/>
      <c r="G940" s="808"/>
      <c r="H940" s="808"/>
      <c r="I940" s="808"/>
      <c r="J940" s="808"/>
      <c r="K940" s="808"/>
      <c r="L940" s="808"/>
      <c r="M940" s="807"/>
      <c r="N940" s="808"/>
      <c r="O940" s="807"/>
      <c r="P940" s="808"/>
      <c r="Q940" s="808"/>
      <c r="R940" s="808"/>
      <c r="S940" s="808"/>
      <c r="T940" s="808"/>
      <c r="U940" s="808"/>
      <c r="V940" s="808"/>
    </row>
    <row r="941">
      <c r="B941" s="808"/>
      <c r="D941" s="808"/>
      <c r="E941" s="808"/>
      <c r="F941" s="808"/>
      <c r="G941" s="808"/>
      <c r="H941" s="808"/>
      <c r="I941" s="808"/>
      <c r="J941" s="808"/>
      <c r="K941" s="808"/>
      <c r="L941" s="808"/>
      <c r="M941" s="807"/>
      <c r="N941" s="808"/>
      <c r="O941" s="807"/>
      <c r="P941" s="808"/>
      <c r="Q941" s="808"/>
      <c r="R941" s="808"/>
      <c r="S941" s="808"/>
      <c r="T941" s="808"/>
      <c r="U941" s="808"/>
      <c r="V941" s="808"/>
    </row>
    <row r="942">
      <c r="B942" s="808"/>
      <c r="D942" s="808"/>
      <c r="E942" s="808"/>
      <c r="F942" s="808"/>
      <c r="G942" s="808"/>
      <c r="H942" s="808"/>
      <c r="I942" s="808"/>
      <c r="J942" s="808"/>
      <c r="K942" s="808"/>
      <c r="L942" s="808"/>
      <c r="M942" s="807"/>
      <c r="N942" s="808"/>
      <c r="O942" s="807"/>
      <c r="P942" s="808"/>
      <c r="Q942" s="808"/>
      <c r="R942" s="808"/>
      <c r="S942" s="808"/>
      <c r="T942" s="808"/>
      <c r="U942" s="808"/>
      <c r="V942" s="808"/>
    </row>
    <row r="943">
      <c r="B943" s="808"/>
      <c r="D943" s="808"/>
      <c r="E943" s="808"/>
      <c r="F943" s="808"/>
      <c r="G943" s="808"/>
      <c r="H943" s="808"/>
      <c r="I943" s="808"/>
      <c r="J943" s="808"/>
      <c r="K943" s="808"/>
      <c r="L943" s="808"/>
      <c r="M943" s="807"/>
      <c r="N943" s="808"/>
      <c r="O943" s="807"/>
      <c r="P943" s="808"/>
      <c r="Q943" s="808"/>
      <c r="R943" s="808"/>
      <c r="S943" s="808"/>
      <c r="T943" s="808"/>
      <c r="U943" s="808"/>
      <c r="V943" s="808"/>
    </row>
    <row r="944">
      <c r="B944" s="808"/>
      <c r="D944" s="808"/>
      <c r="E944" s="808"/>
      <c r="F944" s="808"/>
      <c r="G944" s="808"/>
      <c r="H944" s="808"/>
      <c r="I944" s="808"/>
      <c r="J944" s="808"/>
      <c r="K944" s="808"/>
      <c r="L944" s="808"/>
      <c r="M944" s="807"/>
      <c r="N944" s="808"/>
      <c r="O944" s="807"/>
      <c r="P944" s="808"/>
      <c r="Q944" s="808"/>
      <c r="R944" s="808"/>
      <c r="S944" s="808"/>
      <c r="T944" s="808"/>
      <c r="U944" s="808"/>
      <c r="V944" s="808"/>
    </row>
    <row r="945">
      <c r="B945" s="808"/>
      <c r="D945" s="808"/>
      <c r="E945" s="808"/>
      <c r="F945" s="808"/>
      <c r="G945" s="808"/>
      <c r="H945" s="808"/>
      <c r="I945" s="808"/>
      <c r="J945" s="808"/>
      <c r="K945" s="808"/>
      <c r="L945" s="808"/>
      <c r="M945" s="807"/>
      <c r="N945" s="808"/>
      <c r="O945" s="807"/>
      <c r="P945" s="808"/>
      <c r="Q945" s="808"/>
      <c r="R945" s="808"/>
      <c r="S945" s="808"/>
      <c r="T945" s="808"/>
      <c r="U945" s="808"/>
      <c r="V945" s="808"/>
    </row>
    <row r="946">
      <c r="B946" s="808"/>
      <c r="D946" s="808"/>
      <c r="E946" s="808"/>
      <c r="F946" s="808"/>
      <c r="G946" s="808"/>
      <c r="H946" s="808"/>
      <c r="I946" s="808"/>
      <c r="J946" s="808"/>
      <c r="K946" s="808"/>
      <c r="L946" s="808"/>
      <c r="M946" s="807"/>
      <c r="N946" s="808"/>
      <c r="O946" s="807"/>
      <c r="P946" s="808"/>
      <c r="Q946" s="808"/>
      <c r="R946" s="808"/>
      <c r="S946" s="808"/>
      <c r="T946" s="808"/>
      <c r="U946" s="808"/>
      <c r="V946" s="808"/>
    </row>
    <row r="947">
      <c r="B947" s="808"/>
      <c r="D947" s="808"/>
      <c r="E947" s="808"/>
      <c r="F947" s="808"/>
      <c r="G947" s="808"/>
      <c r="H947" s="808"/>
      <c r="I947" s="808"/>
      <c r="J947" s="808"/>
      <c r="K947" s="808"/>
      <c r="L947" s="808"/>
      <c r="M947" s="807"/>
      <c r="N947" s="808"/>
      <c r="O947" s="807"/>
      <c r="P947" s="808"/>
      <c r="Q947" s="808"/>
      <c r="R947" s="808"/>
      <c r="S947" s="808"/>
      <c r="T947" s="808"/>
      <c r="U947" s="808"/>
      <c r="V947" s="808"/>
    </row>
    <row r="948">
      <c r="B948" s="808"/>
      <c r="D948" s="808"/>
      <c r="E948" s="808"/>
      <c r="F948" s="808"/>
      <c r="G948" s="808"/>
      <c r="H948" s="808"/>
      <c r="I948" s="808"/>
      <c r="J948" s="808"/>
      <c r="K948" s="808"/>
      <c r="L948" s="808"/>
      <c r="M948" s="807"/>
      <c r="N948" s="808"/>
      <c r="O948" s="807"/>
      <c r="P948" s="808"/>
      <c r="Q948" s="808"/>
      <c r="R948" s="808"/>
      <c r="S948" s="808"/>
      <c r="T948" s="808"/>
      <c r="U948" s="808"/>
      <c r="V948" s="808"/>
    </row>
    <row r="949">
      <c r="B949" s="808"/>
      <c r="D949" s="808"/>
      <c r="E949" s="808"/>
      <c r="F949" s="808"/>
      <c r="G949" s="808"/>
      <c r="H949" s="808"/>
      <c r="I949" s="808"/>
      <c r="J949" s="808"/>
      <c r="K949" s="808"/>
      <c r="L949" s="808"/>
      <c r="M949" s="807"/>
      <c r="N949" s="808"/>
      <c r="O949" s="807"/>
      <c r="P949" s="808"/>
      <c r="Q949" s="808"/>
      <c r="R949" s="808"/>
      <c r="S949" s="808"/>
      <c r="T949" s="808"/>
      <c r="U949" s="808"/>
      <c r="V949" s="808"/>
    </row>
    <row r="950">
      <c r="B950" s="808"/>
      <c r="D950" s="808"/>
      <c r="E950" s="808"/>
      <c r="F950" s="808"/>
      <c r="G950" s="808"/>
      <c r="H950" s="808"/>
      <c r="I950" s="808"/>
      <c r="J950" s="808"/>
      <c r="K950" s="808"/>
      <c r="L950" s="808"/>
      <c r="M950" s="807"/>
      <c r="N950" s="808"/>
      <c r="O950" s="807"/>
      <c r="P950" s="808"/>
      <c r="Q950" s="808"/>
      <c r="R950" s="808"/>
      <c r="S950" s="808"/>
      <c r="T950" s="808"/>
      <c r="U950" s="808"/>
      <c r="V950" s="808"/>
    </row>
    <row r="951">
      <c r="B951" s="808"/>
      <c r="D951" s="808"/>
      <c r="E951" s="808"/>
      <c r="F951" s="808"/>
      <c r="G951" s="808"/>
      <c r="H951" s="808"/>
      <c r="I951" s="808"/>
      <c r="J951" s="808"/>
      <c r="K951" s="808"/>
      <c r="L951" s="808"/>
      <c r="M951" s="807"/>
      <c r="N951" s="808"/>
      <c r="O951" s="807"/>
      <c r="P951" s="808"/>
      <c r="Q951" s="808"/>
      <c r="R951" s="808"/>
      <c r="S951" s="808"/>
      <c r="T951" s="808"/>
      <c r="U951" s="808"/>
      <c r="V951" s="808"/>
    </row>
    <row r="952">
      <c r="B952" s="808"/>
      <c r="D952" s="808"/>
      <c r="E952" s="808"/>
      <c r="F952" s="808"/>
      <c r="G952" s="808"/>
      <c r="H952" s="808"/>
      <c r="I952" s="808"/>
      <c r="J952" s="808"/>
      <c r="K952" s="808"/>
      <c r="L952" s="808"/>
      <c r="M952" s="807"/>
      <c r="N952" s="808"/>
      <c r="O952" s="807"/>
      <c r="P952" s="808"/>
      <c r="Q952" s="808"/>
      <c r="R952" s="808"/>
      <c r="S952" s="808"/>
      <c r="T952" s="808"/>
      <c r="U952" s="808"/>
      <c r="V952" s="808"/>
    </row>
    <row r="953">
      <c r="B953" s="808"/>
      <c r="D953" s="808"/>
      <c r="E953" s="808"/>
      <c r="F953" s="808"/>
      <c r="G953" s="808"/>
      <c r="H953" s="808"/>
      <c r="I953" s="808"/>
      <c r="J953" s="808"/>
      <c r="K953" s="808"/>
      <c r="L953" s="808"/>
      <c r="M953" s="807"/>
      <c r="N953" s="808"/>
      <c r="O953" s="807"/>
      <c r="P953" s="808"/>
      <c r="Q953" s="808"/>
      <c r="R953" s="808"/>
      <c r="S953" s="808"/>
      <c r="T953" s="808"/>
      <c r="U953" s="808"/>
      <c r="V953" s="808"/>
    </row>
    <row r="954">
      <c r="B954" s="808"/>
      <c r="D954" s="808"/>
      <c r="E954" s="808"/>
      <c r="F954" s="808"/>
      <c r="G954" s="808"/>
      <c r="H954" s="808"/>
      <c r="I954" s="808"/>
      <c r="J954" s="808"/>
      <c r="K954" s="808"/>
      <c r="L954" s="808"/>
      <c r="M954" s="807"/>
      <c r="N954" s="808"/>
      <c r="O954" s="807"/>
      <c r="P954" s="808"/>
      <c r="Q954" s="808"/>
      <c r="R954" s="808"/>
      <c r="S954" s="808"/>
      <c r="T954" s="808"/>
      <c r="U954" s="808"/>
      <c r="V954" s="808"/>
    </row>
    <row r="955">
      <c r="B955" s="808"/>
      <c r="D955" s="808"/>
      <c r="E955" s="808"/>
      <c r="F955" s="808"/>
      <c r="G955" s="808"/>
      <c r="H955" s="808"/>
      <c r="I955" s="808"/>
      <c r="J955" s="808"/>
      <c r="K955" s="808"/>
      <c r="L955" s="808"/>
      <c r="M955" s="807"/>
      <c r="N955" s="808"/>
      <c r="O955" s="807"/>
      <c r="P955" s="808"/>
      <c r="Q955" s="808"/>
      <c r="R955" s="808"/>
      <c r="S955" s="808"/>
      <c r="T955" s="808"/>
      <c r="U955" s="808"/>
      <c r="V955" s="808"/>
    </row>
    <row r="956">
      <c r="B956" s="808"/>
      <c r="D956" s="808"/>
      <c r="E956" s="808"/>
      <c r="F956" s="808"/>
      <c r="G956" s="808"/>
      <c r="H956" s="808"/>
      <c r="I956" s="808"/>
      <c r="J956" s="808"/>
      <c r="K956" s="808"/>
      <c r="L956" s="808"/>
      <c r="M956" s="807"/>
      <c r="N956" s="808"/>
      <c r="O956" s="807"/>
      <c r="P956" s="808"/>
      <c r="Q956" s="808"/>
      <c r="R956" s="808"/>
      <c r="S956" s="808"/>
      <c r="T956" s="808"/>
      <c r="U956" s="808"/>
      <c r="V956" s="808"/>
    </row>
    <row r="957">
      <c r="B957" s="808"/>
      <c r="D957" s="808"/>
      <c r="E957" s="808"/>
      <c r="F957" s="808"/>
      <c r="G957" s="808"/>
      <c r="H957" s="808"/>
      <c r="I957" s="808"/>
      <c r="J957" s="808"/>
      <c r="K957" s="808"/>
      <c r="L957" s="808"/>
      <c r="M957" s="807"/>
      <c r="N957" s="808"/>
      <c r="O957" s="807"/>
      <c r="P957" s="808"/>
      <c r="Q957" s="808"/>
      <c r="R957" s="808"/>
      <c r="S957" s="808"/>
      <c r="T957" s="808"/>
      <c r="U957" s="808"/>
      <c r="V957" s="808"/>
    </row>
    <row r="958">
      <c r="B958" s="808"/>
      <c r="D958" s="808"/>
      <c r="E958" s="808"/>
      <c r="F958" s="808"/>
      <c r="G958" s="808"/>
      <c r="H958" s="808"/>
      <c r="I958" s="808"/>
      <c r="J958" s="808"/>
      <c r="K958" s="808"/>
      <c r="L958" s="808"/>
      <c r="M958" s="807"/>
      <c r="N958" s="808"/>
      <c r="O958" s="807"/>
      <c r="P958" s="808"/>
      <c r="Q958" s="808"/>
      <c r="R958" s="808"/>
      <c r="S958" s="808"/>
      <c r="T958" s="808"/>
      <c r="U958" s="808"/>
      <c r="V958" s="808"/>
    </row>
    <row r="959">
      <c r="B959" s="808"/>
      <c r="D959" s="808"/>
      <c r="E959" s="808"/>
      <c r="F959" s="808"/>
      <c r="G959" s="808"/>
      <c r="H959" s="808"/>
      <c r="I959" s="808"/>
      <c r="J959" s="808"/>
      <c r="K959" s="808"/>
      <c r="L959" s="808"/>
      <c r="M959" s="807"/>
      <c r="N959" s="808"/>
      <c r="O959" s="807"/>
      <c r="P959" s="808"/>
      <c r="Q959" s="808"/>
      <c r="R959" s="808"/>
      <c r="S959" s="808"/>
      <c r="T959" s="808"/>
      <c r="U959" s="808"/>
      <c r="V959" s="808"/>
    </row>
    <row r="960">
      <c r="B960" s="808"/>
      <c r="D960" s="808"/>
      <c r="E960" s="808"/>
      <c r="F960" s="808"/>
      <c r="G960" s="808"/>
      <c r="H960" s="808"/>
      <c r="I960" s="808"/>
      <c r="J960" s="808"/>
      <c r="K960" s="808"/>
      <c r="L960" s="808"/>
      <c r="M960" s="807"/>
      <c r="N960" s="808"/>
      <c r="O960" s="807"/>
      <c r="P960" s="808"/>
      <c r="Q960" s="808"/>
      <c r="R960" s="808"/>
      <c r="S960" s="808"/>
      <c r="T960" s="808"/>
      <c r="U960" s="808"/>
      <c r="V960" s="808"/>
    </row>
    <row r="961">
      <c r="B961" s="808"/>
      <c r="D961" s="808"/>
      <c r="E961" s="808"/>
      <c r="F961" s="808"/>
      <c r="G961" s="808"/>
      <c r="H961" s="808"/>
      <c r="I961" s="808"/>
      <c r="J961" s="808"/>
      <c r="K961" s="808"/>
      <c r="L961" s="808"/>
      <c r="M961" s="807"/>
      <c r="N961" s="808"/>
      <c r="O961" s="807"/>
      <c r="P961" s="808"/>
      <c r="Q961" s="808"/>
      <c r="R961" s="808"/>
      <c r="S961" s="808"/>
      <c r="T961" s="808"/>
      <c r="U961" s="808"/>
      <c r="V961" s="808"/>
    </row>
    <row r="962">
      <c r="B962" s="808"/>
      <c r="D962" s="808"/>
      <c r="E962" s="808"/>
      <c r="F962" s="808"/>
      <c r="G962" s="808"/>
      <c r="H962" s="808"/>
      <c r="I962" s="808"/>
      <c r="J962" s="808"/>
      <c r="K962" s="808"/>
      <c r="L962" s="808"/>
      <c r="M962" s="807"/>
      <c r="N962" s="808"/>
      <c r="O962" s="807"/>
      <c r="P962" s="808"/>
      <c r="Q962" s="808"/>
      <c r="R962" s="808"/>
      <c r="S962" s="808"/>
      <c r="T962" s="808"/>
      <c r="U962" s="808"/>
      <c r="V962" s="808"/>
    </row>
    <row r="963">
      <c r="B963" s="808"/>
      <c r="D963" s="808"/>
      <c r="E963" s="808"/>
      <c r="F963" s="808"/>
      <c r="G963" s="808"/>
      <c r="H963" s="808"/>
      <c r="I963" s="808"/>
      <c r="J963" s="808"/>
      <c r="K963" s="808"/>
      <c r="L963" s="808"/>
      <c r="M963" s="807"/>
      <c r="N963" s="808"/>
      <c r="O963" s="807"/>
      <c r="P963" s="808"/>
      <c r="Q963" s="808"/>
      <c r="R963" s="808"/>
      <c r="S963" s="808"/>
      <c r="T963" s="808"/>
      <c r="U963" s="808"/>
      <c r="V963" s="808"/>
    </row>
    <row r="964">
      <c r="B964" s="808"/>
      <c r="D964" s="808"/>
      <c r="E964" s="808"/>
      <c r="F964" s="808"/>
      <c r="G964" s="808"/>
      <c r="H964" s="808"/>
      <c r="I964" s="808"/>
      <c r="J964" s="808"/>
      <c r="K964" s="808"/>
      <c r="L964" s="808"/>
      <c r="M964" s="807"/>
      <c r="N964" s="808"/>
      <c r="O964" s="807"/>
      <c r="P964" s="808"/>
      <c r="Q964" s="808"/>
      <c r="R964" s="808"/>
      <c r="S964" s="808"/>
      <c r="T964" s="808"/>
      <c r="U964" s="808"/>
      <c r="V964" s="808"/>
    </row>
    <row r="965">
      <c r="B965" s="808"/>
      <c r="D965" s="808"/>
      <c r="E965" s="808"/>
      <c r="F965" s="808"/>
      <c r="G965" s="808"/>
      <c r="H965" s="808"/>
      <c r="I965" s="808"/>
      <c r="J965" s="808"/>
      <c r="K965" s="808"/>
      <c r="L965" s="808"/>
      <c r="M965" s="807"/>
      <c r="N965" s="808"/>
      <c r="O965" s="807"/>
      <c r="P965" s="808"/>
      <c r="Q965" s="808"/>
      <c r="R965" s="808"/>
      <c r="S965" s="808"/>
      <c r="T965" s="808"/>
      <c r="U965" s="808"/>
      <c r="V965" s="808"/>
    </row>
    <row r="966">
      <c r="B966" s="808"/>
      <c r="D966" s="808"/>
      <c r="E966" s="808"/>
      <c r="F966" s="808"/>
      <c r="G966" s="808"/>
      <c r="H966" s="808"/>
      <c r="I966" s="808"/>
      <c r="J966" s="808"/>
      <c r="K966" s="808"/>
      <c r="L966" s="808"/>
      <c r="M966" s="807"/>
      <c r="N966" s="808"/>
      <c r="O966" s="807"/>
      <c r="P966" s="808"/>
      <c r="Q966" s="808"/>
      <c r="R966" s="808"/>
      <c r="S966" s="808"/>
      <c r="T966" s="808"/>
      <c r="U966" s="808"/>
      <c r="V966" s="808"/>
    </row>
    <row r="967">
      <c r="B967" s="808"/>
      <c r="D967" s="808"/>
      <c r="E967" s="808"/>
      <c r="F967" s="808"/>
      <c r="G967" s="808"/>
      <c r="H967" s="808"/>
      <c r="I967" s="808"/>
      <c r="J967" s="808"/>
      <c r="K967" s="808"/>
      <c r="L967" s="808"/>
      <c r="M967" s="807"/>
      <c r="N967" s="808"/>
      <c r="O967" s="807"/>
      <c r="P967" s="808"/>
      <c r="Q967" s="808"/>
      <c r="R967" s="808"/>
      <c r="S967" s="808"/>
      <c r="T967" s="808"/>
      <c r="U967" s="808"/>
      <c r="V967" s="808"/>
    </row>
    <row r="968">
      <c r="B968" s="808"/>
      <c r="D968" s="808"/>
      <c r="E968" s="808"/>
      <c r="F968" s="808"/>
      <c r="G968" s="808"/>
      <c r="H968" s="808"/>
      <c r="I968" s="808"/>
      <c r="J968" s="808"/>
      <c r="K968" s="808"/>
      <c r="L968" s="808"/>
      <c r="M968" s="807"/>
      <c r="N968" s="808"/>
      <c r="O968" s="807"/>
      <c r="P968" s="808"/>
      <c r="Q968" s="808"/>
      <c r="R968" s="808"/>
      <c r="S968" s="808"/>
      <c r="T968" s="808"/>
      <c r="U968" s="808"/>
      <c r="V968" s="808"/>
    </row>
    <row r="969">
      <c r="B969" s="808"/>
      <c r="D969" s="808"/>
      <c r="E969" s="808"/>
      <c r="F969" s="808"/>
      <c r="G969" s="808"/>
      <c r="H969" s="808"/>
      <c r="I969" s="808"/>
      <c r="J969" s="808"/>
      <c r="K969" s="808"/>
      <c r="L969" s="808"/>
      <c r="M969" s="807"/>
      <c r="N969" s="808"/>
      <c r="O969" s="807"/>
      <c r="P969" s="808"/>
      <c r="Q969" s="808"/>
      <c r="R969" s="808"/>
      <c r="S969" s="808"/>
      <c r="T969" s="808"/>
      <c r="U969" s="808"/>
      <c r="V969" s="808"/>
    </row>
    <row r="970">
      <c r="B970" s="808"/>
      <c r="D970" s="808"/>
      <c r="E970" s="808"/>
      <c r="F970" s="808"/>
      <c r="G970" s="808"/>
      <c r="H970" s="808"/>
      <c r="I970" s="808"/>
      <c r="J970" s="808"/>
      <c r="K970" s="808"/>
      <c r="L970" s="808"/>
      <c r="M970" s="807"/>
      <c r="N970" s="808"/>
      <c r="O970" s="807"/>
      <c r="P970" s="808"/>
      <c r="Q970" s="808"/>
      <c r="R970" s="808"/>
      <c r="S970" s="808"/>
      <c r="T970" s="808"/>
      <c r="U970" s="808"/>
      <c r="V970" s="808"/>
    </row>
    <row r="971">
      <c r="B971" s="808"/>
      <c r="D971" s="808"/>
      <c r="E971" s="808"/>
      <c r="F971" s="808"/>
      <c r="G971" s="808"/>
      <c r="H971" s="808"/>
      <c r="I971" s="808"/>
      <c r="J971" s="808"/>
      <c r="K971" s="808"/>
      <c r="L971" s="808"/>
      <c r="M971" s="807"/>
      <c r="N971" s="808"/>
      <c r="O971" s="807"/>
      <c r="P971" s="808"/>
      <c r="Q971" s="808"/>
      <c r="R971" s="808"/>
      <c r="S971" s="808"/>
      <c r="T971" s="808"/>
      <c r="U971" s="808"/>
      <c r="V971" s="808"/>
    </row>
    <row r="972">
      <c r="B972" s="808"/>
      <c r="D972" s="808"/>
      <c r="E972" s="808"/>
      <c r="F972" s="808"/>
      <c r="G972" s="808"/>
      <c r="H972" s="808"/>
      <c r="I972" s="808"/>
      <c r="J972" s="808"/>
      <c r="K972" s="808"/>
      <c r="L972" s="808"/>
      <c r="M972" s="807"/>
      <c r="N972" s="808"/>
      <c r="O972" s="807"/>
      <c r="P972" s="808"/>
      <c r="Q972" s="808"/>
      <c r="R972" s="808"/>
      <c r="S972" s="808"/>
      <c r="T972" s="808"/>
      <c r="U972" s="808"/>
      <c r="V972" s="808"/>
    </row>
    <row r="973">
      <c r="B973" s="808"/>
      <c r="D973" s="808"/>
      <c r="E973" s="808"/>
      <c r="F973" s="808"/>
      <c r="G973" s="808"/>
      <c r="H973" s="808"/>
      <c r="I973" s="808"/>
      <c r="J973" s="808"/>
      <c r="K973" s="808"/>
      <c r="L973" s="808"/>
      <c r="M973" s="807"/>
      <c r="N973" s="808"/>
      <c r="O973" s="807"/>
      <c r="P973" s="808"/>
      <c r="Q973" s="808"/>
      <c r="R973" s="808"/>
      <c r="S973" s="808"/>
      <c r="T973" s="808"/>
      <c r="U973" s="808"/>
      <c r="V973" s="808"/>
    </row>
    <row r="974">
      <c r="B974" s="808"/>
      <c r="D974" s="808"/>
      <c r="E974" s="808"/>
      <c r="F974" s="808"/>
      <c r="G974" s="808"/>
      <c r="H974" s="808"/>
      <c r="I974" s="808"/>
      <c r="J974" s="808"/>
      <c r="K974" s="808"/>
      <c r="L974" s="808"/>
      <c r="M974" s="807"/>
      <c r="N974" s="808"/>
      <c r="O974" s="807"/>
      <c r="P974" s="808"/>
      <c r="Q974" s="808"/>
      <c r="R974" s="808"/>
      <c r="S974" s="808"/>
      <c r="T974" s="808"/>
      <c r="U974" s="808"/>
      <c r="V974" s="808"/>
    </row>
    <row r="975">
      <c r="B975" s="808"/>
      <c r="D975" s="808"/>
      <c r="E975" s="808"/>
      <c r="F975" s="808"/>
      <c r="G975" s="808"/>
      <c r="H975" s="808"/>
      <c r="I975" s="808"/>
      <c r="J975" s="808"/>
      <c r="K975" s="808"/>
      <c r="L975" s="808"/>
      <c r="M975" s="807"/>
      <c r="N975" s="808"/>
      <c r="O975" s="807"/>
      <c r="P975" s="808"/>
      <c r="Q975" s="808"/>
      <c r="R975" s="808"/>
      <c r="S975" s="808"/>
      <c r="T975" s="808"/>
      <c r="U975" s="808"/>
      <c r="V975" s="808"/>
    </row>
    <row r="976">
      <c r="B976" s="808"/>
      <c r="D976" s="808"/>
      <c r="E976" s="808"/>
      <c r="F976" s="808"/>
      <c r="G976" s="808"/>
      <c r="H976" s="808"/>
      <c r="I976" s="808"/>
      <c r="J976" s="808"/>
      <c r="K976" s="808"/>
      <c r="L976" s="808"/>
      <c r="M976" s="807"/>
      <c r="N976" s="808"/>
      <c r="O976" s="807"/>
      <c r="P976" s="808"/>
      <c r="Q976" s="808"/>
      <c r="R976" s="808"/>
      <c r="S976" s="808"/>
      <c r="T976" s="808"/>
      <c r="U976" s="808"/>
      <c r="V976" s="808"/>
    </row>
    <row r="977">
      <c r="B977" s="808"/>
      <c r="D977" s="808"/>
      <c r="E977" s="808"/>
      <c r="F977" s="808"/>
      <c r="G977" s="808"/>
      <c r="H977" s="808"/>
      <c r="I977" s="808"/>
      <c r="J977" s="808"/>
      <c r="K977" s="808"/>
      <c r="L977" s="808"/>
      <c r="M977" s="807"/>
      <c r="N977" s="808"/>
      <c r="O977" s="807"/>
      <c r="P977" s="808"/>
      <c r="Q977" s="808"/>
      <c r="R977" s="808"/>
      <c r="S977" s="808"/>
      <c r="T977" s="808"/>
      <c r="U977" s="808"/>
      <c r="V977" s="808"/>
    </row>
    <row r="978">
      <c r="B978" s="808"/>
      <c r="D978" s="808"/>
      <c r="E978" s="808"/>
      <c r="F978" s="808"/>
      <c r="G978" s="808"/>
      <c r="H978" s="808"/>
      <c r="I978" s="808"/>
      <c r="J978" s="808"/>
      <c r="K978" s="808"/>
      <c r="L978" s="808"/>
      <c r="M978" s="807"/>
      <c r="N978" s="808"/>
      <c r="O978" s="807"/>
      <c r="P978" s="808"/>
      <c r="Q978" s="808"/>
      <c r="R978" s="808"/>
      <c r="S978" s="808"/>
      <c r="T978" s="808"/>
      <c r="U978" s="808"/>
      <c r="V978" s="808"/>
    </row>
    <row r="979">
      <c r="B979" s="808"/>
      <c r="D979" s="808"/>
      <c r="E979" s="808"/>
      <c r="F979" s="808"/>
      <c r="G979" s="808"/>
      <c r="H979" s="808"/>
      <c r="I979" s="808"/>
      <c r="J979" s="808"/>
      <c r="K979" s="808"/>
      <c r="L979" s="808"/>
      <c r="M979" s="807"/>
      <c r="N979" s="808"/>
      <c r="O979" s="807"/>
      <c r="P979" s="808"/>
      <c r="Q979" s="808"/>
      <c r="R979" s="808"/>
      <c r="S979" s="808"/>
      <c r="T979" s="808"/>
      <c r="U979" s="808"/>
      <c r="V979" s="808"/>
    </row>
    <row r="980">
      <c r="B980" s="808"/>
      <c r="D980" s="808"/>
      <c r="E980" s="808"/>
      <c r="F980" s="808"/>
      <c r="G980" s="808"/>
      <c r="H980" s="808"/>
      <c r="I980" s="808"/>
      <c r="J980" s="808"/>
      <c r="K980" s="808"/>
      <c r="L980" s="808"/>
      <c r="M980" s="807"/>
      <c r="N980" s="808"/>
      <c r="O980" s="807"/>
      <c r="P980" s="808"/>
      <c r="Q980" s="808"/>
      <c r="R980" s="808"/>
      <c r="S980" s="808"/>
      <c r="T980" s="808"/>
      <c r="U980" s="808"/>
      <c r="V980" s="808"/>
    </row>
    <row r="981">
      <c r="B981" s="808"/>
      <c r="D981" s="808"/>
      <c r="E981" s="808"/>
      <c r="F981" s="808"/>
      <c r="G981" s="808"/>
      <c r="H981" s="808"/>
      <c r="I981" s="808"/>
      <c r="J981" s="808"/>
      <c r="K981" s="808"/>
      <c r="L981" s="808"/>
      <c r="M981" s="807"/>
      <c r="N981" s="808"/>
      <c r="O981" s="807"/>
      <c r="P981" s="808"/>
      <c r="Q981" s="808"/>
      <c r="R981" s="808"/>
      <c r="S981" s="808"/>
      <c r="T981" s="808"/>
      <c r="U981" s="808"/>
      <c r="V981" s="808"/>
    </row>
    <row r="982">
      <c r="B982" s="808"/>
      <c r="D982" s="808"/>
      <c r="E982" s="808"/>
      <c r="F982" s="808"/>
      <c r="G982" s="808"/>
      <c r="H982" s="808"/>
      <c r="I982" s="808"/>
      <c r="J982" s="808"/>
      <c r="K982" s="808"/>
      <c r="L982" s="808"/>
      <c r="M982" s="807"/>
      <c r="N982" s="808"/>
      <c r="O982" s="807"/>
      <c r="P982" s="808"/>
      <c r="Q982" s="808"/>
      <c r="R982" s="808"/>
      <c r="S982" s="808"/>
      <c r="T982" s="808"/>
      <c r="U982" s="808"/>
      <c r="V982" s="808"/>
    </row>
    <row r="983">
      <c r="B983" s="808"/>
      <c r="D983" s="808"/>
      <c r="E983" s="808"/>
      <c r="F983" s="808"/>
      <c r="G983" s="808"/>
      <c r="H983" s="808"/>
      <c r="I983" s="808"/>
      <c r="J983" s="808"/>
      <c r="K983" s="808"/>
      <c r="L983" s="808"/>
      <c r="M983" s="807"/>
      <c r="N983" s="808"/>
      <c r="O983" s="807"/>
      <c r="P983" s="808"/>
      <c r="Q983" s="808"/>
      <c r="R983" s="808"/>
      <c r="S983" s="808"/>
      <c r="T983" s="808"/>
      <c r="U983" s="808"/>
      <c r="V983" s="808"/>
    </row>
    <row r="984">
      <c r="B984" s="808"/>
      <c r="D984" s="808"/>
      <c r="E984" s="808"/>
      <c r="F984" s="808"/>
      <c r="G984" s="808"/>
      <c r="H984" s="808"/>
      <c r="I984" s="808"/>
      <c r="J984" s="808"/>
      <c r="K984" s="808"/>
      <c r="L984" s="808"/>
      <c r="M984" s="807"/>
      <c r="N984" s="808"/>
      <c r="O984" s="807"/>
      <c r="P984" s="808"/>
      <c r="Q984" s="808"/>
      <c r="R984" s="808"/>
      <c r="S984" s="808"/>
      <c r="T984" s="808"/>
      <c r="U984" s="808"/>
      <c r="V984" s="808"/>
    </row>
    <row r="985">
      <c r="B985" s="808"/>
      <c r="D985" s="808"/>
      <c r="E985" s="808"/>
      <c r="F985" s="808"/>
      <c r="G985" s="808"/>
      <c r="H985" s="808"/>
      <c r="I985" s="808"/>
      <c r="J985" s="808"/>
      <c r="K985" s="808"/>
      <c r="L985" s="808"/>
      <c r="M985" s="807"/>
      <c r="N985" s="808"/>
      <c r="O985" s="807"/>
      <c r="P985" s="808"/>
      <c r="Q985" s="808"/>
      <c r="R985" s="808"/>
      <c r="S985" s="808"/>
      <c r="T985" s="808"/>
      <c r="U985" s="808"/>
      <c r="V985" s="808"/>
    </row>
    <row r="986">
      <c r="B986" s="808"/>
      <c r="D986" s="808"/>
      <c r="E986" s="808"/>
      <c r="F986" s="808"/>
      <c r="G986" s="808"/>
      <c r="H986" s="808"/>
      <c r="I986" s="808"/>
      <c r="J986" s="808"/>
      <c r="K986" s="808"/>
      <c r="L986" s="808"/>
      <c r="M986" s="807"/>
      <c r="N986" s="808"/>
      <c r="O986" s="807"/>
      <c r="P986" s="808"/>
      <c r="Q986" s="808"/>
      <c r="R986" s="808"/>
      <c r="S986" s="808"/>
      <c r="T986" s="808"/>
      <c r="U986" s="808"/>
      <c r="V986" s="808"/>
    </row>
    <row r="987">
      <c r="B987" s="808"/>
      <c r="D987" s="808"/>
      <c r="E987" s="808"/>
      <c r="F987" s="808"/>
      <c r="G987" s="808"/>
      <c r="H987" s="808"/>
      <c r="I987" s="808"/>
      <c r="J987" s="808"/>
      <c r="K987" s="808"/>
      <c r="L987" s="808"/>
      <c r="M987" s="807"/>
      <c r="N987" s="808"/>
      <c r="O987" s="807"/>
      <c r="P987" s="808"/>
      <c r="Q987" s="808"/>
      <c r="R987" s="808"/>
      <c r="S987" s="808"/>
      <c r="T987" s="808"/>
      <c r="U987" s="808"/>
      <c r="V987" s="808"/>
    </row>
    <row r="988">
      <c r="B988" s="808"/>
      <c r="D988" s="808"/>
      <c r="E988" s="808"/>
      <c r="F988" s="808"/>
      <c r="G988" s="808"/>
      <c r="H988" s="808"/>
      <c r="I988" s="808"/>
      <c r="J988" s="808"/>
      <c r="K988" s="808"/>
      <c r="L988" s="808"/>
      <c r="M988" s="807"/>
      <c r="N988" s="808"/>
      <c r="O988" s="807"/>
      <c r="P988" s="808"/>
      <c r="Q988" s="808"/>
      <c r="R988" s="808"/>
      <c r="S988" s="808"/>
      <c r="T988" s="808"/>
      <c r="U988" s="808"/>
      <c r="V988" s="808"/>
    </row>
    <row r="989">
      <c r="B989" s="808"/>
      <c r="D989" s="808"/>
      <c r="E989" s="808"/>
      <c r="F989" s="808"/>
      <c r="G989" s="808"/>
      <c r="H989" s="808"/>
      <c r="I989" s="808"/>
      <c r="J989" s="808"/>
      <c r="K989" s="808"/>
      <c r="L989" s="808"/>
      <c r="M989" s="807"/>
      <c r="N989" s="808"/>
      <c r="O989" s="807"/>
      <c r="P989" s="808"/>
      <c r="Q989" s="808"/>
      <c r="R989" s="808"/>
      <c r="S989" s="808"/>
      <c r="T989" s="808"/>
      <c r="U989" s="808"/>
      <c r="V989" s="808"/>
    </row>
    <row r="990">
      <c r="B990" s="808"/>
      <c r="D990" s="808"/>
      <c r="E990" s="808"/>
      <c r="F990" s="808"/>
      <c r="G990" s="808"/>
      <c r="H990" s="808"/>
      <c r="I990" s="808"/>
      <c r="J990" s="808"/>
      <c r="K990" s="808"/>
      <c r="L990" s="808"/>
      <c r="M990" s="807"/>
      <c r="N990" s="808"/>
      <c r="O990" s="807"/>
      <c r="P990" s="808"/>
      <c r="Q990" s="808"/>
      <c r="R990" s="808"/>
      <c r="S990" s="808"/>
      <c r="T990" s="808"/>
      <c r="U990" s="808"/>
      <c r="V990" s="808"/>
    </row>
    <row r="991">
      <c r="B991" s="808"/>
      <c r="D991" s="808"/>
      <c r="E991" s="808"/>
      <c r="F991" s="808"/>
      <c r="G991" s="808"/>
      <c r="H991" s="808"/>
      <c r="I991" s="808"/>
      <c r="J991" s="808"/>
      <c r="K991" s="808"/>
      <c r="L991" s="808"/>
      <c r="M991" s="807"/>
      <c r="N991" s="808"/>
      <c r="O991" s="807"/>
      <c r="P991" s="808"/>
      <c r="Q991" s="808"/>
      <c r="R991" s="808"/>
      <c r="S991" s="808"/>
      <c r="T991" s="808"/>
      <c r="U991" s="808"/>
      <c r="V991" s="808"/>
    </row>
    <row r="992">
      <c r="B992" s="808"/>
      <c r="D992" s="808"/>
      <c r="E992" s="808"/>
      <c r="F992" s="808"/>
      <c r="G992" s="808"/>
      <c r="H992" s="808"/>
      <c r="I992" s="808"/>
      <c r="J992" s="808"/>
      <c r="K992" s="808"/>
      <c r="L992" s="808"/>
      <c r="M992" s="807"/>
      <c r="N992" s="808"/>
      <c r="O992" s="807"/>
      <c r="P992" s="808"/>
      <c r="Q992" s="808"/>
      <c r="R992" s="808"/>
      <c r="S992" s="808"/>
      <c r="T992" s="808"/>
      <c r="U992" s="808"/>
      <c r="V992" s="808"/>
    </row>
    <row r="993">
      <c r="B993" s="808"/>
      <c r="D993" s="808"/>
      <c r="E993" s="808"/>
      <c r="F993" s="808"/>
      <c r="G993" s="808"/>
      <c r="H993" s="808"/>
      <c r="I993" s="808"/>
      <c r="J993" s="808"/>
      <c r="K993" s="808"/>
      <c r="L993" s="808"/>
      <c r="M993" s="807"/>
      <c r="N993" s="808"/>
      <c r="O993" s="807"/>
      <c r="P993" s="808"/>
      <c r="Q993" s="808"/>
      <c r="R993" s="808"/>
      <c r="S993" s="808"/>
      <c r="T993" s="808"/>
      <c r="U993" s="808"/>
      <c r="V993" s="808"/>
    </row>
    <row r="994">
      <c r="B994" s="808"/>
      <c r="D994" s="808"/>
      <c r="E994" s="808"/>
      <c r="F994" s="808"/>
      <c r="G994" s="808"/>
      <c r="H994" s="808"/>
      <c r="I994" s="808"/>
      <c r="J994" s="808"/>
      <c r="K994" s="808"/>
      <c r="L994" s="808"/>
      <c r="M994" s="807"/>
      <c r="N994" s="808"/>
      <c r="O994" s="807"/>
      <c r="P994" s="808"/>
      <c r="Q994" s="808"/>
      <c r="R994" s="808"/>
      <c r="S994" s="808"/>
      <c r="T994" s="808"/>
      <c r="U994" s="808"/>
      <c r="V994" s="808"/>
    </row>
    <row r="995">
      <c r="B995" s="808"/>
      <c r="D995" s="808"/>
      <c r="E995" s="808"/>
      <c r="F995" s="808"/>
      <c r="G995" s="808"/>
      <c r="H995" s="808"/>
      <c r="I995" s="808"/>
      <c r="J995" s="808"/>
      <c r="K995" s="808"/>
      <c r="L995" s="808"/>
      <c r="M995" s="807"/>
      <c r="N995" s="808"/>
      <c r="O995" s="807"/>
      <c r="P995" s="808"/>
      <c r="Q995" s="808"/>
      <c r="R995" s="808"/>
      <c r="S995" s="808"/>
      <c r="T995" s="808"/>
      <c r="U995" s="808"/>
      <c r="V995" s="808"/>
    </row>
    <row r="996">
      <c r="B996" s="808"/>
      <c r="D996" s="808"/>
      <c r="E996" s="808"/>
      <c r="F996" s="808"/>
      <c r="G996" s="808"/>
      <c r="H996" s="808"/>
      <c r="I996" s="808"/>
      <c r="J996" s="808"/>
      <c r="K996" s="808"/>
      <c r="L996" s="808"/>
      <c r="M996" s="807"/>
      <c r="N996" s="808"/>
      <c r="O996" s="807"/>
      <c r="P996" s="808"/>
      <c r="Q996" s="808"/>
      <c r="R996" s="808"/>
      <c r="S996" s="808"/>
      <c r="T996" s="808"/>
      <c r="U996" s="808"/>
      <c r="V996" s="808"/>
    </row>
    <row r="997">
      <c r="B997" s="808"/>
      <c r="D997" s="808"/>
      <c r="E997" s="808"/>
      <c r="F997" s="808"/>
      <c r="G997" s="808"/>
      <c r="H997" s="808"/>
      <c r="I997" s="808"/>
      <c r="J997" s="808"/>
      <c r="K997" s="808"/>
      <c r="L997" s="808"/>
      <c r="M997" s="807"/>
      <c r="N997" s="808"/>
      <c r="O997" s="807"/>
      <c r="P997" s="808"/>
      <c r="Q997" s="808"/>
      <c r="R997" s="808"/>
      <c r="S997" s="808"/>
      <c r="T997" s="808"/>
      <c r="U997" s="808"/>
      <c r="V997" s="808"/>
    </row>
    <row r="998">
      <c r="B998" s="808"/>
      <c r="D998" s="808"/>
      <c r="E998" s="808"/>
      <c r="F998" s="808"/>
      <c r="G998" s="808"/>
      <c r="H998" s="808"/>
      <c r="I998" s="808"/>
      <c r="J998" s="808"/>
      <c r="K998" s="808"/>
      <c r="L998" s="808"/>
      <c r="M998" s="807"/>
      <c r="N998" s="808"/>
      <c r="O998" s="807"/>
      <c r="P998" s="808"/>
      <c r="Q998" s="808"/>
      <c r="R998" s="808"/>
      <c r="S998" s="808"/>
      <c r="T998" s="808"/>
      <c r="U998" s="808"/>
      <c r="V998" s="808"/>
    </row>
    <row r="999">
      <c r="B999" s="808"/>
      <c r="D999" s="808"/>
      <c r="E999" s="808"/>
      <c r="F999" s="808"/>
      <c r="G999" s="808"/>
      <c r="H999" s="808"/>
      <c r="I999" s="808"/>
      <c r="J999" s="808"/>
      <c r="K999" s="808"/>
      <c r="L999" s="808"/>
      <c r="M999" s="807"/>
      <c r="N999" s="808"/>
      <c r="O999" s="807"/>
      <c r="P999" s="808"/>
      <c r="Q999" s="808"/>
      <c r="R999" s="808"/>
      <c r="S999" s="808"/>
      <c r="T999" s="808"/>
      <c r="U999" s="808"/>
      <c r="V999" s="808"/>
    </row>
    <row r="1000">
      <c r="B1000" s="808"/>
      <c r="D1000" s="808"/>
      <c r="E1000" s="808"/>
      <c r="F1000" s="808"/>
      <c r="G1000" s="808"/>
      <c r="H1000" s="808"/>
      <c r="I1000" s="808"/>
      <c r="J1000" s="808"/>
      <c r="K1000" s="808"/>
      <c r="L1000" s="808"/>
      <c r="M1000" s="807"/>
      <c r="N1000" s="808"/>
      <c r="O1000" s="807"/>
      <c r="P1000" s="808"/>
      <c r="Q1000" s="808"/>
      <c r="R1000" s="808"/>
      <c r="S1000" s="808"/>
      <c r="T1000" s="808"/>
      <c r="U1000" s="808"/>
      <c r="V1000" s="808"/>
    </row>
    <row r="1001">
      <c r="B1001" s="808"/>
      <c r="D1001" s="808"/>
      <c r="E1001" s="808"/>
      <c r="F1001" s="808"/>
      <c r="G1001" s="808"/>
      <c r="H1001" s="808"/>
      <c r="I1001" s="808"/>
      <c r="J1001" s="808"/>
      <c r="K1001" s="808"/>
      <c r="L1001" s="808"/>
      <c r="M1001" s="807"/>
      <c r="N1001" s="808"/>
      <c r="O1001" s="807"/>
      <c r="P1001" s="808"/>
      <c r="Q1001" s="808"/>
      <c r="R1001" s="808"/>
      <c r="S1001" s="808"/>
      <c r="T1001" s="808"/>
      <c r="U1001" s="808"/>
      <c r="V1001" s="808"/>
    </row>
    <row r="1002">
      <c r="B1002" s="808"/>
      <c r="D1002" s="808"/>
      <c r="E1002" s="808"/>
      <c r="F1002" s="808"/>
      <c r="G1002" s="808"/>
      <c r="H1002" s="808"/>
      <c r="I1002" s="808"/>
      <c r="J1002" s="808"/>
      <c r="K1002" s="808"/>
      <c r="L1002" s="808"/>
      <c r="M1002" s="807"/>
      <c r="N1002" s="808"/>
      <c r="O1002" s="807"/>
      <c r="P1002" s="808"/>
      <c r="Q1002" s="808"/>
      <c r="R1002" s="808"/>
      <c r="S1002" s="808"/>
      <c r="T1002" s="808"/>
      <c r="U1002" s="808"/>
      <c r="V1002" s="808"/>
    </row>
  </sheetData>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28"/>
      <c r="D1" s="681"/>
      <c r="E1" s="681"/>
      <c r="F1" s="681"/>
      <c r="G1" s="681"/>
      <c r="H1" s="681"/>
      <c r="I1" s="681"/>
      <c r="J1" s="681"/>
      <c r="K1" s="681"/>
      <c r="L1" s="681"/>
    </row>
    <row r="2">
      <c r="A2" s="221"/>
      <c r="B2" s="221"/>
      <c r="C2" s="829" t="str">
        <f>HYPERLINK("https://docs.google.com/forms/d/1-T77rbP6WaRkHwS4PtTqpOa4kAN5opDWxtJM_OKgPy4/viewform?usp=send_form","Click Here To Submit Feedback")</f>
        <v>Click Here To Submit Feedback</v>
      </c>
      <c r="D2" s="106"/>
      <c r="E2" s="106"/>
      <c r="F2" s="106"/>
      <c r="G2" s="106"/>
      <c r="H2" s="106"/>
      <c r="I2" s="106"/>
      <c r="J2" s="107"/>
      <c r="K2" s="681"/>
      <c r="L2" s="681"/>
    </row>
    <row r="3" ht="11.25" customHeight="1">
      <c r="A3" s="221"/>
      <c r="B3" s="221"/>
      <c r="C3" s="830"/>
      <c r="D3" s="830"/>
      <c r="E3" s="830"/>
      <c r="F3" s="830"/>
      <c r="G3" s="830"/>
      <c r="H3" s="830"/>
      <c r="I3" s="830"/>
      <c r="J3" s="830"/>
      <c r="K3" s="830"/>
      <c r="L3" s="681"/>
    </row>
    <row r="4" ht="13.5" customHeight="1">
      <c r="A4" s="221"/>
      <c r="B4" s="831" t="s">
        <v>1518</v>
      </c>
      <c r="C4" s="832" t="s">
        <v>1519</v>
      </c>
      <c r="D4" s="833" t="s">
        <v>1520</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32" t="s">
        <v>1521</v>
      </c>
      <c r="D6" s="833" t="s">
        <v>1522</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32" t="s">
        <v>1523</v>
      </c>
      <c r="D8" s="833" t="s">
        <v>1524</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34"/>
      <c r="D10" s="835"/>
      <c r="E10" s="835"/>
      <c r="F10" s="835"/>
      <c r="G10" s="835"/>
      <c r="H10" s="835"/>
      <c r="I10" s="835"/>
      <c r="J10" s="835"/>
      <c r="K10" s="835"/>
      <c r="L10" s="835"/>
      <c r="M10" s="5"/>
      <c r="N10" s="14"/>
      <c r="O10" s="14"/>
      <c r="P10" s="14"/>
      <c r="Q10" s="14"/>
      <c r="R10" s="14"/>
      <c r="S10" s="14"/>
      <c r="T10" s="14"/>
      <c r="U10" s="14"/>
      <c r="V10" s="14"/>
      <c r="W10" s="14"/>
      <c r="X10" s="14"/>
      <c r="Y10" s="14"/>
      <c r="Z10" s="14"/>
      <c r="AA10" s="14"/>
      <c r="AB10" s="14"/>
    </row>
    <row r="11">
      <c r="A11" s="836"/>
      <c r="B11" s="837" t="s">
        <v>1525</v>
      </c>
      <c r="C11" s="106"/>
      <c r="D11" s="106"/>
      <c r="E11" s="106"/>
      <c r="F11" s="106"/>
      <c r="G11" s="106"/>
      <c r="H11" s="106"/>
      <c r="I11" s="106"/>
      <c r="J11" s="106"/>
      <c r="K11" s="106"/>
      <c r="L11" s="107"/>
    </row>
    <row r="12">
      <c r="A12" s="838"/>
      <c r="B12" s="839" t="s">
        <v>1526</v>
      </c>
      <c r="C12" s="840" t="s">
        <v>1527</v>
      </c>
      <c r="D12" s="840" t="s">
        <v>1528</v>
      </c>
      <c r="E12" s="106"/>
      <c r="F12" s="106"/>
      <c r="G12" s="106"/>
      <c r="H12" s="106"/>
      <c r="I12" s="106"/>
      <c r="J12" s="106"/>
      <c r="K12" s="106"/>
      <c r="L12" s="107"/>
    </row>
    <row r="13">
      <c r="A13" s="841"/>
      <c r="B13" s="842">
        <v>1.0</v>
      </c>
      <c r="C13" s="832" t="s">
        <v>1521</v>
      </c>
      <c r="D13" s="843" t="s">
        <v>1529</v>
      </c>
      <c r="E13" s="106"/>
      <c r="F13" s="106"/>
      <c r="G13" s="106"/>
      <c r="H13" s="106"/>
      <c r="I13" s="106"/>
      <c r="J13" s="106"/>
      <c r="K13" s="106"/>
      <c r="L13" s="107"/>
    </row>
    <row r="14">
      <c r="A14" s="841"/>
      <c r="B14" s="291"/>
      <c r="C14" s="168"/>
      <c r="D14" s="844" t="s">
        <v>1530</v>
      </c>
      <c r="E14" s="37"/>
      <c r="F14" s="37"/>
      <c r="G14" s="37"/>
      <c r="H14" s="37"/>
      <c r="I14" s="37"/>
      <c r="J14" s="37"/>
      <c r="K14" s="37"/>
      <c r="L14" s="38"/>
    </row>
    <row r="15">
      <c r="A15" s="841"/>
      <c r="B15" s="842">
        <v>2.0</v>
      </c>
      <c r="C15" s="832" t="s">
        <v>1521</v>
      </c>
      <c r="D15" s="843" t="s">
        <v>1531</v>
      </c>
      <c r="E15" s="106"/>
      <c r="F15" s="106"/>
      <c r="G15" s="106"/>
      <c r="H15" s="106"/>
      <c r="I15" s="106"/>
      <c r="J15" s="106"/>
      <c r="K15" s="106"/>
      <c r="L15" s="107"/>
    </row>
    <row r="16">
      <c r="A16" s="841"/>
      <c r="B16" s="291"/>
      <c r="C16" s="168"/>
      <c r="D16" s="844" t="s">
        <v>1532</v>
      </c>
      <c r="E16" s="37"/>
      <c r="F16" s="37"/>
      <c r="G16" s="37"/>
      <c r="H16" s="37"/>
      <c r="I16" s="37"/>
      <c r="J16" s="37"/>
      <c r="K16" s="37"/>
      <c r="L16" s="38"/>
    </row>
    <row r="17">
      <c r="A17" s="841"/>
      <c r="B17" s="842">
        <v>3.0</v>
      </c>
      <c r="C17" s="832" t="s">
        <v>1523</v>
      </c>
      <c r="D17" s="843" t="s">
        <v>1533</v>
      </c>
      <c r="E17" s="106"/>
      <c r="F17" s="106"/>
      <c r="G17" s="106"/>
      <c r="H17" s="106"/>
      <c r="I17" s="106"/>
      <c r="J17" s="106"/>
      <c r="K17" s="106"/>
      <c r="L17" s="107"/>
    </row>
    <row r="18">
      <c r="A18" s="841"/>
      <c r="B18" s="291"/>
      <c r="C18" s="168"/>
      <c r="D18" s="844" t="s">
        <v>1534</v>
      </c>
      <c r="E18" s="37"/>
      <c r="F18" s="37"/>
      <c r="G18" s="37"/>
      <c r="H18" s="37"/>
      <c r="I18" s="37"/>
      <c r="J18" s="37"/>
      <c r="K18" s="37"/>
      <c r="L18" s="38"/>
    </row>
    <row r="19">
      <c r="A19" s="841"/>
      <c r="B19" s="842">
        <v>4.0</v>
      </c>
      <c r="C19" s="832" t="s">
        <v>1523</v>
      </c>
      <c r="D19" s="843" t="s">
        <v>1535</v>
      </c>
      <c r="E19" s="106"/>
      <c r="F19" s="106"/>
      <c r="G19" s="106"/>
      <c r="H19" s="106"/>
      <c r="I19" s="106"/>
      <c r="J19" s="106"/>
      <c r="K19" s="106"/>
      <c r="L19" s="107"/>
    </row>
    <row r="20" ht="9.75" customHeight="1">
      <c r="A20" s="841"/>
      <c r="B20" s="291"/>
      <c r="C20" s="168"/>
      <c r="D20" s="845" t="s">
        <v>1536</v>
      </c>
      <c r="L20" s="144"/>
    </row>
    <row r="21">
      <c r="A21" s="841"/>
      <c r="B21" s="842">
        <v>5.0</v>
      </c>
      <c r="C21" s="832" t="s">
        <v>1521</v>
      </c>
      <c r="D21" s="843" t="s">
        <v>1537</v>
      </c>
      <c r="E21" s="106"/>
      <c r="F21" s="106"/>
      <c r="G21" s="106"/>
      <c r="H21" s="106"/>
      <c r="I21" s="106"/>
      <c r="J21" s="106"/>
      <c r="K21" s="106"/>
      <c r="L21" s="107"/>
    </row>
    <row r="22">
      <c r="A22" s="841"/>
      <c r="B22" s="291"/>
      <c r="C22" s="168"/>
      <c r="D22" s="844" t="s">
        <v>1538</v>
      </c>
      <c r="E22" s="37"/>
      <c r="F22" s="37"/>
      <c r="G22" s="37"/>
      <c r="H22" s="37"/>
      <c r="I22" s="37"/>
      <c r="J22" s="37"/>
      <c r="K22" s="37"/>
      <c r="L22" s="38"/>
    </row>
    <row r="23">
      <c r="A23" s="841"/>
      <c r="B23" s="842">
        <v>6.0</v>
      </c>
      <c r="C23" s="832" t="s">
        <v>1523</v>
      </c>
      <c r="D23" s="843" t="s">
        <v>1539</v>
      </c>
      <c r="E23" s="106"/>
      <c r="F23" s="106"/>
      <c r="G23" s="106"/>
      <c r="H23" s="106"/>
      <c r="I23" s="106"/>
      <c r="J23" s="106"/>
      <c r="K23" s="106"/>
      <c r="L23" s="107"/>
    </row>
    <row r="24">
      <c r="A24" s="841"/>
      <c r="B24" s="291"/>
      <c r="C24" s="168"/>
      <c r="D24" s="846" t="s">
        <v>1540</v>
      </c>
      <c r="E24" s="106"/>
      <c r="F24" s="106"/>
      <c r="G24" s="106"/>
      <c r="H24" s="106"/>
      <c r="I24" s="106"/>
      <c r="J24" s="106"/>
      <c r="K24" s="106"/>
      <c r="L24" s="107"/>
    </row>
    <row r="25">
      <c r="A25" s="841"/>
      <c r="B25" s="842">
        <v>7.0</v>
      </c>
      <c r="C25" s="832" t="s">
        <v>1523</v>
      </c>
      <c r="D25" s="843" t="s">
        <v>1541</v>
      </c>
      <c r="E25" s="106"/>
      <c r="F25" s="106"/>
      <c r="G25" s="106"/>
      <c r="H25" s="106"/>
      <c r="I25" s="106"/>
      <c r="J25" s="106"/>
      <c r="K25" s="106"/>
      <c r="L25" s="107"/>
    </row>
    <row r="26">
      <c r="A26" s="841"/>
      <c r="B26" s="291"/>
      <c r="C26" s="168"/>
      <c r="D26" s="844" t="s">
        <v>1542</v>
      </c>
      <c r="E26" s="37"/>
      <c r="F26" s="37"/>
      <c r="G26" s="37"/>
      <c r="H26" s="37"/>
      <c r="I26" s="37"/>
      <c r="J26" s="37"/>
      <c r="K26" s="37"/>
      <c r="L26" s="38"/>
    </row>
    <row r="27">
      <c r="A27" s="841"/>
      <c r="B27" s="842">
        <v>8.0</v>
      </c>
      <c r="C27" s="832" t="s">
        <v>1523</v>
      </c>
      <c r="D27" s="843" t="s">
        <v>1543</v>
      </c>
      <c r="E27" s="106"/>
      <c r="F27" s="106"/>
      <c r="G27" s="106"/>
      <c r="H27" s="106"/>
      <c r="I27" s="106"/>
      <c r="J27" s="106"/>
      <c r="K27" s="106"/>
      <c r="L27" s="107"/>
    </row>
    <row r="28">
      <c r="A28" s="841"/>
      <c r="B28" s="291"/>
      <c r="C28" s="168"/>
      <c r="D28" s="844" t="s">
        <v>1544</v>
      </c>
      <c r="E28" s="37"/>
      <c r="F28" s="37"/>
      <c r="G28" s="37"/>
      <c r="H28" s="37"/>
      <c r="I28" s="37"/>
      <c r="J28" s="37"/>
      <c r="K28" s="37"/>
      <c r="L28" s="38"/>
    </row>
    <row r="29">
      <c r="A29" s="841"/>
      <c r="B29" s="842">
        <v>9.0</v>
      </c>
      <c r="C29" s="832" t="s">
        <v>1523</v>
      </c>
      <c r="D29" s="843" t="s">
        <v>1545</v>
      </c>
      <c r="E29" s="106"/>
      <c r="F29" s="106"/>
      <c r="G29" s="106"/>
      <c r="H29" s="106"/>
      <c r="I29" s="106"/>
      <c r="J29" s="106"/>
      <c r="K29" s="106"/>
      <c r="L29" s="107"/>
    </row>
    <row r="30">
      <c r="A30" s="841"/>
      <c r="B30" s="291"/>
      <c r="C30" s="168"/>
      <c r="D30" s="844" t="s">
        <v>1546</v>
      </c>
      <c r="E30" s="37"/>
      <c r="F30" s="37"/>
      <c r="G30" s="37"/>
      <c r="H30" s="37"/>
      <c r="I30" s="37"/>
      <c r="J30" s="37"/>
      <c r="K30" s="37"/>
      <c r="L30" s="38"/>
    </row>
    <row r="31">
      <c r="A31" s="841"/>
      <c r="B31" s="842">
        <v>10.0</v>
      </c>
    </row>
    <row r="32">
      <c r="A32" s="841"/>
      <c r="B32" s="291"/>
    </row>
    <row r="33">
      <c r="A33" s="841"/>
      <c r="B33" s="842">
        <v>11.0</v>
      </c>
    </row>
    <row r="34">
      <c r="A34" s="841"/>
      <c r="B34" s="291"/>
    </row>
    <row r="35">
      <c r="A35" s="841"/>
      <c r="B35" s="842">
        <v>12.0</v>
      </c>
    </row>
    <row r="36">
      <c r="A36" s="841"/>
      <c r="B36" s="291"/>
    </row>
    <row r="37">
      <c r="A37" s="841"/>
      <c r="B37" s="842">
        <v>13.0</v>
      </c>
    </row>
    <row r="38">
      <c r="A38" s="841"/>
      <c r="B38" s="291"/>
    </row>
    <row r="39">
      <c r="A39" s="841"/>
      <c r="B39" s="842">
        <v>14.0</v>
      </c>
    </row>
    <row r="40">
      <c r="A40" s="841"/>
      <c r="B40" s="291"/>
    </row>
    <row r="41">
      <c r="A41" s="841"/>
      <c r="B41" s="842">
        <v>15.0</v>
      </c>
    </row>
    <row r="42">
      <c r="A42" s="841"/>
      <c r="B42" s="291"/>
    </row>
    <row r="43">
      <c r="A43" s="841"/>
      <c r="B43" s="847">
        <v>16.0</v>
      </c>
    </row>
    <row r="44">
      <c r="A44" s="841"/>
      <c r="B44" s="36"/>
    </row>
    <row r="45">
      <c r="B45" s="848"/>
      <c r="C45" s="845"/>
      <c r="D45" s="849"/>
    </row>
    <row r="46">
      <c r="D46" s="850"/>
    </row>
    <row r="47">
      <c r="B47" s="848"/>
      <c r="C47" s="845"/>
      <c r="D47" s="849"/>
    </row>
    <row r="48">
      <c r="D48" s="850"/>
    </row>
  </sheetData>
  <mergeCells count="61">
    <mergeCell ref="D20:L20"/>
    <mergeCell ref="D19:L19"/>
    <mergeCell ref="D16:L16"/>
    <mergeCell ref="D17:L17"/>
    <mergeCell ref="D18:L18"/>
    <mergeCell ref="D21:L21"/>
    <mergeCell ref="D24:L24"/>
    <mergeCell ref="D23:L23"/>
    <mergeCell ref="D22:L22"/>
    <mergeCell ref="C19:C20"/>
    <mergeCell ref="C21:C22"/>
    <mergeCell ref="C27:C28"/>
    <mergeCell ref="B27:B28"/>
    <mergeCell ref="B25:B26"/>
    <mergeCell ref="B23:B24"/>
    <mergeCell ref="B13:B14"/>
    <mergeCell ref="B17:B18"/>
    <mergeCell ref="C17:C18"/>
    <mergeCell ref="C25:C26"/>
    <mergeCell ref="C23:C24"/>
    <mergeCell ref="B19:B20"/>
    <mergeCell ref="B21:B22"/>
    <mergeCell ref="C13:C14"/>
    <mergeCell ref="C4:C5"/>
    <mergeCell ref="D4:L5"/>
    <mergeCell ref="C2:J2"/>
    <mergeCell ref="B11:L11"/>
    <mergeCell ref="D8:L9"/>
    <mergeCell ref="B4:B9"/>
    <mergeCell ref="C6:C7"/>
    <mergeCell ref="D13:L13"/>
    <mergeCell ref="D12:L12"/>
    <mergeCell ref="D6:L7"/>
    <mergeCell ref="C8:C9"/>
    <mergeCell ref="D46:L46"/>
    <mergeCell ref="D47:L47"/>
    <mergeCell ref="D48:L48"/>
    <mergeCell ref="C45:C46"/>
    <mergeCell ref="C47:C48"/>
    <mergeCell ref="B45:B46"/>
    <mergeCell ref="B47:B48"/>
    <mergeCell ref="D25:L25"/>
    <mergeCell ref="D26:L26"/>
    <mergeCell ref="D30:L30"/>
    <mergeCell ref="D29:L29"/>
    <mergeCell ref="D28:L28"/>
    <mergeCell ref="D27:L27"/>
    <mergeCell ref="D45:L45"/>
    <mergeCell ref="D15:L15"/>
    <mergeCell ref="D14:L14"/>
    <mergeCell ref="B15:B16"/>
    <mergeCell ref="C15:C16"/>
    <mergeCell ref="B41:B42"/>
    <mergeCell ref="B43:B44"/>
    <mergeCell ref="C29:C30"/>
    <mergeCell ref="B35:B36"/>
    <mergeCell ref="B33:B34"/>
    <mergeCell ref="B37:B38"/>
    <mergeCell ref="B29:B30"/>
    <mergeCell ref="B31:B32"/>
    <mergeCell ref="B39:B40"/>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34"/>
      <c r="C1" s="851"/>
      <c r="D1" s="835"/>
      <c r="E1" s="835"/>
      <c r="F1" s="835"/>
      <c r="G1" s="835"/>
      <c r="H1" s="835"/>
      <c r="I1" s="835"/>
      <c r="J1" s="835"/>
      <c r="K1" s="835"/>
      <c r="L1" s="835"/>
      <c r="M1" s="5"/>
      <c r="N1" s="5"/>
      <c r="O1" s="5"/>
      <c r="P1" s="5"/>
      <c r="Q1" s="5"/>
      <c r="R1" s="5"/>
      <c r="S1" s="5"/>
      <c r="T1" s="5"/>
      <c r="U1" s="5"/>
      <c r="V1" s="5"/>
      <c r="W1" s="5"/>
      <c r="X1" s="5"/>
      <c r="Y1" s="5"/>
      <c r="Z1" s="5"/>
      <c r="AA1" s="5"/>
    </row>
    <row r="2">
      <c r="A2" s="852"/>
      <c r="B2" s="853" t="s">
        <v>1547</v>
      </c>
      <c r="C2" s="854" t="s">
        <v>1548</v>
      </c>
      <c r="D2" s="855" t="s">
        <v>1549</v>
      </c>
      <c r="E2" s="37"/>
      <c r="F2" s="37"/>
      <c r="G2" s="37"/>
      <c r="H2" s="37"/>
      <c r="I2" s="37"/>
      <c r="J2" s="37"/>
      <c r="K2" s="37"/>
      <c r="L2" s="38"/>
      <c r="M2" s="14"/>
      <c r="N2" s="14"/>
      <c r="O2" s="14"/>
      <c r="P2" s="14"/>
      <c r="Q2" s="14"/>
      <c r="R2" s="14"/>
      <c r="S2" s="14"/>
      <c r="T2" s="14"/>
      <c r="U2" s="14"/>
      <c r="V2" s="14"/>
      <c r="W2" s="14"/>
      <c r="X2" s="14"/>
      <c r="Y2" s="14"/>
      <c r="Z2" s="14"/>
      <c r="AA2" s="14"/>
    </row>
    <row r="3">
      <c r="A3" s="852"/>
      <c r="B3" s="839"/>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52"/>
      <c r="B4" s="856">
        <v>1.0</v>
      </c>
      <c r="C4" s="857">
        <v>41974.0</v>
      </c>
      <c r="D4" s="858" t="s">
        <v>1550</v>
      </c>
      <c r="L4" s="144"/>
      <c r="M4" s="14"/>
      <c r="N4" s="14"/>
      <c r="O4" s="14"/>
      <c r="P4" s="14"/>
      <c r="Q4" s="14"/>
      <c r="R4" s="14"/>
      <c r="S4" s="14"/>
      <c r="T4" s="14"/>
      <c r="U4" s="14"/>
      <c r="V4" s="14"/>
      <c r="W4" s="14"/>
      <c r="X4" s="14"/>
      <c r="Y4" s="14"/>
      <c r="Z4" s="14"/>
      <c r="AA4" s="14"/>
    </row>
    <row r="5" ht="1.5" customHeight="1">
      <c r="A5" s="852"/>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52"/>
      <c r="B6" s="856">
        <v>2.0</v>
      </c>
      <c r="C6" s="857">
        <v>41977.0</v>
      </c>
      <c r="D6" s="859" t="s">
        <v>1551</v>
      </c>
      <c r="L6" s="144"/>
      <c r="M6" s="14"/>
      <c r="N6" s="14"/>
      <c r="O6" s="14"/>
      <c r="P6" s="14"/>
      <c r="Q6" s="14"/>
      <c r="R6" s="14"/>
      <c r="S6" s="14"/>
      <c r="T6" s="14"/>
      <c r="U6" s="14"/>
      <c r="V6" s="14"/>
      <c r="W6" s="14"/>
      <c r="X6" s="14"/>
      <c r="Y6" s="14"/>
      <c r="Z6" s="14"/>
      <c r="AA6" s="14"/>
    </row>
    <row r="7" ht="1.5" customHeight="1">
      <c r="A7" s="852"/>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52"/>
      <c r="B8" s="856">
        <v>3.0</v>
      </c>
      <c r="C8" s="857">
        <v>42001.0</v>
      </c>
      <c r="D8" s="859" t="s">
        <v>1552</v>
      </c>
      <c r="L8" s="144"/>
      <c r="M8" s="14"/>
      <c r="N8" s="14"/>
      <c r="O8" s="14"/>
      <c r="P8" s="14"/>
      <c r="Q8" s="14"/>
      <c r="R8" s="14"/>
      <c r="S8" s="14"/>
      <c r="T8" s="14"/>
      <c r="U8" s="14"/>
      <c r="V8" s="14"/>
      <c r="W8" s="14"/>
      <c r="X8" s="14"/>
      <c r="Y8" s="14"/>
      <c r="Z8" s="14"/>
      <c r="AA8" s="14"/>
    </row>
    <row r="9" ht="4.5" customHeight="1">
      <c r="A9" s="852"/>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52"/>
      <c r="B10" s="856">
        <v>3.1</v>
      </c>
      <c r="C10" s="857">
        <v>42008.0</v>
      </c>
      <c r="D10" s="859" t="s">
        <v>1553</v>
      </c>
      <c r="L10" s="144"/>
      <c r="M10" s="14"/>
      <c r="N10" s="14"/>
      <c r="O10" s="14"/>
      <c r="P10" s="14"/>
      <c r="Q10" s="14"/>
      <c r="R10" s="14"/>
      <c r="S10" s="14"/>
      <c r="T10" s="14"/>
      <c r="U10" s="14"/>
      <c r="V10" s="14"/>
      <c r="W10" s="14"/>
      <c r="X10" s="14"/>
      <c r="Y10" s="14"/>
      <c r="Z10" s="14"/>
      <c r="AA10" s="14"/>
    </row>
    <row r="11" ht="4.5" customHeight="1">
      <c r="A11" s="852"/>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52"/>
      <c r="B12" s="856">
        <v>3.2</v>
      </c>
      <c r="C12" s="857">
        <v>42036.0</v>
      </c>
      <c r="D12" s="859" t="s">
        <v>1554</v>
      </c>
      <c r="L12" s="144"/>
      <c r="M12" s="14"/>
      <c r="N12" s="14"/>
      <c r="O12" s="14"/>
      <c r="P12" s="14"/>
      <c r="Q12" s="14"/>
      <c r="R12" s="14"/>
      <c r="S12" s="14"/>
      <c r="T12" s="14"/>
      <c r="U12" s="14"/>
      <c r="V12" s="14"/>
      <c r="W12" s="14"/>
      <c r="X12" s="14"/>
      <c r="Y12" s="14"/>
      <c r="Z12" s="14"/>
      <c r="AA12" s="14"/>
    </row>
    <row r="13" ht="3.75" customHeight="1">
      <c r="A13" s="852"/>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52"/>
      <c r="B14" s="856">
        <v>3.3</v>
      </c>
      <c r="C14" s="857">
        <v>42038.0</v>
      </c>
      <c r="D14" s="859" t="s">
        <v>1555</v>
      </c>
      <c r="L14" s="144"/>
      <c r="M14" s="14"/>
      <c r="N14" s="14"/>
      <c r="O14" s="14"/>
      <c r="P14" s="14"/>
      <c r="Q14" s="14"/>
      <c r="R14" s="14"/>
      <c r="S14" s="14"/>
      <c r="T14" s="14"/>
      <c r="U14" s="14"/>
      <c r="V14" s="14"/>
      <c r="W14" s="14"/>
      <c r="X14" s="14"/>
      <c r="Y14" s="14"/>
      <c r="Z14" s="14"/>
      <c r="AA14" s="14"/>
    </row>
    <row r="15" ht="1.5" customHeight="1">
      <c r="A15" s="852"/>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52"/>
      <c r="B16" s="856">
        <v>3.4</v>
      </c>
      <c r="C16" s="857">
        <v>42040.0</v>
      </c>
      <c r="D16" s="860" t="s">
        <v>1556</v>
      </c>
      <c r="L16" s="144"/>
      <c r="M16" s="14"/>
      <c r="N16" s="14"/>
      <c r="O16" s="14"/>
      <c r="P16" s="14"/>
      <c r="Q16" s="14"/>
      <c r="R16" s="14"/>
      <c r="S16" s="14"/>
      <c r="T16" s="14"/>
      <c r="U16" s="14"/>
      <c r="V16" s="14"/>
      <c r="W16" s="14"/>
      <c r="X16" s="14"/>
      <c r="Y16" s="14"/>
      <c r="Z16" s="14"/>
      <c r="AA16" s="14"/>
    </row>
    <row r="17" ht="25.5" customHeight="1">
      <c r="A17" s="852"/>
      <c r="B17" s="144"/>
      <c r="C17" s="144"/>
      <c r="L17" s="144"/>
      <c r="M17" s="14"/>
      <c r="N17" s="14"/>
      <c r="O17" s="14"/>
      <c r="P17" s="14"/>
      <c r="Q17" s="14"/>
      <c r="R17" s="14"/>
      <c r="S17" s="14"/>
      <c r="T17" s="14"/>
      <c r="U17" s="14"/>
      <c r="V17" s="14"/>
      <c r="W17" s="14"/>
      <c r="X17" s="14"/>
      <c r="Y17" s="14"/>
      <c r="Z17" s="14"/>
      <c r="AA17" s="14"/>
    </row>
    <row r="18" ht="15.0" customHeight="1">
      <c r="A18" s="852"/>
      <c r="B18" s="38"/>
      <c r="C18" s="38"/>
      <c r="D18" s="861" t="s">
        <v>1557</v>
      </c>
      <c r="E18" s="37"/>
      <c r="F18" s="37"/>
      <c r="G18" s="37"/>
      <c r="H18" s="37"/>
      <c r="I18" s="37"/>
      <c r="J18" s="37"/>
      <c r="K18" s="37"/>
      <c r="L18" s="38"/>
      <c r="M18" s="14"/>
      <c r="N18" s="14"/>
      <c r="O18" s="14"/>
      <c r="P18" s="14"/>
      <c r="Q18" s="14"/>
      <c r="R18" s="14"/>
      <c r="S18" s="14"/>
      <c r="T18" s="14"/>
      <c r="U18" s="14"/>
      <c r="V18" s="14"/>
      <c r="W18" s="14"/>
      <c r="X18" s="14"/>
      <c r="Y18" s="14"/>
      <c r="Z18" s="14"/>
      <c r="AA18" s="14"/>
    </row>
    <row r="19">
      <c r="A19" s="852"/>
      <c r="B19" s="856">
        <v>3.5</v>
      </c>
      <c r="C19" s="857">
        <v>42050.0</v>
      </c>
      <c r="D19" s="859" t="s">
        <v>1558</v>
      </c>
      <c r="L19" s="144"/>
      <c r="M19" s="14"/>
      <c r="N19" s="14"/>
      <c r="O19" s="14"/>
      <c r="P19" s="14"/>
      <c r="Q19" s="14"/>
      <c r="R19" s="14"/>
      <c r="S19" s="14"/>
      <c r="T19" s="14"/>
      <c r="U19" s="14"/>
      <c r="V19" s="14"/>
      <c r="W19" s="14"/>
      <c r="X19" s="14"/>
      <c r="Y19" s="14"/>
      <c r="Z19" s="14"/>
      <c r="AA19" s="14"/>
    </row>
    <row r="20" ht="31.5" customHeight="1">
      <c r="A20" s="852"/>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52"/>
      <c r="B21" s="856">
        <v>3.6</v>
      </c>
      <c r="C21" s="857">
        <v>42054.0</v>
      </c>
      <c r="D21" s="859" t="s">
        <v>1559</v>
      </c>
      <c r="L21" s="144"/>
      <c r="M21" s="14"/>
      <c r="N21" s="14"/>
      <c r="O21" s="14"/>
      <c r="P21" s="14"/>
      <c r="Q21" s="14"/>
      <c r="R21" s="14"/>
      <c r="S21" s="14"/>
      <c r="T21" s="14"/>
      <c r="U21" s="14"/>
      <c r="V21" s="14"/>
      <c r="W21" s="14"/>
      <c r="X21" s="14"/>
      <c r="Y21" s="14"/>
      <c r="Z21" s="14"/>
      <c r="AA21" s="14"/>
    </row>
    <row r="22">
      <c r="A22" s="852"/>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52"/>
      <c r="B23" s="856">
        <v>3.7</v>
      </c>
      <c r="C23" s="857">
        <v>42064.0</v>
      </c>
      <c r="D23" s="859" t="s">
        <v>1560</v>
      </c>
      <c r="L23" s="144"/>
      <c r="M23" s="14"/>
      <c r="N23" s="14"/>
      <c r="O23" s="14"/>
      <c r="P23" s="14"/>
      <c r="Q23" s="14"/>
      <c r="R23" s="14"/>
      <c r="S23" s="14"/>
      <c r="T23" s="14"/>
      <c r="U23" s="14"/>
      <c r="V23" s="14"/>
      <c r="W23" s="14"/>
      <c r="X23" s="14"/>
      <c r="Y23" s="14"/>
      <c r="Z23" s="14"/>
      <c r="AA23" s="14"/>
    </row>
    <row r="24">
      <c r="A24" s="852"/>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52"/>
      <c r="B25" s="856">
        <v>3.8</v>
      </c>
      <c r="C25" s="857">
        <v>42079.0</v>
      </c>
      <c r="D25" s="859" t="s">
        <v>1561</v>
      </c>
      <c r="L25" s="144"/>
      <c r="M25" s="14"/>
      <c r="N25" s="14"/>
      <c r="O25" s="14"/>
      <c r="P25" s="14"/>
      <c r="Q25" s="14"/>
      <c r="R25" s="14"/>
      <c r="S25" s="14"/>
      <c r="T25" s="14"/>
      <c r="U25" s="14"/>
      <c r="V25" s="14"/>
      <c r="W25" s="14"/>
      <c r="X25" s="14"/>
      <c r="Y25" s="14"/>
      <c r="Z25" s="14"/>
      <c r="AA25" s="14"/>
    </row>
    <row r="26" ht="20.25" customHeight="1">
      <c r="A26" s="852"/>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52"/>
      <c r="B27" s="856">
        <v>3.9</v>
      </c>
      <c r="C27" s="862">
        <v>42081.0</v>
      </c>
      <c r="D27" s="859" t="s">
        <v>1562</v>
      </c>
      <c r="L27" s="144"/>
      <c r="M27" s="14"/>
      <c r="N27" s="14"/>
      <c r="O27" s="14"/>
      <c r="P27" s="14"/>
      <c r="Q27" s="14"/>
      <c r="R27" s="14"/>
      <c r="S27" s="14"/>
      <c r="T27" s="14"/>
      <c r="U27" s="14"/>
      <c r="V27" s="14"/>
      <c r="W27" s="14"/>
      <c r="X27" s="14"/>
      <c r="Y27" s="14"/>
      <c r="Z27" s="14"/>
      <c r="AA27" s="14"/>
    </row>
    <row r="28" ht="46.5" customHeight="1">
      <c r="A28" s="852"/>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52"/>
      <c r="B29" s="863">
        <v>3.95</v>
      </c>
      <c r="C29" s="857">
        <v>42088.0</v>
      </c>
      <c r="D29" s="859" t="s">
        <v>1563</v>
      </c>
      <c r="L29" s="144"/>
      <c r="M29" s="14"/>
      <c r="N29" s="14"/>
      <c r="O29" s="14"/>
      <c r="P29" s="14"/>
      <c r="Q29" s="14"/>
      <c r="R29" s="14"/>
      <c r="S29" s="14"/>
      <c r="T29" s="14"/>
      <c r="U29" s="14"/>
      <c r="V29" s="14"/>
      <c r="W29" s="14"/>
      <c r="X29" s="14"/>
      <c r="Y29" s="14"/>
      <c r="Z29" s="14"/>
      <c r="AA29" s="14"/>
    </row>
    <row r="30" ht="22.5" customHeight="1">
      <c r="A30" s="852"/>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52"/>
      <c r="B31" s="863">
        <v>4.0</v>
      </c>
      <c r="C31" s="857">
        <v>42093.0</v>
      </c>
      <c r="D31" s="859" t="s">
        <v>1564</v>
      </c>
      <c r="L31" s="144"/>
      <c r="M31" s="14"/>
      <c r="N31" s="14"/>
      <c r="O31" s="14"/>
      <c r="P31" s="14"/>
      <c r="Q31" s="14"/>
      <c r="R31" s="14"/>
      <c r="S31" s="14"/>
      <c r="T31" s="14"/>
      <c r="U31" s="14"/>
      <c r="V31" s="14"/>
      <c r="W31" s="14"/>
      <c r="X31" s="14"/>
      <c r="Y31" s="14"/>
      <c r="Z31" s="14"/>
      <c r="AA31" s="14"/>
    </row>
    <row r="32" ht="21.75" customHeight="1">
      <c r="A32" s="852"/>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52"/>
      <c r="B33" s="863">
        <v>4.05</v>
      </c>
      <c r="C33" s="857">
        <v>3694519.0</v>
      </c>
      <c r="D33" s="859" t="s">
        <v>1565</v>
      </c>
      <c r="L33" s="144"/>
      <c r="M33" s="14"/>
      <c r="N33" s="14"/>
      <c r="O33" s="14"/>
      <c r="P33" s="14"/>
      <c r="Q33" s="14"/>
      <c r="R33" s="14"/>
      <c r="S33" s="14"/>
      <c r="T33" s="14"/>
      <c r="U33" s="14"/>
      <c r="V33" s="14"/>
      <c r="W33" s="14"/>
      <c r="X33" s="14"/>
      <c r="Y33" s="14"/>
      <c r="Z33" s="14"/>
      <c r="AA33" s="14"/>
    </row>
    <row r="34">
      <c r="A34" s="852"/>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52"/>
      <c r="B35" s="863">
        <v>4.1</v>
      </c>
      <c r="C35" s="857">
        <v>42107.0</v>
      </c>
      <c r="D35" s="859" t="s">
        <v>1566</v>
      </c>
      <c r="L35" s="144"/>
      <c r="M35" s="14"/>
      <c r="N35" s="14"/>
      <c r="O35" s="14"/>
      <c r="P35" s="14"/>
      <c r="Q35" s="14"/>
      <c r="R35" s="14"/>
      <c r="S35" s="14"/>
      <c r="T35" s="14"/>
      <c r="U35" s="14"/>
      <c r="V35" s="14"/>
      <c r="W35" s="14"/>
      <c r="X35" s="14"/>
      <c r="Y35" s="14"/>
      <c r="Z35" s="14"/>
      <c r="AA35" s="14"/>
    </row>
    <row r="36" ht="24.0" customHeight="1">
      <c r="A36" s="852"/>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52"/>
      <c r="B37" s="863">
        <v>4.2</v>
      </c>
      <c r="C37" s="857">
        <v>42113.0</v>
      </c>
      <c r="D37" s="859" t="s">
        <v>1567</v>
      </c>
      <c r="L37" s="144"/>
      <c r="M37" s="14"/>
      <c r="N37" s="14"/>
      <c r="O37" s="14"/>
      <c r="P37" s="14"/>
      <c r="Q37" s="14"/>
      <c r="R37" s="14"/>
      <c r="S37" s="14"/>
      <c r="T37" s="14"/>
      <c r="U37" s="14"/>
      <c r="V37" s="14"/>
      <c r="W37" s="14"/>
      <c r="X37" s="14"/>
      <c r="Y37" s="14"/>
      <c r="Z37" s="14"/>
      <c r="AA37" s="14"/>
    </row>
    <row r="38">
      <c r="A38" s="852"/>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52"/>
      <c r="B39" s="863">
        <v>4.3</v>
      </c>
      <c r="C39" s="857">
        <v>42127.0</v>
      </c>
      <c r="D39" s="859" t="s">
        <v>1568</v>
      </c>
      <c r="L39" s="144"/>
      <c r="M39" s="14"/>
      <c r="N39" s="14"/>
      <c r="O39" s="14"/>
      <c r="P39" s="14"/>
      <c r="Q39" s="14"/>
      <c r="R39" s="14"/>
      <c r="S39" s="14"/>
      <c r="T39" s="14"/>
      <c r="U39" s="14"/>
      <c r="V39" s="14"/>
      <c r="W39" s="14"/>
      <c r="X39" s="14"/>
      <c r="Y39" s="14"/>
      <c r="Z39" s="14"/>
      <c r="AA39" s="14"/>
    </row>
    <row r="40" ht="22.5" customHeight="1">
      <c r="A40" s="852"/>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52"/>
      <c r="B41" s="864">
        <v>5.0</v>
      </c>
      <c r="C41" s="857">
        <v>42231.0</v>
      </c>
      <c r="D41" s="865" t="s">
        <v>1569</v>
      </c>
      <c r="E41" s="26"/>
      <c r="F41" s="26"/>
      <c r="G41" s="26"/>
      <c r="H41" s="26"/>
      <c r="I41" s="26"/>
      <c r="J41" s="26"/>
      <c r="K41" s="26"/>
      <c r="L41" s="28"/>
      <c r="M41" s="14"/>
      <c r="N41" s="14"/>
      <c r="O41" s="14"/>
      <c r="P41" s="14"/>
      <c r="Q41" s="14"/>
      <c r="R41" s="14"/>
      <c r="S41" s="14"/>
      <c r="T41" s="14"/>
      <c r="U41" s="14"/>
      <c r="V41" s="14"/>
      <c r="W41" s="14"/>
      <c r="X41" s="14"/>
      <c r="Y41" s="14"/>
      <c r="Z41" s="14"/>
      <c r="AA41" s="14"/>
    </row>
    <row r="42">
      <c r="A42" s="852"/>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52"/>
      <c r="B43" s="864">
        <v>5.1</v>
      </c>
      <c r="C43" s="857">
        <v>42231.0</v>
      </c>
      <c r="D43" s="865" t="s">
        <v>1570</v>
      </c>
      <c r="E43" s="26"/>
      <c r="F43" s="26"/>
      <c r="G43" s="26"/>
      <c r="H43" s="26"/>
      <c r="I43" s="26"/>
      <c r="J43" s="26"/>
      <c r="K43" s="26"/>
      <c r="L43" s="28"/>
      <c r="M43" s="14"/>
      <c r="N43" s="14"/>
      <c r="O43" s="14"/>
      <c r="P43" s="14"/>
      <c r="Q43" s="14"/>
      <c r="R43" s="14"/>
      <c r="S43" s="14"/>
      <c r="T43" s="14"/>
      <c r="U43" s="14"/>
      <c r="V43" s="14"/>
      <c r="W43" s="14"/>
      <c r="X43" s="14"/>
      <c r="Y43" s="14"/>
      <c r="Z43" s="14"/>
      <c r="AA43" s="14"/>
    </row>
    <row r="44">
      <c r="A44" s="852"/>
      <c r="B44" s="38"/>
      <c r="C44" s="38"/>
      <c r="D44" s="253"/>
      <c r="L44" s="144"/>
      <c r="M44" s="14"/>
      <c r="N44" s="14"/>
      <c r="O44" s="14"/>
      <c r="P44" s="14"/>
      <c r="Q44" s="14"/>
      <c r="R44" s="14"/>
      <c r="S44" s="14"/>
      <c r="T44" s="14"/>
      <c r="U44" s="14"/>
      <c r="V44" s="14"/>
      <c r="W44" s="14"/>
      <c r="X44" s="14"/>
      <c r="Y44" s="14"/>
      <c r="Z44" s="14"/>
      <c r="AA44" s="14"/>
    </row>
    <row r="45">
      <c r="A45" s="852"/>
      <c r="B45" s="864">
        <v>5.2</v>
      </c>
      <c r="C45" s="857">
        <v>42235.0</v>
      </c>
      <c r="D45" s="865" t="s">
        <v>1571</v>
      </c>
      <c r="E45" s="26"/>
      <c r="F45" s="26"/>
      <c r="G45" s="26"/>
      <c r="H45" s="26"/>
      <c r="I45" s="26"/>
      <c r="J45" s="26"/>
      <c r="K45" s="26"/>
      <c r="L45" s="28"/>
      <c r="M45" s="14"/>
      <c r="N45" s="14"/>
      <c r="O45" s="14"/>
      <c r="P45" s="14"/>
      <c r="Q45" s="14"/>
      <c r="R45" s="14"/>
      <c r="S45" s="14"/>
      <c r="T45" s="14"/>
      <c r="U45" s="14"/>
      <c r="V45" s="14"/>
      <c r="W45" s="14"/>
      <c r="X45" s="14"/>
      <c r="Y45" s="14"/>
      <c r="Z45" s="14"/>
      <c r="AA45" s="14"/>
    </row>
    <row r="46">
      <c r="A46" s="852"/>
      <c r="B46" s="38"/>
      <c r="C46" s="38"/>
      <c r="D46" s="253"/>
      <c r="L46" s="144"/>
      <c r="M46" s="14"/>
      <c r="N46" s="14"/>
      <c r="O46" s="14"/>
      <c r="P46" s="14"/>
      <c r="Q46" s="14"/>
      <c r="R46" s="14"/>
      <c r="S46" s="14"/>
      <c r="T46" s="14"/>
      <c r="U46" s="14"/>
      <c r="V46" s="14"/>
      <c r="W46" s="14"/>
      <c r="X46" s="14"/>
      <c r="Y46" s="14"/>
      <c r="Z46" s="14"/>
      <c r="AA46" s="14"/>
    </row>
    <row r="47">
      <c r="A47" s="852"/>
      <c r="B47" s="864">
        <v>5.25</v>
      </c>
      <c r="C47" s="857">
        <v>42236.0</v>
      </c>
      <c r="D47" s="865" t="s">
        <v>1572</v>
      </c>
      <c r="E47" s="26"/>
      <c r="F47" s="26"/>
      <c r="G47" s="26"/>
      <c r="H47" s="26"/>
      <c r="I47" s="26"/>
      <c r="J47" s="26"/>
      <c r="K47" s="26"/>
      <c r="L47" s="28"/>
      <c r="M47" s="14"/>
      <c r="N47" s="14"/>
      <c r="O47" s="14"/>
      <c r="P47" s="14"/>
      <c r="Q47" s="14"/>
      <c r="R47" s="14"/>
      <c r="S47" s="14"/>
      <c r="T47" s="14"/>
      <c r="U47" s="14"/>
      <c r="V47" s="14"/>
      <c r="W47" s="14"/>
      <c r="X47" s="14"/>
      <c r="Y47" s="14"/>
      <c r="Z47" s="14"/>
      <c r="AA47" s="14"/>
    </row>
    <row r="48">
      <c r="A48" s="852"/>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52"/>
      <c r="B49" s="864">
        <v>5.3</v>
      </c>
      <c r="C49" s="857">
        <v>42237.0</v>
      </c>
      <c r="D49" s="865" t="s">
        <v>1573</v>
      </c>
      <c r="E49" s="26"/>
      <c r="F49" s="26"/>
      <c r="G49" s="26"/>
      <c r="H49" s="26"/>
      <c r="I49" s="26"/>
      <c r="J49" s="26"/>
      <c r="K49" s="26"/>
      <c r="L49" s="28"/>
      <c r="M49" s="14"/>
      <c r="N49" s="14"/>
      <c r="O49" s="14"/>
      <c r="P49" s="14"/>
      <c r="Q49" s="14"/>
      <c r="R49" s="14"/>
      <c r="S49" s="14"/>
      <c r="T49" s="14"/>
      <c r="U49" s="14"/>
      <c r="V49" s="14"/>
      <c r="W49" s="14"/>
      <c r="X49" s="14"/>
      <c r="Y49" s="14"/>
      <c r="Z49" s="14"/>
      <c r="AA49" s="14"/>
    </row>
    <row r="50">
      <c r="A50" s="852"/>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52"/>
      <c r="B51" s="864">
        <v>5.4</v>
      </c>
      <c r="C51" s="857">
        <v>42238.0</v>
      </c>
      <c r="D51" s="865" t="s">
        <v>1574</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52"/>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52"/>
      <c r="B53" s="864">
        <v>5.5</v>
      </c>
      <c r="C53" s="857">
        <v>42239.0</v>
      </c>
      <c r="D53" s="866"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52"/>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52"/>
      <c r="B55" s="864">
        <v>5.6</v>
      </c>
      <c r="C55" s="857">
        <v>42239.0</v>
      </c>
      <c r="D55" s="865" t="s">
        <v>1575</v>
      </c>
      <c r="E55" s="26"/>
      <c r="F55" s="26"/>
      <c r="G55" s="26"/>
      <c r="H55" s="26"/>
      <c r="I55" s="26"/>
      <c r="J55" s="26"/>
      <c r="K55" s="26"/>
      <c r="L55" s="28"/>
      <c r="M55" s="14"/>
      <c r="N55" s="14"/>
      <c r="O55" s="14"/>
      <c r="P55" s="14"/>
      <c r="Q55" s="14"/>
      <c r="R55" s="14"/>
      <c r="S55" s="14"/>
      <c r="T55" s="14"/>
      <c r="U55" s="14"/>
      <c r="V55" s="14"/>
      <c r="W55" s="14"/>
      <c r="X55" s="14"/>
      <c r="Y55" s="14"/>
      <c r="Z55" s="14"/>
      <c r="AA55" s="14"/>
    </row>
    <row r="56">
      <c r="A56" s="852"/>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52"/>
      <c r="B57" s="864">
        <v>5.61</v>
      </c>
      <c r="C57" s="857">
        <v>42239.0</v>
      </c>
      <c r="D57" s="865" t="s">
        <v>1576</v>
      </c>
      <c r="E57" s="26"/>
      <c r="F57" s="26"/>
      <c r="G57" s="26"/>
      <c r="H57" s="26"/>
      <c r="I57" s="26"/>
      <c r="J57" s="26"/>
      <c r="K57" s="26"/>
      <c r="L57" s="28"/>
      <c r="M57" s="14"/>
      <c r="N57" s="14"/>
      <c r="O57" s="14"/>
      <c r="P57" s="14"/>
      <c r="Q57" s="14"/>
      <c r="R57" s="14"/>
      <c r="S57" s="14"/>
      <c r="T57" s="14"/>
      <c r="U57" s="14"/>
      <c r="V57" s="14"/>
      <c r="W57" s="14"/>
      <c r="X57" s="14"/>
      <c r="Y57" s="14"/>
      <c r="Z57" s="14"/>
      <c r="AA57" s="14"/>
    </row>
    <row r="58">
      <c r="A58" s="852"/>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52"/>
      <c r="B59" s="864">
        <v>5.62</v>
      </c>
      <c r="C59" s="857">
        <v>42239.0</v>
      </c>
      <c r="D59" s="865" t="s">
        <v>1577</v>
      </c>
      <c r="E59" s="26"/>
      <c r="F59" s="26"/>
      <c r="G59" s="26"/>
      <c r="H59" s="26"/>
      <c r="I59" s="26"/>
      <c r="J59" s="26"/>
      <c r="K59" s="26"/>
      <c r="L59" s="28"/>
      <c r="M59" s="14"/>
      <c r="N59" s="14"/>
      <c r="O59" s="14"/>
      <c r="P59" s="14"/>
      <c r="Q59" s="14"/>
      <c r="R59" s="14"/>
      <c r="S59" s="14"/>
      <c r="T59" s="14"/>
      <c r="U59" s="14"/>
      <c r="V59" s="14"/>
      <c r="W59" s="14"/>
      <c r="X59" s="14"/>
      <c r="Y59" s="14"/>
      <c r="Z59" s="14"/>
      <c r="AA59" s="14"/>
    </row>
    <row r="60">
      <c r="A60" s="852"/>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52"/>
      <c r="B61" s="864">
        <v>5.63</v>
      </c>
      <c r="C61" s="857">
        <v>42240.0</v>
      </c>
      <c r="D61" s="865" t="s">
        <v>1578</v>
      </c>
      <c r="E61" s="26"/>
      <c r="F61" s="26"/>
      <c r="G61" s="26"/>
      <c r="H61" s="26"/>
      <c r="I61" s="26"/>
      <c r="J61" s="26"/>
      <c r="K61" s="26"/>
      <c r="L61" s="28"/>
      <c r="M61" s="14"/>
      <c r="N61" s="14"/>
      <c r="O61" s="14"/>
      <c r="P61" s="14"/>
      <c r="Q61" s="14"/>
      <c r="R61" s="14"/>
      <c r="S61" s="14"/>
      <c r="T61" s="14"/>
      <c r="U61" s="14"/>
      <c r="V61" s="14"/>
      <c r="W61" s="14"/>
      <c r="X61" s="14"/>
      <c r="Y61" s="14"/>
      <c r="Z61" s="14"/>
      <c r="AA61" s="14"/>
    </row>
    <row r="62">
      <c r="A62" s="852"/>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52"/>
      <c r="B63" s="867" t="s">
        <v>1579</v>
      </c>
      <c r="C63" s="857">
        <v>42241.0</v>
      </c>
      <c r="D63" s="865" t="s">
        <v>1580</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52"/>
      <c r="B64" s="38"/>
      <c r="C64" s="38"/>
      <c r="D64" s="253"/>
      <c r="M64" s="14"/>
      <c r="N64" s="14"/>
      <c r="O64" s="14"/>
      <c r="P64" s="14"/>
      <c r="Q64" s="14"/>
      <c r="R64" s="14"/>
      <c r="S64" s="14"/>
      <c r="T64" s="14"/>
      <c r="U64" s="14"/>
      <c r="V64" s="14"/>
      <c r="W64" s="14"/>
      <c r="X64" s="14"/>
      <c r="Y64" s="14"/>
      <c r="Z64" s="14"/>
      <c r="AA64" s="14"/>
    </row>
    <row r="65">
      <c r="A65" s="852"/>
      <c r="B65" s="852"/>
      <c r="C65" s="868"/>
      <c r="D65" s="869"/>
      <c r="E65" s="26"/>
      <c r="F65" s="26"/>
      <c r="G65" s="26"/>
      <c r="H65" s="26"/>
      <c r="I65" s="26"/>
      <c r="J65" s="26"/>
      <c r="K65" s="26"/>
      <c r="L65" s="26"/>
      <c r="M65" s="14"/>
      <c r="N65" s="14"/>
      <c r="O65" s="14"/>
      <c r="P65" s="14"/>
      <c r="Q65" s="14"/>
      <c r="R65" s="14"/>
      <c r="S65" s="14"/>
      <c r="T65" s="14"/>
      <c r="U65" s="14"/>
      <c r="V65" s="14"/>
      <c r="W65" s="14"/>
      <c r="X65" s="14"/>
      <c r="Y65" s="14"/>
      <c r="Z65" s="14"/>
      <c r="AA65" s="14"/>
    </row>
    <row r="66">
      <c r="A66" s="852"/>
      <c r="B66" s="38"/>
      <c r="C66" s="38"/>
      <c r="D66" s="253"/>
      <c r="M66" s="14"/>
      <c r="N66" s="14"/>
      <c r="O66" s="14"/>
      <c r="P66" s="14"/>
      <c r="Q66" s="14"/>
      <c r="R66" s="14"/>
      <c r="S66" s="14"/>
      <c r="T66" s="14"/>
      <c r="U66" s="14"/>
      <c r="V66" s="14"/>
      <c r="W66" s="14"/>
      <c r="X66" s="14"/>
      <c r="Y66" s="14"/>
      <c r="Z66" s="14"/>
      <c r="AA66" s="14"/>
    </row>
    <row r="67">
      <c r="A67" s="852"/>
      <c r="B67" s="852"/>
      <c r="C67" s="868"/>
      <c r="D67" s="869"/>
      <c r="E67" s="26"/>
      <c r="F67" s="26"/>
      <c r="G67" s="26"/>
      <c r="H67" s="26"/>
      <c r="I67" s="26"/>
      <c r="J67" s="26"/>
      <c r="K67" s="26"/>
      <c r="L67" s="26"/>
      <c r="M67" s="14"/>
      <c r="N67" s="14"/>
      <c r="O67" s="14"/>
      <c r="P67" s="14"/>
      <c r="Q67" s="14"/>
      <c r="R67" s="14"/>
      <c r="S67" s="14"/>
      <c r="T67" s="14"/>
      <c r="U67" s="14"/>
      <c r="V67" s="14"/>
      <c r="W67" s="14"/>
      <c r="X67" s="14"/>
      <c r="Y67" s="14"/>
      <c r="Z67" s="14"/>
      <c r="AA67" s="14"/>
    </row>
    <row r="68">
      <c r="A68" s="852"/>
      <c r="B68" s="38"/>
      <c r="C68" s="38"/>
      <c r="D68" s="253"/>
      <c r="M68" s="14"/>
      <c r="N68" s="14"/>
      <c r="O68" s="14"/>
      <c r="P68" s="14"/>
      <c r="Q68" s="14"/>
      <c r="R68" s="14"/>
      <c r="S68" s="14"/>
      <c r="T68" s="14"/>
      <c r="U68" s="14"/>
      <c r="V68" s="14"/>
      <c r="W68" s="14"/>
      <c r="X68" s="14"/>
      <c r="Y68" s="14"/>
      <c r="Z68" s="14"/>
      <c r="AA68" s="14"/>
    </row>
    <row r="69">
      <c r="A69" s="221"/>
      <c r="B69" s="221"/>
      <c r="C69" s="828"/>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28"/>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28"/>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28"/>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28"/>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28"/>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28"/>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28"/>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28"/>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28"/>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28"/>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28"/>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28"/>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28"/>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28"/>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28"/>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28"/>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28"/>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28"/>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28"/>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28"/>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28"/>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28"/>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28"/>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28"/>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28"/>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28"/>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28"/>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28"/>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28"/>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28"/>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28"/>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28"/>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28"/>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28"/>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28"/>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28"/>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28"/>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28"/>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28"/>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28"/>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28"/>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28"/>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28"/>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28"/>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28"/>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28"/>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28"/>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28"/>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28"/>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28"/>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28"/>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28"/>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28"/>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28"/>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28"/>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28"/>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28"/>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28"/>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28"/>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28"/>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28"/>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28"/>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28"/>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28"/>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28"/>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28"/>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28"/>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28"/>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28"/>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28"/>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28"/>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28"/>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28"/>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28"/>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28"/>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28"/>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28"/>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28"/>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28"/>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28"/>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28"/>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28"/>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28"/>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28"/>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28"/>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28"/>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28"/>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28"/>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28"/>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28"/>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28"/>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28"/>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28"/>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28"/>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28"/>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28"/>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28"/>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28"/>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28"/>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28"/>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28"/>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28"/>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28"/>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28"/>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28"/>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28"/>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28"/>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28"/>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28"/>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28"/>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28"/>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28"/>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28"/>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28"/>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28"/>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28"/>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28"/>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28"/>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28"/>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28"/>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28"/>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28"/>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28"/>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28"/>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28"/>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28"/>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28"/>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28"/>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28"/>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28"/>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28"/>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70"/>
      <c r="B201" s="870"/>
      <c r="C201" s="871"/>
    </row>
    <row r="202">
      <c r="A202" s="870"/>
      <c r="B202" s="870"/>
      <c r="C202" s="871"/>
    </row>
    <row r="203">
      <c r="A203" s="870"/>
      <c r="B203" s="870"/>
      <c r="C203" s="871"/>
    </row>
    <row r="204">
      <c r="A204" s="870"/>
      <c r="B204" s="870"/>
      <c r="C204" s="871"/>
    </row>
    <row r="205">
      <c r="A205" s="870"/>
      <c r="B205" s="870"/>
      <c r="C205" s="871"/>
    </row>
    <row r="206">
      <c r="A206" s="870"/>
      <c r="B206" s="870"/>
      <c r="C206" s="871"/>
    </row>
    <row r="207">
      <c r="A207" s="870"/>
      <c r="B207" s="870"/>
      <c r="C207" s="871"/>
    </row>
    <row r="208">
      <c r="A208" s="870"/>
      <c r="B208" s="870"/>
      <c r="C208" s="871"/>
    </row>
    <row r="209">
      <c r="A209" s="870"/>
      <c r="B209" s="870"/>
      <c r="C209" s="871"/>
    </row>
    <row r="210">
      <c r="A210" s="870"/>
      <c r="B210" s="870"/>
      <c r="C210" s="871"/>
    </row>
    <row r="211">
      <c r="A211" s="870"/>
      <c r="B211" s="870"/>
      <c r="C211" s="871"/>
    </row>
    <row r="212">
      <c r="A212" s="870"/>
      <c r="B212" s="870"/>
      <c r="C212" s="871"/>
    </row>
    <row r="213">
      <c r="A213" s="870"/>
      <c r="B213" s="870"/>
      <c r="C213" s="871"/>
    </row>
    <row r="214">
      <c r="A214" s="870"/>
      <c r="B214" s="870"/>
      <c r="C214" s="871"/>
    </row>
    <row r="215">
      <c r="A215" s="870"/>
      <c r="B215" s="870"/>
      <c r="C215" s="871"/>
    </row>
    <row r="216">
      <c r="A216" s="870"/>
      <c r="B216" s="870"/>
      <c r="C216" s="871"/>
    </row>
    <row r="217">
      <c r="A217" s="870"/>
      <c r="B217" s="870"/>
      <c r="C217" s="871"/>
    </row>
    <row r="218">
      <c r="A218" s="870"/>
      <c r="B218" s="870"/>
      <c r="C218" s="871"/>
    </row>
    <row r="219">
      <c r="A219" s="870"/>
      <c r="B219" s="870"/>
      <c r="C219" s="871"/>
    </row>
    <row r="220">
      <c r="A220" s="870"/>
      <c r="B220" s="870"/>
      <c r="C220" s="871"/>
    </row>
    <row r="221">
      <c r="A221" s="870"/>
      <c r="B221" s="870"/>
      <c r="C221" s="871"/>
    </row>
    <row r="222">
      <c r="A222" s="870"/>
      <c r="B222" s="870"/>
      <c r="C222" s="871"/>
    </row>
    <row r="223">
      <c r="A223" s="870"/>
      <c r="B223" s="870"/>
      <c r="C223" s="871"/>
    </row>
    <row r="224">
      <c r="A224" s="870"/>
      <c r="B224" s="870"/>
      <c r="C224" s="871"/>
    </row>
    <row r="225">
      <c r="A225" s="870"/>
      <c r="B225" s="870"/>
      <c r="C225" s="871"/>
    </row>
    <row r="226">
      <c r="A226" s="870"/>
      <c r="B226" s="870"/>
      <c r="C226" s="871"/>
    </row>
    <row r="227">
      <c r="A227" s="870"/>
      <c r="B227" s="870"/>
      <c r="C227" s="871"/>
    </row>
    <row r="228">
      <c r="A228" s="870"/>
      <c r="B228" s="870"/>
      <c r="C228" s="871"/>
    </row>
    <row r="229">
      <c r="A229" s="870"/>
      <c r="B229" s="870"/>
      <c r="C229" s="871"/>
    </row>
    <row r="230">
      <c r="A230" s="870"/>
      <c r="B230" s="870"/>
      <c r="C230" s="871"/>
    </row>
    <row r="231">
      <c r="A231" s="870"/>
      <c r="B231" s="870"/>
      <c r="C231" s="871"/>
    </row>
    <row r="232">
      <c r="A232" s="870"/>
      <c r="B232" s="870"/>
      <c r="C232" s="871"/>
    </row>
    <row r="233">
      <c r="A233" s="870"/>
      <c r="B233" s="870"/>
      <c r="C233" s="871"/>
    </row>
    <row r="234">
      <c r="A234" s="870"/>
      <c r="B234" s="870"/>
      <c r="C234" s="871"/>
    </row>
    <row r="235">
      <c r="A235" s="870"/>
      <c r="B235" s="870"/>
      <c r="C235" s="871"/>
    </row>
    <row r="236">
      <c r="A236" s="870"/>
      <c r="B236" s="870"/>
      <c r="C236" s="871"/>
    </row>
    <row r="237">
      <c r="A237" s="870"/>
      <c r="B237" s="870"/>
      <c r="C237" s="871"/>
    </row>
    <row r="238">
      <c r="A238" s="870"/>
      <c r="B238" s="870"/>
      <c r="C238" s="871"/>
    </row>
    <row r="239">
      <c r="A239" s="870"/>
      <c r="B239" s="870"/>
      <c r="C239" s="871"/>
    </row>
    <row r="240">
      <c r="A240" s="870"/>
      <c r="B240" s="870"/>
      <c r="C240" s="871"/>
    </row>
    <row r="241">
      <c r="A241" s="870"/>
      <c r="B241" s="870"/>
      <c r="C241" s="871"/>
    </row>
    <row r="242">
      <c r="A242" s="870"/>
      <c r="B242" s="870"/>
      <c r="C242" s="871"/>
    </row>
    <row r="243">
      <c r="A243" s="870"/>
      <c r="B243" s="870"/>
      <c r="C243" s="871"/>
    </row>
    <row r="244">
      <c r="A244" s="870"/>
      <c r="B244" s="870"/>
      <c r="C244" s="871"/>
    </row>
    <row r="245">
      <c r="A245" s="870"/>
      <c r="B245" s="870"/>
      <c r="C245" s="871"/>
    </row>
    <row r="246">
      <c r="A246" s="870"/>
      <c r="B246" s="870"/>
      <c r="C246" s="871"/>
    </row>
    <row r="247">
      <c r="A247" s="870"/>
      <c r="B247" s="870"/>
      <c r="C247" s="871"/>
    </row>
    <row r="248">
      <c r="A248" s="870"/>
      <c r="B248" s="870"/>
      <c r="C248" s="871"/>
    </row>
    <row r="249">
      <c r="A249" s="870"/>
      <c r="B249" s="870"/>
      <c r="C249" s="871"/>
    </row>
    <row r="250">
      <c r="A250" s="870"/>
      <c r="B250" s="870"/>
      <c r="C250" s="871"/>
    </row>
    <row r="251">
      <c r="A251" s="870"/>
      <c r="B251" s="870"/>
      <c r="C251" s="871"/>
    </row>
    <row r="252">
      <c r="A252" s="870"/>
      <c r="B252" s="870"/>
      <c r="C252" s="871"/>
    </row>
    <row r="253">
      <c r="A253" s="870"/>
      <c r="B253" s="870"/>
      <c r="C253" s="871"/>
    </row>
    <row r="254">
      <c r="A254" s="870"/>
      <c r="B254" s="870"/>
      <c r="C254" s="871"/>
    </row>
    <row r="255">
      <c r="A255" s="870"/>
      <c r="B255" s="870"/>
      <c r="C255" s="871"/>
    </row>
    <row r="256">
      <c r="A256" s="870"/>
      <c r="B256" s="870"/>
      <c r="C256" s="871"/>
    </row>
    <row r="257">
      <c r="A257" s="870"/>
      <c r="B257" s="870"/>
      <c r="C257" s="871"/>
    </row>
    <row r="258">
      <c r="A258" s="870"/>
      <c r="B258" s="870"/>
      <c r="C258" s="871"/>
    </row>
    <row r="259">
      <c r="A259" s="870"/>
      <c r="B259" s="870"/>
      <c r="C259" s="871"/>
    </row>
    <row r="260">
      <c r="A260" s="870"/>
      <c r="B260" s="870"/>
      <c r="C260" s="871"/>
    </row>
    <row r="261">
      <c r="A261" s="870"/>
      <c r="B261" s="870"/>
      <c r="C261" s="871"/>
    </row>
    <row r="262">
      <c r="A262" s="870"/>
      <c r="B262" s="870"/>
      <c r="C262" s="871"/>
    </row>
    <row r="263">
      <c r="A263" s="870"/>
      <c r="B263" s="870"/>
      <c r="C263" s="871"/>
    </row>
    <row r="264">
      <c r="A264" s="870"/>
      <c r="B264" s="870"/>
      <c r="C264" s="871"/>
    </row>
    <row r="265">
      <c r="A265" s="870"/>
      <c r="B265" s="870"/>
      <c r="C265" s="871"/>
    </row>
    <row r="266">
      <c r="A266" s="870"/>
      <c r="B266" s="870"/>
      <c r="C266" s="871"/>
    </row>
    <row r="267">
      <c r="A267" s="870"/>
      <c r="B267" s="870"/>
      <c r="C267" s="871"/>
    </row>
    <row r="268">
      <c r="A268" s="870"/>
      <c r="B268" s="870"/>
      <c r="C268" s="871"/>
    </row>
    <row r="269">
      <c r="A269" s="870"/>
      <c r="B269" s="870"/>
      <c r="C269" s="871"/>
    </row>
    <row r="270">
      <c r="A270" s="870"/>
      <c r="B270" s="870"/>
      <c r="C270" s="871"/>
    </row>
    <row r="271">
      <c r="A271" s="870"/>
      <c r="B271" s="870"/>
      <c r="C271" s="871"/>
    </row>
    <row r="272">
      <c r="A272" s="870"/>
      <c r="B272" s="870"/>
      <c r="C272" s="871"/>
    </row>
    <row r="273">
      <c r="A273" s="870"/>
      <c r="B273" s="870"/>
      <c r="C273" s="871"/>
    </row>
    <row r="274">
      <c r="A274" s="870"/>
      <c r="B274" s="870"/>
      <c r="C274" s="871"/>
    </row>
    <row r="275">
      <c r="A275" s="870"/>
      <c r="B275" s="870"/>
      <c r="C275" s="871"/>
    </row>
    <row r="276">
      <c r="A276" s="870"/>
      <c r="B276" s="870"/>
      <c r="C276" s="871"/>
    </row>
    <row r="277">
      <c r="A277" s="870"/>
      <c r="B277" s="870"/>
      <c r="C277" s="871"/>
    </row>
    <row r="278">
      <c r="A278" s="870"/>
      <c r="B278" s="870"/>
      <c r="C278" s="871"/>
    </row>
    <row r="279">
      <c r="A279" s="870"/>
      <c r="B279" s="870"/>
      <c r="C279" s="871"/>
    </row>
    <row r="280">
      <c r="A280" s="870"/>
      <c r="B280" s="870"/>
      <c r="C280" s="871"/>
    </row>
    <row r="281">
      <c r="A281" s="870"/>
      <c r="B281" s="870"/>
      <c r="C281" s="871"/>
    </row>
    <row r="282">
      <c r="A282" s="870"/>
      <c r="B282" s="870"/>
      <c r="C282" s="871"/>
    </row>
    <row r="283">
      <c r="A283" s="870"/>
      <c r="B283" s="870"/>
      <c r="C283" s="871"/>
    </row>
    <row r="284">
      <c r="A284" s="870"/>
      <c r="B284" s="870"/>
      <c r="C284" s="871"/>
    </row>
    <row r="285">
      <c r="A285" s="870"/>
      <c r="B285" s="870"/>
      <c r="C285" s="871"/>
    </row>
    <row r="286">
      <c r="A286" s="870"/>
      <c r="B286" s="870"/>
      <c r="C286" s="871"/>
    </row>
    <row r="287">
      <c r="A287" s="870"/>
      <c r="B287" s="870"/>
      <c r="C287" s="871"/>
    </row>
    <row r="288">
      <c r="A288" s="870"/>
      <c r="B288" s="870"/>
      <c r="C288" s="871"/>
    </row>
    <row r="289">
      <c r="A289" s="870"/>
      <c r="B289" s="870"/>
      <c r="C289" s="871"/>
    </row>
    <row r="290">
      <c r="A290" s="870"/>
      <c r="B290" s="870"/>
      <c r="C290" s="871"/>
    </row>
    <row r="291">
      <c r="A291" s="870"/>
      <c r="B291" s="870"/>
      <c r="C291" s="871"/>
    </row>
    <row r="292">
      <c r="A292" s="870"/>
      <c r="B292" s="870"/>
      <c r="C292" s="871"/>
    </row>
    <row r="293">
      <c r="A293" s="870"/>
      <c r="B293" s="870"/>
      <c r="C293" s="871"/>
    </row>
    <row r="294">
      <c r="A294" s="870"/>
      <c r="B294" s="870"/>
      <c r="C294" s="871"/>
    </row>
    <row r="295">
      <c r="A295" s="870"/>
      <c r="B295" s="870"/>
      <c r="C295" s="871"/>
    </row>
    <row r="296">
      <c r="A296" s="870"/>
      <c r="B296" s="870"/>
      <c r="C296" s="871"/>
    </row>
    <row r="297">
      <c r="A297" s="870"/>
      <c r="B297" s="870"/>
      <c r="C297" s="871"/>
    </row>
    <row r="298">
      <c r="A298" s="870"/>
      <c r="B298" s="870"/>
      <c r="C298" s="871"/>
    </row>
    <row r="299">
      <c r="A299" s="870"/>
      <c r="B299" s="870"/>
      <c r="C299" s="871"/>
    </row>
    <row r="300">
      <c r="A300" s="870"/>
      <c r="B300" s="870"/>
      <c r="C300" s="871"/>
    </row>
    <row r="301">
      <c r="A301" s="870"/>
      <c r="B301" s="870"/>
      <c r="C301" s="871"/>
    </row>
    <row r="302">
      <c r="A302" s="870"/>
      <c r="B302" s="870"/>
      <c r="C302" s="871"/>
    </row>
    <row r="303">
      <c r="A303" s="870"/>
      <c r="B303" s="870"/>
      <c r="C303" s="871"/>
    </row>
    <row r="304">
      <c r="A304" s="870"/>
      <c r="B304" s="870"/>
      <c r="C304" s="871"/>
    </row>
    <row r="305">
      <c r="A305" s="870"/>
      <c r="B305" s="870"/>
      <c r="C305" s="871"/>
    </row>
    <row r="306">
      <c r="A306" s="870"/>
      <c r="B306" s="870"/>
      <c r="C306" s="871"/>
    </row>
    <row r="307">
      <c r="A307" s="870"/>
      <c r="B307" s="870"/>
      <c r="C307" s="871"/>
    </row>
    <row r="308">
      <c r="A308" s="870"/>
      <c r="B308" s="870"/>
      <c r="C308" s="871"/>
    </row>
    <row r="309">
      <c r="A309" s="870"/>
      <c r="B309" s="870"/>
      <c r="C309" s="871"/>
    </row>
    <row r="310">
      <c r="A310" s="870"/>
      <c r="B310" s="870"/>
      <c r="C310" s="871"/>
    </row>
    <row r="311">
      <c r="A311" s="870"/>
      <c r="B311" s="870"/>
      <c r="C311" s="871"/>
    </row>
    <row r="312">
      <c r="A312" s="870"/>
      <c r="B312" s="870"/>
      <c r="C312" s="871"/>
    </row>
    <row r="313">
      <c r="A313" s="870"/>
      <c r="B313" s="870"/>
      <c r="C313" s="871"/>
    </row>
    <row r="314">
      <c r="A314" s="870"/>
      <c r="B314" s="870"/>
      <c r="C314" s="871"/>
    </row>
    <row r="315">
      <c r="A315" s="870"/>
      <c r="B315" s="870"/>
      <c r="C315" s="871"/>
    </row>
    <row r="316">
      <c r="A316" s="870"/>
      <c r="B316" s="870"/>
      <c r="C316" s="871"/>
    </row>
    <row r="317">
      <c r="A317" s="870"/>
      <c r="B317" s="870"/>
      <c r="C317" s="871"/>
    </row>
    <row r="318">
      <c r="A318" s="870"/>
      <c r="B318" s="870"/>
      <c r="C318" s="871"/>
    </row>
    <row r="319">
      <c r="A319" s="870"/>
      <c r="B319" s="870"/>
      <c r="C319" s="871"/>
    </row>
    <row r="320">
      <c r="A320" s="870"/>
      <c r="B320" s="870"/>
      <c r="C320" s="871"/>
    </row>
    <row r="321">
      <c r="A321" s="870"/>
      <c r="B321" s="870"/>
      <c r="C321" s="871"/>
    </row>
    <row r="322">
      <c r="A322" s="870"/>
      <c r="B322" s="870"/>
      <c r="C322" s="871"/>
    </row>
    <row r="323">
      <c r="A323" s="870"/>
      <c r="B323" s="870"/>
      <c r="C323" s="871"/>
    </row>
    <row r="324">
      <c r="A324" s="870"/>
      <c r="B324" s="870"/>
      <c r="C324" s="871"/>
    </row>
    <row r="325">
      <c r="A325" s="870"/>
      <c r="B325" s="870"/>
      <c r="C325" s="871"/>
    </row>
    <row r="326">
      <c r="A326" s="870"/>
      <c r="B326" s="870"/>
      <c r="C326" s="871"/>
    </row>
    <row r="327">
      <c r="A327" s="870"/>
      <c r="B327" s="870"/>
      <c r="C327" s="871"/>
    </row>
    <row r="328">
      <c r="A328" s="870"/>
      <c r="B328" s="870"/>
      <c r="C328" s="871"/>
    </row>
    <row r="329">
      <c r="A329" s="870"/>
      <c r="B329" s="870"/>
      <c r="C329" s="871"/>
    </row>
    <row r="330">
      <c r="A330" s="870"/>
      <c r="B330" s="870"/>
      <c r="C330" s="871"/>
    </row>
    <row r="331">
      <c r="A331" s="870"/>
      <c r="B331" s="870"/>
      <c r="C331" s="871"/>
    </row>
    <row r="332">
      <c r="A332" s="870"/>
      <c r="B332" s="870"/>
      <c r="C332" s="871"/>
    </row>
    <row r="333">
      <c r="A333" s="870"/>
      <c r="B333" s="870"/>
      <c r="C333" s="871"/>
    </row>
    <row r="334">
      <c r="A334" s="870"/>
      <c r="B334" s="870"/>
      <c r="C334" s="871"/>
    </row>
    <row r="335">
      <c r="A335" s="870"/>
      <c r="B335" s="870"/>
      <c r="C335" s="871"/>
    </row>
    <row r="336">
      <c r="A336" s="870"/>
      <c r="B336" s="870"/>
      <c r="C336" s="871"/>
    </row>
    <row r="337">
      <c r="A337" s="870"/>
      <c r="B337" s="870"/>
      <c r="C337" s="871"/>
    </row>
    <row r="338">
      <c r="A338" s="870"/>
      <c r="B338" s="870"/>
      <c r="C338" s="871"/>
    </row>
    <row r="339">
      <c r="A339" s="870"/>
      <c r="B339" s="870"/>
      <c r="C339" s="871"/>
    </row>
    <row r="340">
      <c r="A340" s="870"/>
      <c r="B340" s="870"/>
      <c r="C340" s="871"/>
    </row>
    <row r="341">
      <c r="A341" s="870"/>
      <c r="B341" s="870"/>
      <c r="C341" s="871"/>
    </row>
    <row r="342">
      <c r="A342" s="870"/>
      <c r="B342" s="870"/>
      <c r="C342" s="871"/>
    </row>
    <row r="343">
      <c r="A343" s="870"/>
      <c r="B343" s="870"/>
      <c r="C343" s="871"/>
    </row>
    <row r="344">
      <c r="A344" s="870"/>
      <c r="B344" s="870"/>
      <c r="C344" s="871"/>
    </row>
    <row r="345">
      <c r="A345" s="870"/>
      <c r="B345" s="870"/>
      <c r="C345" s="871"/>
    </row>
    <row r="346">
      <c r="A346" s="870"/>
      <c r="B346" s="870"/>
      <c r="C346" s="871"/>
    </row>
    <row r="347">
      <c r="A347" s="870"/>
      <c r="B347" s="870"/>
      <c r="C347" s="871"/>
    </row>
    <row r="348">
      <c r="A348" s="870"/>
      <c r="B348" s="870"/>
      <c r="C348" s="871"/>
    </row>
    <row r="349">
      <c r="A349" s="870"/>
      <c r="B349" s="870"/>
      <c r="C349" s="871"/>
    </row>
    <row r="350">
      <c r="A350" s="870"/>
      <c r="B350" s="870"/>
      <c r="C350" s="871"/>
    </row>
    <row r="351">
      <c r="A351" s="870"/>
      <c r="B351" s="870"/>
      <c r="C351" s="871"/>
    </row>
    <row r="352">
      <c r="A352" s="870"/>
      <c r="B352" s="870"/>
      <c r="C352" s="871"/>
    </row>
    <row r="353">
      <c r="A353" s="870"/>
      <c r="B353" s="870"/>
      <c r="C353" s="871"/>
    </row>
    <row r="354">
      <c r="A354" s="870"/>
      <c r="B354" s="870"/>
      <c r="C354" s="871"/>
    </row>
    <row r="355">
      <c r="A355" s="870"/>
      <c r="B355" s="870"/>
      <c r="C355" s="871"/>
    </row>
    <row r="356">
      <c r="A356" s="870"/>
      <c r="B356" s="870"/>
      <c r="C356" s="871"/>
    </row>
    <row r="357">
      <c r="A357" s="870"/>
      <c r="B357" s="870"/>
      <c r="C357" s="871"/>
    </row>
    <row r="358">
      <c r="A358" s="870"/>
      <c r="B358" s="870"/>
      <c r="C358" s="871"/>
    </row>
    <row r="359">
      <c r="A359" s="870"/>
      <c r="B359" s="870"/>
      <c r="C359" s="871"/>
    </row>
    <row r="360">
      <c r="A360" s="870"/>
      <c r="B360" s="870"/>
      <c r="C360" s="871"/>
    </row>
    <row r="361">
      <c r="A361" s="870"/>
      <c r="B361" s="870"/>
      <c r="C361" s="871"/>
    </row>
    <row r="362">
      <c r="A362" s="870"/>
      <c r="B362" s="870"/>
      <c r="C362" s="871"/>
    </row>
    <row r="363">
      <c r="A363" s="870"/>
      <c r="B363" s="870"/>
      <c r="C363" s="871"/>
    </row>
    <row r="364">
      <c r="A364" s="870"/>
      <c r="B364" s="870"/>
      <c r="C364" s="871"/>
    </row>
    <row r="365">
      <c r="A365" s="870"/>
      <c r="B365" s="870"/>
      <c r="C365" s="871"/>
    </row>
    <row r="366">
      <c r="A366" s="870"/>
      <c r="B366" s="870"/>
      <c r="C366" s="871"/>
    </row>
    <row r="367">
      <c r="A367" s="870"/>
      <c r="B367" s="870"/>
      <c r="C367" s="871"/>
    </row>
    <row r="368">
      <c r="A368" s="870"/>
      <c r="B368" s="870"/>
      <c r="C368" s="871"/>
    </row>
    <row r="369">
      <c r="A369" s="870"/>
      <c r="B369" s="870"/>
      <c r="C369" s="871"/>
    </row>
    <row r="370">
      <c r="A370" s="870"/>
      <c r="B370" s="870"/>
      <c r="C370" s="871"/>
    </row>
    <row r="371">
      <c r="A371" s="870"/>
      <c r="B371" s="870"/>
      <c r="C371" s="871"/>
    </row>
    <row r="372">
      <c r="A372" s="870"/>
      <c r="B372" s="870"/>
      <c r="C372" s="871"/>
    </row>
    <row r="373">
      <c r="A373" s="870"/>
      <c r="B373" s="870"/>
      <c r="C373" s="871"/>
    </row>
    <row r="374">
      <c r="A374" s="870"/>
      <c r="B374" s="870"/>
      <c r="C374" s="871"/>
    </row>
    <row r="375">
      <c r="A375" s="870"/>
      <c r="B375" s="870"/>
      <c r="C375" s="871"/>
    </row>
    <row r="376">
      <c r="A376" s="870"/>
      <c r="B376" s="870"/>
      <c r="C376" s="871"/>
    </row>
    <row r="377">
      <c r="A377" s="870"/>
      <c r="B377" s="870"/>
      <c r="C377" s="871"/>
    </row>
    <row r="378">
      <c r="A378" s="870"/>
      <c r="B378" s="870"/>
      <c r="C378" s="871"/>
    </row>
    <row r="379">
      <c r="A379" s="870"/>
      <c r="B379" s="870"/>
      <c r="C379" s="871"/>
    </row>
    <row r="380">
      <c r="A380" s="870"/>
      <c r="B380" s="870"/>
      <c r="C380" s="871"/>
    </row>
    <row r="381">
      <c r="A381" s="870"/>
      <c r="B381" s="870"/>
      <c r="C381" s="871"/>
    </row>
    <row r="382">
      <c r="A382" s="870"/>
      <c r="B382" s="870"/>
      <c r="C382" s="871"/>
    </row>
    <row r="383">
      <c r="A383" s="870"/>
      <c r="B383" s="870"/>
      <c r="C383" s="871"/>
    </row>
    <row r="384">
      <c r="A384" s="870"/>
      <c r="B384" s="870"/>
      <c r="C384" s="871"/>
    </row>
    <row r="385">
      <c r="A385" s="870"/>
      <c r="B385" s="870"/>
      <c r="C385" s="871"/>
    </row>
    <row r="386">
      <c r="A386" s="870"/>
      <c r="B386" s="870"/>
      <c r="C386" s="871"/>
    </row>
    <row r="387">
      <c r="A387" s="870"/>
      <c r="B387" s="870"/>
      <c r="C387" s="871"/>
    </row>
    <row r="388">
      <c r="A388" s="870"/>
      <c r="B388" s="870"/>
      <c r="C388" s="871"/>
    </row>
    <row r="389">
      <c r="A389" s="870"/>
      <c r="B389" s="870"/>
      <c r="C389" s="871"/>
    </row>
    <row r="390">
      <c r="A390" s="870"/>
      <c r="B390" s="870"/>
      <c r="C390" s="871"/>
    </row>
    <row r="391">
      <c r="A391" s="870"/>
      <c r="B391" s="870"/>
      <c r="C391" s="871"/>
    </row>
    <row r="392">
      <c r="A392" s="870"/>
      <c r="B392" s="870"/>
      <c r="C392" s="871"/>
    </row>
    <row r="393">
      <c r="A393" s="870"/>
      <c r="B393" s="870"/>
      <c r="C393" s="871"/>
    </row>
    <row r="394">
      <c r="A394" s="870"/>
      <c r="B394" s="870"/>
      <c r="C394" s="871"/>
    </row>
    <row r="395">
      <c r="A395" s="870"/>
      <c r="B395" s="870"/>
      <c r="C395" s="871"/>
    </row>
    <row r="396">
      <c r="A396" s="870"/>
      <c r="B396" s="870"/>
      <c r="C396" s="871"/>
    </row>
    <row r="397">
      <c r="A397" s="870"/>
      <c r="B397" s="870"/>
      <c r="C397" s="871"/>
    </row>
    <row r="398">
      <c r="A398" s="870"/>
      <c r="B398" s="870"/>
      <c r="C398" s="871"/>
    </row>
    <row r="399">
      <c r="A399" s="870"/>
      <c r="B399" s="870"/>
      <c r="C399" s="871"/>
    </row>
    <row r="400">
      <c r="A400" s="870"/>
      <c r="B400" s="870"/>
      <c r="C400" s="871"/>
    </row>
    <row r="401">
      <c r="A401" s="870"/>
      <c r="B401" s="870"/>
      <c r="C401" s="871"/>
    </row>
    <row r="402">
      <c r="A402" s="870"/>
      <c r="B402" s="870"/>
      <c r="C402" s="871"/>
    </row>
    <row r="403">
      <c r="A403" s="870"/>
      <c r="B403" s="870"/>
      <c r="C403" s="871"/>
    </row>
    <row r="404">
      <c r="A404" s="870"/>
      <c r="B404" s="870"/>
      <c r="C404" s="871"/>
    </row>
    <row r="405">
      <c r="A405" s="870"/>
      <c r="B405" s="870"/>
      <c r="C405" s="871"/>
    </row>
    <row r="406">
      <c r="A406" s="870"/>
      <c r="B406" s="870"/>
      <c r="C406" s="871"/>
    </row>
    <row r="407">
      <c r="A407" s="870"/>
      <c r="B407" s="870"/>
      <c r="C407" s="871"/>
    </row>
    <row r="408">
      <c r="A408" s="870"/>
      <c r="B408" s="870"/>
      <c r="C408" s="871"/>
    </row>
    <row r="409">
      <c r="A409" s="870"/>
      <c r="B409" s="870"/>
      <c r="C409" s="871"/>
    </row>
    <row r="410">
      <c r="A410" s="870"/>
      <c r="B410" s="870"/>
      <c r="C410" s="871"/>
    </row>
    <row r="411">
      <c r="A411" s="870"/>
      <c r="B411" s="870"/>
      <c r="C411" s="871"/>
    </row>
    <row r="412">
      <c r="A412" s="870"/>
      <c r="B412" s="870"/>
      <c r="C412" s="871"/>
    </row>
    <row r="413">
      <c r="A413" s="870"/>
      <c r="B413" s="870"/>
      <c r="C413" s="871"/>
    </row>
    <row r="414">
      <c r="A414" s="870"/>
      <c r="B414" s="870"/>
      <c r="C414" s="871"/>
    </row>
    <row r="415">
      <c r="A415" s="870"/>
      <c r="B415" s="870"/>
      <c r="C415" s="871"/>
    </row>
    <row r="416">
      <c r="A416" s="870"/>
      <c r="B416" s="870"/>
      <c r="C416" s="871"/>
    </row>
    <row r="417">
      <c r="A417" s="870"/>
      <c r="B417" s="870"/>
      <c r="C417" s="871"/>
    </row>
    <row r="418">
      <c r="A418" s="870"/>
      <c r="B418" s="870"/>
      <c r="C418" s="871"/>
    </row>
    <row r="419">
      <c r="A419" s="870"/>
      <c r="B419" s="870"/>
      <c r="C419" s="871"/>
    </row>
    <row r="420">
      <c r="A420" s="870"/>
      <c r="B420" s="870"/>
      <c r="C420" s="871"/>
    </row>
    <row r="421">
      <c r="A421" s="870"/>
      <c r="B421" s="870"/>
      <c r="C421" s="871"/>
    </row>
    <row r="422">
      <c r="A422" s="870"/>
      <c r="B422" s="870"/>
      <c r="C422" s="871"/>
    </row>
    <row r="423">
      <c r="A423" s="870"/>
      <c r="B423" s="870"/>
      <c r="C423" s="871"/>
    </row>
    <row r="424">
      <c r="A424" s="870"/>
      <c r="B424" s="870"/>
      <c r="C424" s="871"/>
    </row>
    <row r="425">
      <c r="A425" s="870"/>
      <c r="B425" s="870"/>
      <c r="C425" s="871"/>
    </row>
    <row r="426">
      <c r="A426" s="870"/>
      <c r="B426" s="870"/>
      <c r="C426" s="871"/>
    </row>
    <row r="427">
      <c r="A427" s="870"/>
      <c r="B427" s="870"/>
      <c r="C427" s="871"/>
    </row>
    <row r="428">
      <c r="A428" s="870"/>
      <c r="B428" s="870"/>
      <c r="C428" s="871"/>
    </row>
    <row r="429">
      <c r="A429" s="870"/>
      <c r="B429" s="870"/>
      <c r="C429" s="871"/>
    </row>
    <row r="430">
      <c r="A430" s="870"/>
      <c r="B430" s="870"/>
      <c r="C430" s="871"/>
    </row>
    <row r="431">
      <c r="A431" s="870"/>
      <c r="B431" s="870"/>
      <c r="C431" s="871"/>
    </row>
    <row r="432">
      <c r="A432" s="870"/>
      <c r="B432" s="870"/>
      <c r="C432" s="871"/>
    </row>
    <row r="433">
      <c r="A433" s="870"/>
      <c r="B433" s="870"/>
      <c r="C433" s="871"/>
    </row>
    <row r="434">
      <c r="A434" s="870"/>
      <c r="B434" s="870"/>
      <c r="C434" s="871"/>
    </row>
    <row r="435">
      <c r="A435" s="870"/>
      <c r="B435" s="870"/>
      <c r="C435" s="871"/>
    </row>
    <row r="436">
      <c r="A436" s="870"/>
      <c r="B436" s="870"/>
      <c r="C436" s="871"/>
    </row>
    <row r="437">
      <c r="A437" s="870"/>
      <c r="B437" s="870"/>
      <c r="C437" s="871"/>
    </row>
    <row r="438">
      <c r="A438" s="870"/>
      <c r="B438" s="870"/>
      <c r="C438" s="871"/>
    </row>
    <row r="439">
      <c r="A439" s="870"/>
      <c r="B439" s="870"/>
      <c r="C439" s="871"/>
    </row>
    <row r="440">
      <c r="A440" s="870"/>
      <c r="B440" s="870"/>
      <c r="C440" s="871"/>
    </row>
    <row r="441">
      <c r="A441" s="870"/>
      <c r="B441" s="870"/>
      <c r="C441" s="871"/>
    </row>
    <row r="442">
      <c r="A442" s="870"/>
      <c r="B442" s="870"/>
      <c r="C442" s="871"/>
    </row>
    <row r="443">
      <c r="A443" s="870"/>
      <c r="B443" s="870"/>
      <c r="C443" s="871"/>
    </row>
    <row r="444">
      <c r="A444" s="870"/>
      <c r="B444" s="870"/>
      <c r="C444" s="871"/>
    </row>
    <row r="445">
      <c r="A445" s="870"/>
      <c r="B445" s="870"/>
      <c r="C445" s="871"/>
    </row>
    <row r="446">
      <c r="A446" s="870"/>
      <c r="B446" s="870"/>
      <c r="C446" s="871"/>
    </row>
    <row r="447">
      <c r="A447" s="870"/>
      <c r="B447" s="870"/>
      <c r="C447" s="871"/>
    </row>
    <row r="448">
      <c r="A448" s="870"/>
      <c r="B448" s="870"/>
      <c r="C448" s="871"/>
    </row>
    <row r="449">
      <c r="A449" s="870"/>
      <c r="B449" s="870"/>
      <c r="C449" s="871"/>
    </row>
    <row r="450">
      <c r="A450" s="870"/>
      <c r="B450" s="870"/>
      <c r="C450" s="871"/>
    </row>
    <row r="451">
      <c r="A451" s="870"/>
      <c r="B451" s="870"/>
      <c r="C451" s="871"/>
    </row>
    <row r="452">
      <c r="A452" s="870"/>
      <c r="B452" s="870"/>
      <c r="C452" s="871"/>
    </row>
    <row r="453">
      <c r="A453" s="870"/>
      <c r="B453" s="870"/>
      <c r="C453" s="871"/>
    </row>
    <row r="454">
      <c r="A454" s="870"/>
      <c r="B454" s="870"/>
      <c r="C454" s="871"/>
    </row>
    <row r="455">
      <c r="A455" s="870"/>
      <c r="B455" s="870"/>
      <c r="C455" s="871"/>
    </row>
    <row r="456">
      <c r="A456" s="870"/>
      <c r="B456" s="870"/>
      <c r="C456" s="871"/>
    </row>
    <row r="457">
      <c r="A457" s="870"/>
      <c r="B457" s="870"/>
      <c r="C457" s="871"/>
    </row>
    <row r="458">
      <c r="A458" s="870"/>
      <c r="B458" s="870"/>
      <c r="C458" s="871"/>
    </row>
    <row r="459">
      <c r="A459" s="870"/>
      <c r="B459" s="870"/>
      <c r="C459" s="871"/>
    </row>
    <row r="460">
      <c r="A460" s="870"/>
      <c r="B460" s="870"/>
      <c r="C460" s="871"/>
    </row>
    <row r="461">
      <c r="A461" s="870"/>
      <c r="B461" s="870"/>
      <c r="C461" s="871"/>
    </row>
    <row r="462">
      <c r="A462" s="870"/>
      <c r="B462" s="870"/>
      <c r="C462" s="871"/>
    </row>
    <row r="463">
      <c r="A463" s="870"/>
      <c r="B463" s="870"/>
      <c r="C463" s="871"/>
    </row>
    <row r="464">
      <c r="A464" s="870"/>
      <c r="B464" s="870"/>
      <c r="C464" s="871"/>
    </row>
    <row r="465">
      <c r="A465" s="870"/>
      <c r="B465" s="870"/>
      <c r="C465" s="871"/>
    </row>
    <row r="466">
      <c r="A466" s="870"/>
      <c r="B466" s="870"/>
      <c r="C466" s="871"/>
    </row>
    <row r="467">
      <c r="A467" s="870"/>
      <c r="B467" s="870"/>
      <c r="C467" s="871"/>
    </row>
    <row r="468">
      <c r="A468" s="870"/>
      <c r="B468" s="870"/>
      <c r="C468" s="871"/>
    </row>
    <row r="469">
      <c r="A469" s="870"/>
      <c r="B469" s="870"/>
      <c r="C469" s="871"/>
    </row>
    <row r="470">
      <c r="A470" s="870"/>
      <c r="B470" s="870"/>
      <c r="C470" s="871"/>
    </row>
    <row r="471">
      <c r="A471" s="870"/>
      <c r="B471" s="870"/>
      <c r="C471" s="871"/>
    </row>
    <row r="472">
      <c r="A472" s="870"/>
      <c r="B472" s="870"/>
      <c r="C472" s="871"/>
    </row>
    <row r="473">
      <c r="A473" s="870"/>
      <c r="B473" s="870"/>
      <c r="C473" s="871"/>
    </row>
    <row r="474">
      <c r="A474" s="870"/>
      <c r="B474" s="870"/>
      <c r="C474" s="871"/>
    </row>
    <row r="475">
      <c r="A475" s="870"/>
      <c r="B475" s="870"/>
      <c r="C475" s="871"/>
    </row>
    <row r="476">
      <c r="A476" s="870"/>
      <c r="B476" s="870"/>
      <c r="C476" s="871"/>
    </row>
    <row r="477">
      <c r="A477" s="870"/>
      <c r="B477" s="870"/>
      <c r="C477" s="871"/>
    </row>
    <row r="478">
      <c r="A478" s="870"/>
      <c r="B478" s="870"/>
      <c r="C478" s="871"/>
    </row>
    <row r="479">
      <c r="A479" s="870"/>
      <c r="B479" s="870"/>
      <c r="C479" s="871"/>
    </row>
    <row r="480">
      <c r="A480" s="870"/>
      <c r="B480" s="870"/>
      <c r="C480" s="871"/>
    </row>
    <row r="481">
      <c r="A481" s="870"/>
      <c r="B481" s="870"/>
      <c r="C481" s="871"/>
    </row>
    <row r="482">
      <c r="A482" s="870"/>
      <c r="B482" s="870"/>
      <c r="C482" s="871"/>
    </row>
    <row r="483">
      <c r="A483" s="870"/>
      <c r="B483" s="870"/>
      <c r="C483" s="871"/>
    </row>
    <row r="484">
      <c r="A484" s="870"/>
      <c r="B484" s="870"/>
      <c r="C484" s="871"/>
    </row>
    <row r="485">
      <c r="A485" s="870"/>
      <c r="B485" s="870"/>
      <c r="C485" s="871"/>
    </row>
    <row r="486">
      <c r="A486" s="870"/>
      <c r="B486" s="870"/>
      <c r="C486" s="871"/>
    </row>
    <row r="487">
      <c r="A487" s="870"/>
      <c r="B487" s="870"/>
      <c r="C487" s="871"/>
    </row>
    <row r="488">
      <c r="A488" s="870"/>
      <c r="B488" s="870"/>
      <c r="C488" s="871"/>
    </row>
    <row r="489">
      <c r="A489" s="870"/>
      <c r="B489" s="870"/>
      <c r="C489" s="871"/>
    </row>
    <row r="490">
      <c r="A490" s="870"/>
      <c r="B490" s="870"/>
      <c r="C490" s="871"/>
    </row>
    <row r="491">
      <c r="A491" s="870"/>
      <c r="B491" s="870"/>
      <c r="C491" s="871"/>
    </row>
    <row r="492">
      <c r="A492" s="870"/>
      <c r="B492" s="870"/>
      <c r="C492" s="871"/>
    </row>
    <row r="493">
      <c r="A493" s="870"/>
      <c r="B493" s="870"/>
      <c r="C493" s="871"/>
    </row>
    <row r="494">
      <c r="A494" s="870"/>
      <c r="B494" s="870"/>
      <c r="C494" s="871"/>
    </row>
    <row r="495">
      <c r="A495" s="870"/>
      <c r="B495" s="870"/>
      <c r="C495" s="871"/>
    </row>
    <row r="496">
      <c r="A496" s="870"/>
      <c r="B496" s="870"/>
      <c r="C496" s="871"/>
    </row>
    <row r="497">
      <c r="A497" s="870"/>
      <c r="B497" s="870"/>
      <c r="C497" s="871"/>
    </row>
    <row r="498">
      <c r="A498" s="870"/>
      <c r="B498" s="870"/>
      <c r="C498" s="871"/>
    </row>
    <row r="499">
      <c r="A499" s="870"/>
      <c r="B499" s="870"/>
      <c r="C499" s="871"/>
    </row>
    <row r="500">
      <c r="A500" s="870"/>
      <c r="B500" s="870"/>
      <c r="C500" s="871"/>
    </row>
    <row r="501">
      <c r="A501" s="870"/>
      <c r="B501" s="870"/>
      <c r="C501" s="871"/>
    </row>
    <row r="502">
      <c r="A502" s="870"/>
      <c r="B502" s="870"/>
      <c r="C502" s="871"/>
    </row>
    <row r="503">
      <c r="A503" s="870"/>
      <c r="B503" s="870"/>
      <c r="C503" s="871"/>
    </row>
    <row r="504">
      <c r="A504" s="870"/>
      <c r="B504" s="870"/>
      <c r="C504" s="871"/>
    </row>
    <row r="505">
      <c r="A505" s="870"/>
      <c r="B505" s="870"/>
      <c r="C505" s="871"/>
    </row>
    <row r="506">
      <c r="A506" s="870"/>
      <c r="B506" s="870"/>
      <c r="C506" s="871"/>
    </row>
    <row r="507">
      <c r="A507" s="870"/>
      <c r="B507" s="870"/>
      <c r="C507" s="871"/>
    </row>
    <row r="508">
      <c r="A508" s="870"/>
      <c r="B508" s="870"/>
      <c r="C508" s="871"/>
    </row>
    <row r="509">
      <c r="A509" s="870"/>
      <c r="B509" s="870"/>
      <c r="C509" s="871"/>
    </row>
    <row r="510">
      <c r="A510" s="870"/>
      <c r="B510" s="870"/>
      <c r="C510" s="871"/>
    </row>
    <row r="511">
      <c r="A511" s="870"/>
      <c r="B511" s="870"/>
      <c r="C511" s="871"/>
    </row>
    <row r="512">
      <c r="A512" s="870"/>
      <c r="B512" s="870"/>
      <c r="C512" s="871"/>
    </row>
    <row r="513">
      <c r="A513" s="870"/>
      <c r="B513" s="870"/>
      <c r="C513" s="871"/>
    </row>
    <row r="514">
      <c r="A514" s="870"/>
      <c r="B514" s="870"/>
      <c r="C514" s="871"/>
    </row>
    <row r="515">
      <c r="A515" s="870"/>
      <c r="B515" s="870"/>
      <c r="C515" s="871"/>
    </row>
    <row r="516">
      <c r="A516" s="870"/>
      <c r="B516" s="870"/>
      <c r="C516" s="871"/>
    </row>
    <row r="517">
      <c r="A517" s="870"/>
      <c r="B517" s="870"/>
      <c r="C517" s="871"/>
    </row>
    <row r="518">
      <c r="A518" s="870"/>
      <c r="B518" s="870"/>
      <c r="C518" s="871"/>
    </row>
    <row r="519">
      <c r="A519" s="870"/>
      <c r="B519" s="870"/>
      <c r="C519" s="871"/>
    </row>
    <row r="520">
      <c r="A520" s="870"/>
      <c r="B520" s="870"/>
      <c r="C520" s="871"/>
    </row>
    <row r="521">
      <c r="A521" s="870"/>
      <c r="B521" s="870"/>
      <c r="C521" s="871"/>
    </row>
    <row r="522">
      <c r="A522" s="870"/>
      <c r="B522" s="870"/>
      <c r="C522" s="871"/>
    </row>
    <row r="523">
      <c r="A523" s="870"/>
      <c r="B523" s="870"/>
      <c r="C523" s="871"/>
    </row>
    <row r="524">
      <c r="A524" s="870"/>
      <c r="B524" s="870"/>
      <c r="C524" s="871"/>
    </row>
    <row r="525">
      <c r="A525" s="870"/>
      <c r="B525" s="870"/>
      <c r="C525" s="871"/>
    </row>
    <row r="526">
      <c r="A526" s="870"/>
      <c r="B526" s="870"/>
      <c r="C526" s="871"/>
    </row>
    <row r="527">
      <c r="A527" s="870"/>
      <c r="B527" s="870"/>
      <c r="C527" s="871"/>
    </row>
    <row r="528">
      <c r="A528" s="870"/>
      <c r="B528" s="870"/>
      <c r="C528" s="871"/>
    </row>
    <row r="529">
      <c r="A529" s="870"/>
      <c r="B529" s="870"/>
      <c r="C529" s="871"/>
    </row>
    <row r="530">
      <c r="A530" s="870"/>
      <c r="B530" s="870"/>
      <c r="C530" s="871"/>
    </row>
    <row r="531">
      <c r="A531" s="870"/>
      <c r="B531" s="870"/>
      <c r="C531" s="871"/>
    </row>
    <row r="532">
      <c r="A532" s="870"/>
      <c r="B532" s="870"/>
      <c r="C532" s="871"/>
    </row>
    <row r="533">
      <c r="A533" s="870"/>
      <c r="B533" s="870"/>
      <c r="C533" s="871"/>
    </row>
    <row r="534">
      <c r="A534" s="870"/>
      <c r="B534" s="870"/>
      <c r="C534" s="871"/>
    </row>
    <row r="535">
      <c r="A535" s="870"/>
      <c r="B535" s="870"/>
      <c r="C535" s="871"/>
    </row>
    <row r="536">
      <c r="A536" s="870"/>
      <c r="B536" s="870"/>
      <c r="C536" s="871"/>
    </row>
    <row r="537">
      <c r="A537" s="870"/>
      <c r="B537" s="870"/>
      <c r="C537" s="871"/>
    </row>
    <row r="538">
      <c r="A538" s="870"/>
      <c r="B538" s="870"/>
      <c r="C538" s="871"/>
    </row>
    <row r="539">
      <c r="A539" s="870"/>
      <c r="B539" s="870"/>
      <c r="C539" s="871"/>
    </row>
    <row r="540">
      <c r="A540" s="870"/>
      <c r="B540" s="870"/>
      <c r="C540" s="871"/>
    </row>
    <row r="541">
      <c r="A541" s="870"/>
      <c r="B541" s="870"/>
      <c r="C541" s="871"/>
    </row>
    <row r="542">
      <c r="A542" s="870"/>
      <c r="B542" s="870"/>
      <c r="C542" s="871"/>
    </row>
    <row r="543">
      <c r="A543" s="870"/>
      <c r="B543" s="870"/>
      <c r="C543" s="871"/>
    </row>
    <row r="544">
      <c r="A544" s="870"/>
      <c r="B544" s="870"/>
      <c r="C544" s="871"/>
    </row>
    <row r="545">
      <c r="A545" s="870"/>
      <c r="B545" s="870"/>
      <c r="C545" s="871"/>
    </row>
    <row r="546">
      <c r="A546" s="870"/>
      <c r="B546" s="870"/>
      <c r="C546" s="871"/>
    </row>
    <row r="547">
      <c r="A547" s="870"/>
      <c r="B547" s="870"/>
      <c r="C547" s="871"/>
    </row>
    <row r="548">
      <c r="A548" s="870"/>
      <c r="B548" s="870"/>
      <c r="C548" s="871"/>
    </row>
    <row r="549">
      <c r="A549" s="870"/>
      <c r="B549" s="870"/>
      <c r="C549" s="871"/>
    </row>
    <row r="550">
      <c r="A550" s="870"/>
      <c r="B550" s="870"/>
      <c r="C550" s="871"/>
    </row>
    <row r="551">
      <c r="A551" s="870"/>
      <c r="B551" s="870"/>
      <c r="C551" s="871"/>
    </row>
    <row r="552">
      <c r="A552" s="870"/>
      <c r="B552" s="870"/>
      <c r="C552" s="871"/>
    </row>
    <row r="553">
      <c r="A553" s="870"/>
      <c r="B553" s="870"/>
      <c r="C553" s="871"/>
    </row>
    <row r="554">
      <c r="A554" s="870"/>
      <c r="B554" s="870"/>
      <c r="C554" s="871"/>
    </row>
    <row r="555">
      <c r="A555" s="870"/>
      <c r="B555" s="870"/>
      <c r="C555" s="871"/>
    </row>
    <row r="556">
      <c r="A556" s="870"/>
      <c r="B556" s="870"/>
      <c r="C556" s="871"/>
    </row>
    <row r="557">
      <c r="A557" s="870"/>
      <c r="B557" s="870"/>
      <c r="C557" s="871"/>
    </row>
    <row r="558">
      <c r="A558" s="870"/>
      <c r="B558" s="870"/>
      <c r="C558" s="871"/>
    </row>
    <row r="559">
      <c r="A559" s="870"/>
      <c r="B559" s="870"/>
      <c r="C559" s="871"/>
    </row>
    <row r="560">
      <c r="A560" s="870"/>
      <c r="B560" s="870"/>
      <c r="C560" s="871"/>
    </row>
    <row r="561">
      <c r="A561" s="870"/>
      <c r="B561" s="870"/>
      <c r="C561" s="871"/>
    </row>
    <row r="562">
      <c r="A562" s="870"/>
      <c r="B562" s="870"/>
      <c r="C562" s="871"/>
    </row>
    <row r="563">
      <c r="A563" s="870"/>
      <c r="B563" s="870"/>
      <c r="C563" s="871"/>
    </row>
    <row r="564">
      <c r="A564" s="870"/>
      <c r="B564" s="870"/>
      <c r="C564" s="871"/>
    </row>
    <row r="565">
      <c r="A565" s="870"/>
      <c r="B565" s="870"/>
      <c r="C565" s="871"/>
    </row>
    <row r="566">
      <c r="A566" s="870"/>
      <c r="B566" s="870"/>
      <c r="C566" s="871"/>
    </row>
    <row r="567">
      <c r="A567" s="870"/>
      <c r="B567" s="870"/>
      <c r="C567" s="871"/>
    </row>
    <row r="568">
      <c r="A568" s="870"/>
      <c r="B568" s="870"/>
      <c r="C568" s="871"/>
    </row>
    <row r="569">
      <c r="A569" s="870"/>
      <c r="B569" s="870"/>
      <c r="C569" s="871"/>
    </row>
    <row r="570">
      <c r="A570" s="870"/>
      <c r="B570" s="870"/>
      <c r="C570" s="871"/>
    </row>
    <row r="571">
      <c r="A571" s="870"/>
      <c r="B571" s="870"/>
      <c r="C571" s="871"/>
    </row>
    <row r="572">
      <c r="A572" s="870"/>
      <c r="B572" s="870"/>
      <c r="C572" s="871"/>
    </row>
    <row r="573">
      <c r="A573" s="870"/>
      <c r="B573" s="870"/>
      <c r="C573" s="871"/>
    </row>
    <row r="574">
      <c r="A574" s="870"/>
      <c r="B574" s="870"/>
      <c r="C574" s="871"/>
    </row>
    <row r="575">
      <c r="A575" s="870"/>
      <c r="B575" s="870"/>
      <c r="C575" s="871"/>
    </row>
    <row r="576">
      <c r="A576" s="870"/>
      <c r="B576" s="870"/>
      <c r="C576" s="871"/>
    </row>
    <row r="577">
      <c r="A577" s="870"/>
      <c r="B577" s="870"/>
      <c r="C577" s="871"/>
    </row>
    <row r="578">
      <c r="A578" s="870"/>
      <c r="B578" s="870"/>
      <c r="C578" s="871"/>
    </row>
    <row r="579">
      <c r="A579" s="870"/>
      <c r="B579" s="870"/>
      <c r="C579" s="871"/>
    </row>
    <row r="580">
      <c r="A580" s="870"/>
      <c r="B580" s="870"/>
      <c r="C580" s="871"/>
    </row>
    <row r="581">
      <c r="A581" s="870"/>
      <c r="B581" s="870"/>
      <c r="C581" s="871"/>
    </row>
    <row r="582">
      <c r="A582" s="870"/>
      <c r="B582" s="870"/>
      <c r="C582" s="871"/>
    </row>
    <row r="583">
      <c r="A583" s="870"/>
      <c r="B583" s="870"/>
      <c r="C583" s="871"/>
    </row>
    <row r="584">
      <c r="A584" s="870"/>
      <c r="B584" s="870"/>
      <c r="C584" s="871"/>
    </row>
    <row r="585">
      <c r="A585" s="870"/>
      <c r="B585" s="870"/>
      <c r="C585" s="871"/>
    </row>
    <row r="586">
      <c r="A586" s="870"/>
      <c r="B586" s="870"/>
      <c r="C586" s="871"/>
    </row>
    <row r="587">
      <c r="A587" s="870"/>
      <c r="B587" s="870"/>
      <c r="C587" s="871"/>
    </row>
    <row r="588">
      <c r="A588" s="870"/>
      <c r="B588" s="870"/>
      <c r="C588" s="871"/>
    </row>
    <row r="589">
      <c r="A589" s="870"/>
      <c r="B589" s="870"/>
      <c r="C589" s="871"/>
    </row>
    <row r="590">
      <c r="A590" s="870"/>
      <c r="B590" s="870"/>
      <c r="C590" s="871"/>
    </row>
    <row r="591">
      <c r="A591" s="870"/>
      <c r="B591" s="870"/>
      <c r="C591" s="871"/>
    </row>
    <row r="592">
      <c r="A592" s="870"/>
      <c r="B592" s="870"/>
      <c r="C592" s="871"/>
    </row>
    <row r="593">
      <c r="A593" s="870"/>
      <c r="B593" s="870"/>
      <c r="C593" s="871"/>
    </row>
    <row r="594">
      <c r="A594" s="870"/>
      <c r="B594" s="870"/>
      <c r="C594" s="871"/>
    </row>
    <row r="595">
      <c r="A595" s="870"/>
      <c r="B595" s="870"/>
      <c r="C595" s="871"/>
    </row>
    <row r="596">
      <c r="A596" s="870"/>
      <c r="B596" s="870"/>
      <c r="C596" s="871"/>
    </row>
    <row r="597">
      <c r="A597" s="870"/>
      <c r="B597" s="870"/>
      <c r="C597" s="871"/>
    </row>
    <row r="598">
      <c r="A598" s="870"/>
      <c r="B598" s="870"/>
      <c r="C598" s="871"/>
    </row>
    <row r="599">
      <c r="A599" s="870"/>
      <c r="B599" s="870"/>
      <c r="C599" s="871"/>
    </row>
    <row r="600">
      <c r="A600" s="870"/>
      <c r="B600" s="870"/>
      <c r="C600" s="871"/>
    </row>
    <row r="601">
      <c r="A601" s="870"/>
      <c r="B601" s="870"/>
      <c r="C601" s="871"/>
    </row>
    <row r="602">
      <c r="A602" s="870"/>
      <c r="B602" s="870"/>
      <c r="C602" s="871"/>
    </row>
    <row r="603">
      <c r="A603" s="870"/>
      <c r="B603" s="870"/>
      <c r="C603" s="871"/>
    </row>
    <row r="604">
      <c r="A604" s="870"/>
      <c r="B604" s="870"/>
      <c r="C604" s="871"/>
    </row>
    <row r="605">
      <c r="A605" s="870"/>
      <c r="B605" s="870"/>
      <c r="C605" s="871"/>
    </row>
    <row r="606">
      <c r="A606" s="870"/>
      <c r="B606" s="870"/>
      <c r="C606" s="871"/>
    </row>
    <row r="607">
      <c r="A607" s="870"/>
      <c r="B607" s="870"/>
      <c r="C607" s="871"/>
    </row>
    <row r="608">
      <c r="A608" s="870"/>
      <c r="B608" s="870"/>
      <c r="C608" s="871"/>
    </row>
    <row r="609">
      <c r="A609" s="870"/>
      <c r="B609" s="870"/>
      <c r="C609" s="871"/>
    </row>
    <row r="610">
      <c r="A610" s="870"/>
      <c r="B610" s="870"/>
      <c r="C610" s="871"/>
    </row>
    <row r="611">
      <c r="A611" s="870"/>
      <c r="B611" s="870"/>
      <c r="C611" s="871"/>
    </row>
    <row r="612">
      <c r="A612" s="870"/>
      <c r="B612" s="870"/>
      <c r="C612" s="871"/>
    </row>
    <row r="613">
      <c r="A613" s="870"/>
      <c r="B613" s="870"/>
      <c r="C613" s="871"/>
    </row>
    <row r="614">
      <c r="A614" s="870"/>
      <c r="B614" s="870"/>
      <c r="C614" s="871"/>
    </row>
    <row r="615">
      <c r="A615" s="870"/>
      <c r="B615" s="870"/>
      <c r="C615" s="871"/>
    </row>
    <row r="616">
      <c r="A616" s="870"/>
      <c r="B616" s="870"/>
      <c r="C616" s="871"/>
    </row>
    <row r="617">
      <c r="A617" s="870"/>
      <c r="B617" s="870"/>
      <c r="C617" s="871"/>
    </row>
    <row r="618">
      <c r="A618" s="870"/>
      <c r="B618" s="870"/>
      <c r="C618" s="871"/>
    </row>
    <row r="619">
      <c r="A619" s="870"/>
      <c r="B619" s="870"/>
      <c r="C619" s="871"/>
    </row>
    <row r="620">
      <c r="A620" s="870"/>
      <c r="B620" s="870"/>
      <c r="C620" s="871"/>
    </row>
    <row r="621">
      <c r="A621" s="870"/>
      <c r="B621" s="870"/>
      <c r="C621" s="871"/>
    </row>
    <row r="622">
      <c r="A622" s="870"/>
      <c r="B622" s="870"/>
      <c r="C622" s="871"/>
    </row>
    <row r="623">
      <c r="A623" s="870"/>
      <c r="B623" s="870"/>
      <c r="C623" s="871"/>
    </row>
    <row r="624">
      <c r="A624" s="870"/>
      <c r="B624" s="870"/>
      <c r="C624" s="871"/>
    </row>
    <row r="625">
      <c r="A625" s="870"/>
      <c r="B625" s="870"/>
      <c r="C625" s="871"/>
    </row>
    <row r="626">
      <c r="A626" s="870"/>
      <c r="B626" s="870"/>
      <c r="C626" s="871"/>
    </row>
    <row r="627">
      <c r="A627" s="870"/>
      <c r="B627" s="870"/>
      <c r="C627" s="871"/>
    </row>
    <row r="628">
      <c r="A628" s="870"/>
      <c r="B628" s="870"/>
      <c r="C628" s="871"/>
    </row>
    <row r="629">
      <c r="A629" s="870"/>
      <c r="B629" s="870"/>
      <c r="C629" s="871"/>
    </row>
    <row r="630">
      <c r="A630" s="870"/>
      <c r="B630" s="870"/>
      <c r="C630" s="871"/>
    </row>
    <row r="631">
      <c r="A631" s="870"/>
      <c r="B631" s="870"/>
      <c r="C631" s="871"/>
    </row>
    <row r="632">
      <c r="A632" s="870"/>
      <c r="B632" s="870"/>
      <c r="C632" s="871"/>
    </row>
    <row r="633">
      <c r="A633" s="870"/>
      <c r="B633" s="870"/>
      <c r="C633" s="871"/>
    </row>
    <row r="634">
      <c r="A634" s="870"/>
      <c r="B634" s="870"/>
      <c r="C634" s="871"/>
    </row>
    <row r="635">
      <c r="A635" s="870"/>
      <c r="B635" s="870"/>
      <c r="C635" s="871"/>
    </row>
    <row r="636">
      <c r="A636" s="870"/>
      <c r="B636" s="870"/>
      <c r="C636" s="871"/>
    </row>
    <row r="637">
      <c r="A637" s="870"/>
      <c r="B637" s="870"/>
      <c r="C637" s="871"/>
    </row>
    <row r="638">
      <c r="A638" s="870"/>
      <c r="B638" s="870"/>
      <c r="C638" s="871"/>
    </row>
    <row r="639">
      <c r="A639" s="870"/>
      <c r="B639" s="870"/>
      <c r="C639" s="871"/>
    </row>
    <row r="640">
      <c r="A640" s="870"/>
      <c r="B640" s="870"/>
      <c r="C640" s="871"/>
    </row>
    <row r="641">
      <c r="A641" s="870"/>
      <c r="B641" s="870"/>
      <c r="C641" s="871"/>
    </row>
    <row r="642">
      <c r="A642" s="870"/>
      <c r="B642" s="870"/>
      <c r="C642" s="871"/>
    </row>
    <row r="643">
      <c r="A643" s="870"/>
      <c r="B643" s="870"/>
      <c r="C643" s="871"/>
    </row>
    <row r="644">
      <c r="A644" s="870"/>
      <c r="B644" s="870"/>
      <c r="C644" s="871"/>
    </row>
    <row r="645">
      <c r="A645" s="870"/>
      <c r="B645" s="870"/>
      <c r="C645" s="871"/>
    </row>
    <row r="646">
      <c r="A646" s="870"/>
      <c r="B646" s="870"/>
      <c r="C646" s="871"/>
    </row>
    <row r="647">
      <c r="A647" s="870"/>
      <c r="B647" s="870"/>
      <c r="C647" s="871"/>
    </row>
    <row r="648">
      <c r="A648" s="870"/>
      <c r="B648" s="870"/>
      <c r="C648" s="871"/>
    </row>
    <row r="649">
      <c r="A649" s="870"/>
      <c r="B649" s="870"/>
      <c r="C649" s="871"/>
    </row>
    <row r="650">
      <c r="A650" s="870"/>
      <c r="B650" s="870"/>
      <c r="C650" s="871"/>
    </row>
    <row r="651">
      <c r="A651" s="870"/>
      <c r="B651" s="870"/>
      <c r="C651" s="871"/>
    </row>
    <row r="652">
      <c r="A652" s="870"/>
      <c r="B652" s="870"/>
      <c r="C652" s="871"/>
    </row>
    <row r="653">
      <c r="A653" s="870"/>
      <c r="B653" s="870"/>
      <c r="C653" s="871"/>
    </row>
    <row r="654">
      <c r="A654" s="870"/>
      <c r="B654" s="870"/>
      <c r="C654" s="871"/>
    </row>
    <row r="655">
      <c r="A655" s="870"/>
      <c r="B655" s="870"/>
      <c r="C655" s="871"/>
    </row>
    <row r="656">
      <c r="A656" s="870"/>
      <c r="B656" s="870"/>
      <c r="C656" s="871"/>
    </row>
    <row r="657">
      <c r="A657" s="870"/>
      <c r="B657" s="870"/>
      <c r="C657" s="871"/>
    </row>
    <row r="658">
      <c r="A658" s="870"/>
      <c r="B658" s="870"/>
      <c r="C658" s="871"/>
    </row>
    <row r="659">
      <c r="A659" s="870"/>
      <c r="B659" s="870"/>
      <c r="C659" s="871"/>
    </row>
    <row r="660">
      <c r="A660" s="870"/>
      <c r="B660" s="870"/>
      <c r="C660" s="871"/>
    </row>
    <row r="661">
      <c r="A661" s="870"/>
      <c r="B661" s="870"/>
      <c r="C661" s="871"/>
    </row>
    <row r="662">
      <c r="A662" s="870"/>
      <c r="B662" s="870"/>
      <c r="C662" s="871"/>
    </row>
    <row r="663">
      <c r="A663" s="870"/>
      <c r="B663" s="870"/>
      <c r="C663" s="871"/>
    </row>
    <row r="664">
      <c r="A664" s="870"/>
      <c r="B664" s="870"/>
      <c r="C664" s="871"/>
    </row>
    <row r="665">
      <c r="A665" s="870"/>
      <c r="B665" s="870"/>
      <c r="C665" s="871"/>
    </row>
    <row r="666">
      <c r="A666" s="870"/>
      <c r="B666" s="870"/>
      <c r="C666" s="871"/>
    </row>
    <row r="667">
      <c r="A667" s="870"/>
      <c r="B667" s="870"/>
      <c r="C667" s="871"/>
    </row>
    <row r="668">
      <c r="A668" s="870"/>
      <c r="B668" s="870"/>
      <c r="C668" s="871"/>
    </row>
    <row r="669">
      <c r="A669" s="870"/>
      <c r="B669" s="870"/>
      <c r="C669" s="871"/>
    </row>
    <row r="670">
      <c r="A670" s="870"/>
      <c r="B670" s="870"/>
      <c r="C670" s="871"/>
    </row>
    <row r="671">
      <c r="A671" s="870"/>
      <c r="B671" s="870"/>
      <c r="C671" s="871"/>
    </row>
    <row r="672">
      <c r="A672" s="870"/>
      <c r="B672" s="870"/>
      <c r="C672" s="871"/>
    </row>
    <row r="673">
      <c r="A673" s="870"/>
      <c r="B673" s="870"/>
      <c r="C673" s="871"/>
    </row>
    <row r="674">
      <c r="A674" s="870"/>
      <c r="B674" s="870"/>
      <c r="C674" s="871"/>
    </row>
    <row r="675">
      <c r="A675" s="870"/>
      <c r="B675" s="870"/>
      <c r="C675" s="871"/>
    </row>
    <row r="676">
      <c r="A676" s="870"/>
      <c r="B676" s="870"/>
      <c r="C676" s="871"/>
    </row>
    <row r="677">
      <c r="A677" s="870"/>
      <c r="B677" s="870"/>
      <c r="C677" s="871"/>
    </row>
    <row r="678">
      <c r="A678" s="870"/>
      <c r="B678" s="870"/>
      <c r="C678" s="871"/>
    </row>
    <row r="679">
      <c r="A679" s="870"/>
      <c r="B679" s="870"/>
      <c r="C679" s="871"/>
    </row>
    <row r="680">
      <c r="A680" s="870"/>
      <c r="B680" s="870"/>
      <c r="C680" s="871"/>
    </row>
    <row r="681">
      <c r="A681" s="870"/>
      <c r="B681" s="870"/>
      <c r="C681" s="871"/>
    </row>
    <row r="682">
      <c r="A682" s="870"/>
      <c r="B682" s="870"/>
      <c r="C682" s="871"/>
    </row>
    <row r="683">
      <c r="A683" s="870"/>
      <c r="B683" s="870"/>
      <c r="C683" s="871"/>
    </row>
    <row r="684">
      <c r="A684" s="870"/>
      <c r="B684" s="870"/>
      <c r="C684" s="871"/>
    </row>
    <row r="685">
      <c r="A685" s="870"/>
      <c r="B685" s="870"/>
      <c r="C685" s="871"/>
    </row>
    <row r="686">
      <c r="A686" s="870"/>
      <c r="B686" s="870"/>
      <c r="C686" s="871"/>
    </row>
    <row r="687">
      <c r="A687" s="870"/>
      <c r="B687" s="870"/>
      <c r="C687" s="871"/>
    </row>
    <row r="688">
      <c r="A688" s="870"/>
      <c r="B688" s="870"/>
      <c r="C688" s="871"/>
    </row>
    <row r="689">
      <c r="A689" s="870"/>
      <c r="B689" s="870"/>
      <c r="C689" s="871"/>
    </row>
    <row r="690">
      <c r="A690" s="870"/>
      <c r="B690" s="870"/>
      <c r="C690" s="871"/>
    </row>
    <row r="691">
      <c r="A691" s="870"/>
      <c r="B691" s="870"/>
      <c r="C691" s="871"/>
    </row>
    <row r="692">
      <c r="A692" s="870"/>
      <c r="B692" s="870"/>
      <c r="C692" s="871"/>
    </row>
    <row r="693">
      <c r="A693" s="870"/>
      <c r="B693" s="870"/>
      <c r="C693" s="871"/>
    </row>
    <row r="694">
      <c r="A694" s="870"/>
      <c r="B694" s="870"/>
      <c r="C694" s="871"/>
    </row>
    <row r="695">
      <c r="A695" s="870"/>
      <c r="B695" s="870"/>
      <c r="C695" s="871"/>
    </row>
    <row r="696">
      <c r="A696" s="870"/>
      <c r="B696" s="870"/>
      <c r="C696" s="871"/>
    </row>
    <row r="697">
      <c r="A697" s="870"/>
      <c r="B697" s="870"/>
      <c r="C697" s="871"/>
    </row>
    <row r="698">
      <c r="A698" s="870"/>
      <c r="B698" s="870"/>
      <c r="C698" s="871"/>
    </row>
    <row r="699">
      <c r="A699" s="870"/>
      <c r="B699" s="870"/>
      <c r="C699" s="871"/>
    </row>
    <row r="700">
      <c r="A700" s="870"/>
      <c r="B700" s="870"/>
      <c r="C700" s="871"/>
    </row>
    <row r="701">
      <c r="A701" s="870"/>
      <c r="B701" s="870"/>
      <c r="C701" s="871"/>
    </row>
    <row r="702">
      <c r="A702" s="870"/>
      <c r="B702" s="870"/>
      <c r="C702" s="871"/>
    </row>
    <row r="703">
      <c r="A703" s="870"/>
      <c r="B703" s="870"/>
      <c r="C703" s="871"/>
    </row>
    <row r="704">
      <c r="A704" s="870"/>
      <c r="B704" s="870"/>
      <c r="C704" s="871"/>
    </row>
    <row r="705">
      <c r="A705" s="870"/>
      <c r="B705" s="870"/>
      <c r="C705" s="871"/>
    </row>
    <row r="706">
      <c r="A706" s="870"/>
      <c r="B706" s="870"/>
      <c r="C706" s="871"/>
    </row>
    <row r="707">
      <c r="A707" s="870"/>
      <c r="B707" s="870"/>
      <c r="C707" s="871"/>
    </row>
    <row r="708">
      <c r="A708" s="870"/>
      <c r="B708" s="870"/>
      <c r="C708" s="871"/>
    </row>
    <row r="709">
      <c r="A709" s="870"/>
      <c r="B709" s="870"/>
      <c r="C709" s="871"/>
    </row>
    <row r="710">
      <c r="A710" s="870"/>
      <c r="B710" s="870"/>
      <c r="C710" s="871"/>
    </row>
    <row r="711">
      <c r="A711" s="870"/>
      <c r="B711" s="870"/>
      <c r="C711" s="871"/>
    </row>
    <row r="712">
      <c r="A712" s="870"/>
      <c r="B712" s="870"/>
      <c r="C712" s="871"/>
    </row>
    <row r="713">
      <c r="A713" s="870"/>
      <c r="B713" s="870"/>
      <c r="C713" s="871"/>
    </row>
    <row r="714">
      <c r="A714" s="870"/>
      <c r="B714" s="870"/>
      <c r="C714" s="871"/>
    </row>
    <row r="715">
      <c r="A715" s="870"/>
      <c r="B715" s="870"/>
      <c r="C715" s="871"/>
    </row>
    <row r="716">
      <c r="A716" s="870"/>
      <c r="B716" s="870"/>
      <c r="C716" s="871"/>
    </row>
    <row r="717">
      <c r="A717" s="870"/>
      <c r="B717" s="870"/>
      <c r="C717" s="871"/>
    </row>
    <row r="718">
      <c r="A718" s="870"/>
      <c r="B718" s="870"/>
      <c r="C718" s="871"/>
    </row>
    <row r="719">
      <c r="A719" s="870"/>
      <c r="B719" s="870"/>
      <c r="C719" s="871"/>
    </row>
    <row r="720">
      <c r="A720" s="870"/>
      <c r="B720" s="870"/>
      <c r="C720" s="871"/>
    </row>
    <row r="721">
      <c r="A721" s="870"/>
      <c r="B721" s="870"/>
      <c r="C721" s="871"/>
    </row>
    <row r="722">
      <c r="A722" s="870"/>
      <c r="B722" s="870"/>
      <c r="C722" s="871"/>
    </row>
    <row r="723">
      <c r="A723" s="870"/>
      <c r="B723" s="870"/>
      <c r="C723" s="871"/>
    </row>
    <row r="724">
      <c r="A724" s="870"/>
      <c r="B724" s="870"/>
      <c r="C724" s="871"/>
    </row>
    <row r="725">
      <c r="A725" s="870"/>
      <c r="B725" s="870"/>
      <c r="C725" s="871"/>
    </row>
    <row r="726">
      <c r="A726" s="870"/>
      <c r="B726" s="870"/>
      <c r="C726" s="871"/>
    </row>
    <row r="727">
      <c r="A727" s="870"/>
      <c r="B727" s="870"/>
      <c r="C727" s="871"/>
    </row>
    <row r="728">
      <c r="A728" s="870"/>
      <c r="B728" s="870"/>
      <c r="C728" s="871"/>
    </row>
    <row r="729">
      <c r="A729" s="870"/>
      <c r="B729" s="870"/>
      <c r="C729" s="871"/>
    </row>
    <row r="730">
      <c r="A730" s="870"/>
      <c r="B730" s="870"/>
      <c r="C730" s="871"/>
    </row>
    <row r="731">
      <c r="A731" s="870"/>
      <c r="B731" s="870"/>
      <c r="C731" s="871"/>
    </row>
    <row r="732">
      <c r="A732" s="870"/>
      <c r="B732" s="870"/>
      <c r="C732" s="871"/>
    </row>
    <row r="733">
      <c r="A733" s="870"/>
      <c r="B733" s="870"/>
      <c r="C733" s="871"/>
    </row>
    <row r="734">
      <c r="A734" s="870"/>
      <c r="B734" s="870"/>
      <c r="C734" s="871"/>
    </row>
    <row r="735">
      <c r="A735" s="870"/>
      <c r="B735" s="870"/>
      <c r="C735" s="871"/>
    </row>
    <row r="736">
      <c r="A736" s="870"/>
      <c r="B736" s="870"/>
      <c r="C736" s="871"/>
    </row>
    <row r="737">
      <c r="A737" s="870"/>
      <c r="B737" s="870"/>
      <c r="C737" s="871"/>
    </row>
    <row r="738">
      <c r="A738" s="870"/>
      <c r="B738" s="870"/>
      <c r="C738" s="871"/>
    </row>
    <row r="739">
      <c r="A739" s="870"/>
      <c r="B739" s="870"/>
      <c r="C739" s="871"/>
    </row>
    <row r="740">
      <c r="A740" s="870"/>
      <c r="B740" s="870"/>
      <c r="C740" s="871"/>
    </row>
    <row r="741">
      <c r="A741" s="870"/>
      <c r="B741" s="870"/>
      <c r="C741" s="871"/>
    </row>
    <row r="742">
      <c r="A742" s="870"/>
      <c r="B742" s="870"/>
      <c r="C742" s="871"/>
    </row>
    <row r="743">
      <c r="A743" s="870"/>
      <c r="B743" s="870"/>
      <c r="C743" s="871"/>
    </row>
    <row r="744">
      <c r="A744" s="870"/>
      <c r="B744" s="870"/>
      <c r="C744" s="871"/>
    </row>
    <row r="745">
      <c r="A745" s="870"/>
      <c r="B745" s="870"/>
      <c r="C745" s="871"/>
    </row>
    <row r="746">
      <c r="A746" s="870"/>
      <c r="B746" s="870"/>
      <c r="C746" s="871"/>
    </row>
    <row r="747">
      <c r="A747" s="870"/>
      <c r="B747" s="870"/>
      <c r="C747" s="871"/>
    </row>
    <row r="748">
      <c r="A748" s="870"/>
      <c r="B748" s="870"/>
      <c r="C748" s="871"/>
    </row>
    <row r="749">
      <c r="A749" s="870"/>
      <c r="B749" s="870"/>
      <c r="C749" s="871"/>
    </row>
    <row r="750">
      <c r="A750" s="870"/>
      <c r="B750" s="870"/>
      <c r="C750" s="871"/>
    </row>
    <row r="751">
      <c r="A751" s="870"/>
      <c r="B751" s="870"/>
      <c r="C751" s="871"/>
    </row>
    <row r="752">
      <c r="A752" s="870"/>
      <c r="B752" s="870"/>
      <c r="C752" s="871"/>
    </row>
    <row r="753">
      <c r="A753" s="870"/>
      <c r="B753" s="870"/>
      <c r="C753" s="871"/>
    </row>
    <row r="754">
      <c r="A754" s="870"/>
      <c r="B754" s="870"/>
      <c r="C754" s="871"/>
    </row>
    <row r="755">
      <c r="A755" s="870"/>
      <c r="B755" s="870"/>
      <c r="C755" s="871"/>
    </row>
    <row r="756">
      <c r="A756" s="870"/>
      <c r="B756" s="870"/>
      <c r="C756" s="871"/>
    </row>
    <row r="757">
      <c r="A757" s="870"/>
      <c r="B757" s="870"/>
      <c r="C757" s="871"/>
    </row>
    <row r="758">
      <c r="A758" s="870"/>
      <c r="B758" s="870"/>
      <c r="C758" s="871"/>
    </row>
    <row r="759">
      <c r="A759" s="870"/>
      <c r="B759" s="870"/>
      <c r="C759" s="871"/>
    </row>
    <row r="760">
      <c r="A760" s="870"/>
      <c r="B760" s="870"/>
      <c r="C760" s="871"/>
    </row>
    <row r="761">
      <c r="A761" s="870"/>
      <c r="B761" s="870"/>
      <c r="C761" s="871"/>
    </row>
    <row r="762">
      <c r="A762" s="870"/>
      <c r="B762" s="870"/>
      <c r="C762" s="871"/>
    </row>
    <row r="763">
      <c r="A763" s="870"/>
      <c r="B763" s="870"/>
      <c r="C763" s="871"/>
    </row>
    <row r="764">
      <c r="A764" s="870"/>
      <c r="B764" s="870"/>
      <c r="C764" s="871"/>
    </row>
    <row r="765">
      <c r="A765" s="870"/>
      <c r="B765" s="870"/>
      <c r="C765" s="871"/>
    </row>
    <row r="766">
      <c r="A766" s="870"/>
      <c r="B766" s="870"/>
      <c r="C766" s="871"/>
    </row>
    <row r="767">
      <c r="A767" s="870"/>
      <c r="B767" s="870"/>
      <c r="C767" s="871"/>
    </row>
    <row r="768">
      <c r="A768" s="870"/>
      <c r="B768" s="870"/>
      <c r="C768" s="871"/>
    </row>
    <row r="769">
      <c r="A769" s="870"/>
      <c r="B769" s="870"/>
      <c r="C769" s="871"/>
    </row>
    <row r="770">
      <c r="A770" s="870"/>
      <c r="B770" s="870"/>
      <c r="C770" s="871"/>
    </row>
    <row r="771">
      <c r="A771" s="870"/>
      <c r="B771" s="870"/>
      <c r="C771" s="871"/>
    </row>
    <row r="772">
      <c r="A772" s="870"/>
      <c r="B772" s="870"/>
      <c r="C772" s="871"/>
    </row>
    <row r="773">
      <c r="A773" s="870"/>
      <c r="B773" s="870"/>
      <c r="C773" s="871"/>
    </row>
    <row r="774">
      <c r="A774" s="870"/>
      <c r="B774" s="870"/>
      <c r="C774" s="871"/>
    </row>
    <row r="775">
      <c r="A775" s="870"/>
      <c r="B775" s="870"/>
      <c r="C775" s="871"/>
    </row>
    <row r="776">
      <c r="A776" s="870"/>
      <c r="B776" s="870"/>
      <c r="C776" s="871"/>
    </row>
    <row r="777">
      <c r="A777" s="870"/>
      <c r="B777" s="870"/>
      <c r="C777" s="871"/>
    </row>
    <row r="778">
      <c r="A778" s="870"/>
      <c r="B778" s="870"/>
      <c r="C778" s="871"/>
    </row>
    <row r="779">
      <c r="A779" s="870"/>
      <c r="B779" s="870"/>
      <c r="C779" s="871"/>
    </row>
    <row r="780">
      <c r="A780" s="870"/>
      <c r="B780" s="870"/>
      <c r="C780" s="871"/>
    </row>
    <row r="781">
      <c r="A781" s="870"/>
      <c r="B781" s="870"/>
      <c r="C781" s="871"/>
    </row>
    <row r="782">
      <c r="A782" s="870"/>
      <c r="B782" s="870"/>
      <c r="C782" s="871"/>
    </row>
    <row r="783">
      <c r="A783" s="870"/>
      <c r="B783" s="870"/>
      <c r="C783" s="871"/>
    </row>
    <row r="784">
      <c r="A784" s="870"/>
      <c r="B784" s="870"/>
      <c r="C784" s="871"/>
    </row>
    <row r="785">
      <c r="A785" s="870"/>
      <c r="B785" s="870"/>
      <c r="C785" s="871"/>
    </row>
    <row r="786">
      <c r="A786" s="870"/>
      <c r="B786" s="870"/>
      <c r="C786" s="871"/>
    </row>
    <row r="787">
      <c r="A787" s="870"/>
      <c r="B787" s="870"/>
      <c r="C787" s="871"/>
    </row>
    <row r="788">
      <c r="A788" s="870"/>
      <c r="B788" s="870"/>
      <c r="C788" s="871"/>
    </row>
    <row r="789">
      <c r="A789" s="870"/>
      <c r="B789" s="870"/>
      <c r="C789" s="871"/>
    </row>
    <row r="790">
      <c r="A790" s="870"/>
      <c r="B790" s="870"/>
      <c r="C790" s="871"/>
    </row>
    <row r="791">
      <c r="A791" s="870"/>
      <c r="B791" s="870"/>
      <c r="C791" s="871"/>
    </row>
    <row r="792">
      <c r="A792" s="870"/>
      <c r="B792" s="870"/>
      <c r="C792" s="871"/>
    </row>
    <row r="793">
      <c r="A793" s="870"/>
      <c r="B793" s="870"/>
      <c r="C793" s="871"/>
    </row>
    <row r="794">
      <c r="A794" s="870"/>
      <c r="B794" s="870"/>
      <c r="C794" s="871"/>
    </row>
    <row r="795">
      <c r="A795" s="870"/>
      <c r="B795" s="870"/>
      <c r="C795" s="871"/>
    </row>
    <row r="796">
      <c r="A796" s="870"/>
      <c r="B796" s="870"/>
      <c r="C796" s="871"/>
    </row>
    <row r="797">
      <c r="A797" s="870"/>
      <c r="B797" s="870"/>
      <c r="C797" s="871"/>
    </row>
    <row r="798">
      <c r="A798" s="870"/>
      <c r="B798" s="870"/>
      <c r="C798" s="871"/>
    </row>
    <row r="799">
      <c r="A799" s="870"/>
      <c r="B799" s="870"/>
      <c r="C799" s="871"/>
    </row>
    <row r="800">
      <c r="A800" s="870"/>
      <c r="B800" s="870"/>
      <c r="C800" s="871"/>
    </row>
    <row r="801">
      <c r="A801" s="870"/>
      <c r="B801" s="870"/>
      <c r="C801" s="871"/>
    </row>
    <row r="802">
      <c r="A802" s="870"/>
      <c r="B802" s="870"/>
      <c r="C802" s="871"/>
    </row>
    <row r="803">
      <c r="A803" s="870"/>
      <c r="B803" s="870"/>
      <c r="C803" s="871"/>
    </row>
    <row r="804">
      <c r="A804" s="870"/>
      <c r="B804" s="870"/>
      <c r="C804" s="871"/>
    </row>
    <row r="805">
      <c r="A805" s="870"/>
      <c r="B805" s="870"/>
      <c r="C805" s="871"/>
    </row>
    <row r="806">
      <c r="A806" s="870"/>
      <c r="B806" s="870"/>
      <c r="C806" s="871"/>
    </row>
    <row r="807">
      <c r="A807" s="870"/>
      <c r="B807" s="870"/>
      <c r="C807" s="871"/>
    </row>
    <row r="808">
      <c r="A808" s="870"/>
      <c r="B808" s="870"/>
      <c r="C808" s="871"/>
    </row>
    <row r="809">
      <c r="A809" s="870"/>
      <c r="B809" s="870"/>
      <c r="C809" s="871"/>
    </row>
    <row r="810">
      <c r="A810" s="870"/>
      <c r="B810" s="870"/>
      <c r="C810" s="871"/>
    </row>
    <row r="811">
      <c r="A811" s="870"/>
      <c r="B811" s="870"/>
      <c r="C811" s="871"/>
    </row>
    <row r="812">
      <c r="A812" s="870"/>
      <c r="B812" s="870"/>
      <c r="C812" s="871"/>
    </row>
    <row r="813">
      <c r="A813" s="870"/>
      <c r="B813" s="870"/>
      <c r="C813" s="871"/>
    </row>
    <row r="814">
      <c r="A814" s="870"/>
      <c r="B814" s="870"/>
      <c r="C814" s="871"/>
    </row>
    <row r="815">
      <c r="A815" s="870"/>
      <c r="B815" s="870"/>
      <c r="C815" s="871"/>
    </row>
    <row r="816">
      <c r="A816" s="870"/>
      <c r="B816" s="870"/>
      <c r="C816" s="871"/>
    </row>
    <row r="817">
      <c r="A817" s="870"/>
      <c r="B817" s="870"/>
      <c r="C817" s="871"/>
    </row>
    <row r="818">
      <c r="A818" s="870"/>
      <c r="B818" s="870"/>
      <c r="C818" s="871"/>
    </row>
    <row r="819">
      <c r="A819" s="870"/>
      <c r="B819" s="870"/>
      <c r="C819" s="871"/>
    </row>
    <row r="820">
      <c r="A820" s="870"/>
      <c r="B820" s="870"/>
      <c r="C820" s="871"/>
    </row>
    <row r="821">
      <c r="A821" s="870"/>
      <c r="B821" s="870"/>
      <c r="C821" s="871"/>
    </row>
    <row r="822">
      <c r="A822" s="870"/>
      <c r="B822" s="870"/>
      <c r="C822" s="871"/>
    </row>
    <row r="823">
      <c r="A823" s="870"/>
      <c r="B823" s="870"/>
      <c r="C823" s="871"/>
    </row>
    <row r="824">
      <c r="A824" s="870"/>
      <c r="B824" s="870"/>
      <c r="C824" s="871"/>
    </row>
    <row r="825">
      <c r="A825" s="870"/>
      <c r="B825" s="870"/>
      <c r="C825" s="871"/>
    </row>
    <row r="826">
      <c r="A826" s="870"/>
      <c r="B826" s="870"/>
      <c r="C826" s="871"/>
    </row>
    <row r="827">
      <c r="A827" s="870"/>
      <c r="B827" s="870"/>
      <c r="C827" s="871"/>
    </row>
    <row r="828">
      <c r="A828" s="870"/>
      <c r="B828" s="870"/>
      <c r="C828" s="871"/>
    </row>
    <row r="829">
      <c r="A829" s="870"/>
      <c r="B829" s="870"/>
      <c r="C829" s="871"/>
    </row>
    <row r="830">
      <c r="A830" s="870"/>
      <c r="B830" s="870"/>
      <c r="C830" s="871"/>
    </row>
    <row r="831">
      <c r="A831" s="870"/>
      <c r="B831" s="870"/>
      <c r="C831" s="871"/>
    </row>
    <row r="832">
      <c r="A832" s="870"/>
      <c r="B832" s="870"/>
      <c r="C832" s="871"/>
    </row>
    <row r="833">
      <c r="A833" s="870"/>
      <c r="B833" s="870"/>
      <c r="C833" s="871"/>
    </row>
    <row r="834">
      <c r="A834" s="870"/>
      <c r="B834" s="870"/>
      <c r="C834" s="871"/>
    </row>
    <row r="835">
      <c r="A835" s="870"/>
      <c r="B835" s="870"/>
      <c r="C835" s="871"/>
    </row>
    <row r="836">
      <c r="A836" s="870"/>
      <c r="B836" s="870"/>
      <c r="C836" s="871"/>
    </row>
    <row r="837">
      <c r="A837" s="870"/>
      <c r="B837" s="870"/>
      <c r="C837" s="871"/>
    </row>
    <row r="838">
      <c r="A838" s="870"/>
      <c r="B838" s="870"/>
      <c r="C838" s="871"/>
    </row>
    <row r="839">
      <c r="A839" s="870"/>
      <c r="B839" s="870"/>
      <c r="C839" s="871"/>
    </row>
    <row r="840">
      <c r="A840" s="870"/>
      <c r="B840" s="870"/>
      <c r="C840" s="871"/>
    </row>
    <row r="841">
      <c r="A841" s="870"/>
      <c r="B841" s="870"/>
      <c r="C841" s="871"/>
    </row>
    <row r="842">
      <c r="A842" s="870"/>
      <c r="B842" s="870"/>
      <c r="C842" s="871"/>
    </row>
    <row r="843">
      <c r="A843" s="870"/>
      <c r="B843" s="870"/>
      <c r="C843" s="871"/>
    </row>
    <row r="844">
      <c r="A844" s="870"/>
      <c r="B844" s="870"/>
      <c r="C844" s="871"/>
    </row>
    <row r="845">
      <c r="A845" s="870"/>
      <c r="B845" s="870"/>
      <c r="C845" s="871"/>
    </row>
    <row r="846">
      <c r="A846" s="870"/>
      <c r="B846" s="870"/>
      <c r="C846" s="871"/>
    </row>
    <row r="847">
      <c r="A847" s="870"/>
      <c r="B847" s="870"/>
      <c r="C847" s="871"/>
    </row>
    <row r="848">
      <c r="A848" s="870"/>
      <c r="B848" s="870"/>
      <c r="C848" s="871"/>
    </row>
    <row r="849">
      <c r="A849" s="870"/>
      <c r="B849" s="870"/>
      <c r="C849" s="871"/>
    </row>
    <row r="850">
      <c r="A850" s="870"/>
      <c r="B850" s="870"/>
      <c r="C850" s="871"/>
    </row>
    <row r="851">
      <c r="A851" s="870"/>
      <c r="B851" s="870"/>
      <c r="C851" s="871"/>
    </row>
    <row r="852">
      <c r="A852" s="870"/>
      <c r="B852" s="870"/>
      <c r="C852" s="871"/>
    </row>
    <row r="853">
      <c r="A853" s="870"/>
      <c r="B853" s="870"/>
      <c r="C853" s="871"/>
    </row>
    <row r="854">
      <c r="A854" s="870"/>
      <c r="B854" s="870"/>
      <c r="C854" s="871"/>
    </row>
    <row r="855">
      <c r="A855" s="870"/>
      <c r="B855" s="870"/>
      <c r="C855" s="871"/>
    </row>
    <row r="856">
      <c r="A856" s="870"/>
      <c r="B856" s="870"/>
      <c r="C856" s="871"/>
    </row>
    <row r="857">
      <c r="A857" s="870"/>
      <c r="B857" s="870"/>
      <c r="C857" s="871"/>
    </row>
    <row r="858">
      <c r="A858" s="870"/>
      <c r="B858" s="870"/>
      <c r="C858" s="871"/>
    </row>
    <row r="859">
      <c r="A859" s="870"/>
      <c r="B859" s="870"/>
      <c r="C859" s="871"/>
    </row>
    <row r="860">
      <c r="A860" s="870"/>
      <c r="B860" s="870"/>
      <c r="C860" s="871"/>
    </row>
    <row r="861">
      <c r="A861" s="870"/>
      <c r="B861" s="870"/>
      <c r="C861" s="871"/>
    </row>
    <row r="862">
      <c r="A862" s="870"/>
      <c r="B862" s="870"/>
      <c r="C862" s="871"/>
    </row>
    <row r="863">
      <c r="A863" s="870"/>
      <c r="B863" s="870"/>
      <c r="C863" s="871"/>
    </row>
    <row r="864">
      <c r="A864" s="870"/>
      <c r="B864" s="870"/>
      <c r="C864" s="871"/>
    </row>
    <row r="865">
      <c r="A865" s="870"/>
      <c r="B865" s="870"/>
      <c r="C865" s="871"/>
    </row>
    <row r="866">
      <c r="A866" s="870"/>
      <c r="B866" s="870"/>
      <c r="C866" s="871"/>
    </row>
    <row r="867">
      <c r="A867" s="870"/>
      <c r="B867" s="870"/>
      <c r="C867" s="871"/>
    </row>
    <row r="868">
      <c r="A868" s="870"/>
      <c r="B868" s="870"/>
      <c r="C868" s="871"/>
    </row>
    <row r="869">
      <c r="A869" s="870"/>
      <c r="B869" s="870"/>
      <c r="C869" s="871"/>
    </row>
    <row r="870">
      <c r="A870" s="870"/>
      <c r="B870" s="870"/>
      <c r="C870" s="871"/>
    </row>
    <row r="871">
      <c r="A871" s="870"/>
      <c r="B871" s="870"/>
      <c r="C871" s="871"/>
    </row>
    <row r="872">
      <c r="A872" s="870"/>
      <c r="B872" s="870"/>
      <c r="C872" s="871"/>
    </row>
    <row r="873">
      <c r="A873" s="870"/>
      <c r="B873" s="870"/>
      <c r="C873" s="871"/>
    </row>
    <row r="874">
      <c r="A874" s="870"/>
      <c r="B874" s="870"/>
      <c r="C874" s="871"/>
    </row>
    <row r="875">
      <c r="A875" s="870"/>
      <c r="B875" s="870"/>
      <c r="C875" s="871"/>
    </row>
    <row r="876">
      <c r="A876" s="870"/>
      <c r="B876" s="870"/>
      <c r="C876" s="871"/>
    </row>
    <row r="877">
      <c r="A877" s="870"/>
      <c r="B877" s="870"/>
      <c r="C877" s="871"/>
    </row>
    <row r="878">
      <c r="A878" s="870"/>
      <c r="B878" s="870"/>
      <c r="C878" s="871"/>
    </row>
    <row r="879">
      <c r="A879" s="870"/>
      <c r="B879" s="870"/>
      <c r="C879" s="871"/>
    </row>
    <row r="880">
      <c r="A880" s="870"/>
      <c r="B880" s="870"/>
      <c r="C880" s="871"/>
    </row>
    <row r="881">
      <c r="A881" s="870"/>
      <c r="B881" s="870"/>
      <c r="C881" s="871"/>
    </row>
    <row r="882">
      <c r="A882" s="870"/>
      <c r="B882" s="870"/>
      <c r="C882" s="871"/>
    </row>
    <row r="883">
      <c r="A883" s="870"/>
      <c r="B883" s="870"/>
      <c r="C883" s="871"/>
    </row>
    <row r="884">
      <c r="A884" s="870"/>
      <c r="B884" s="870"/>
      <c r="C884" s="871"/>
    </row>
    <row r="885">
      <c r="A885" s="870"/>
      <c r="B885" s="870"/>
      <c r="C885" s="871"/>
    </row>
    <row r="886">
      <c r="A886" s="870"/>
      <c r="B886" s="870"/>
      <c r="C886" s="871"/>
    </row>
    <row r="887">
      <c r="A887" s="870"/>
      <c r="B887" s="870"/>
      <c r="C887" s="871"/>
    </row>
    <row r="888">
      <c r="A888" s="870"/>
      <c r="B888" s="870"/>
      <c r="C888" s="871"/>
    </row>
    <row r="889">
      <c r="A889" s="870"/>
      <c r="B889" s="870"/>
      <c r="C889" s="871"/>
    </row>
    <row r="890">
      <c r="A890" s="870"/>
      <c r="B890" s="870"/>
      <c r="C890" s="871"/>
    </row>
    <row r="891">
      <c r="A891" s="870"/>
      <c r="B891" s="870"/>
      <c r="C891" s="871"/>
    </row>
    <row r="892">
      <c r="A892" s="870"/>
      <c r="B892" s="870"/>
      <c r="C892" s="871"/>
    </row>
    <row r="893">
      <c r="A893" s="870"/>
      <c r="B893" s="870"/>
      <c r="C893" s="871"/>
    </row>
    <row r="894">
      <c r="A894" s="870"/>
      <c r="B894" s="870"/>
      <c r="C894" s="871"/>
    </row>
    <row r="895">
      <c r="A895" s="870"/>
      <c r="B895" s="870"/>
      <c r="C895" s="871"/>
    </row>
    <row r="896">
      <c r="A896" s="870"/>
      <c r="B896" s="870"/>
      <c r="C896" s="871"/>
    </row>
    <row r="897">
      <c r="A897" s="870"/>
      <c r="B897" s="870"/>
      <c r="C897" s="871"/>
    </row>
    <row r="898">
      <c r="A898" s="870"/>
      <c r="B898" s="870"/>
      <c r="C898" s="871"/>
    </row>
    <row r="899">
      <c r="A899" s="870"/>
      <c r="B899" s="870"/>
      <c r="C899" s="871"/>
    </row>
    <row r="900">
      <c r="A900" s="870"/>
      <c r="B900" s="870"/>
      <c r="C900" s="871"/>
    </row>
    <row r="901">
      <c r="A901" s="870"/>
      <c r="B901" s="870"/>
      <c r="C901" s="871"/>
    </row>
    <row r="902">
      <c r="A902" s="870"/>
      <c r="B902" s="870"/>
      <c r="C902" s="871"/>
    </row>
    <row r="903">
      <c r="A903" s="870"/>
      <c r="B903" s="870"/>
      <c r="C903" s="871"/>
    </row>
    <row r="904">
      <c r="A904" s="870"/>
      <c r="B904" s="870"/>
      <c r="C904" s="871"/>
    </row>
    <row r="905">
      <c r="A905" s="870"/>
      <c r="B905" s="870"/>
      <c r="C905" s="871"/>
    </row>
    <row r="906">
      <c r="A906" s="870"/>
      <c r="B906" s="870"/>
      <c r="C906" s="871"/>
    </row>
    <row r="907">
      <c r="A907" s="870"/>
      <c r="B907" s="870"/>
      <c r="C907" s="871"/>
    </row>
    <row r="908">
      <c r="A908" s="870"/>
      <c r="B908" s="870"/>
      <c r="C908" s="871"/>
    </row>
    <row r="909">
      <c r="A909" s="870"/>
      <c r="B909" s="870"/>
      <c r="C909" s="871"/>
    </row>
    <row r="910">
      <c r="A910" s="870"/>
      <c r="B910" s="870"/>
      <c r="C910" s="871"/>
    </row>
    <row r="911">
      <c r="A911" s="870"/>
      <c r="B911" s="870"/>
      <c r="C911" s="871"/>
    </row>
    <row r="912">
      <c r="A912" s="870"/>
      <c r="B912" s="870"/>
      <c r="C912" s="871"/>
    </row>
    <row r="913">
      <c r="A913" s="870"/>
      <c r="B913" s="870"/>
      <c r="C913" s="871"/>
    </row>
    <row r="914">
      <c r="A914" s="870"/>
      <c r="B914" s="870"/>
      <c r="C914" s="871"/>
    </row>
    <row r="915">
      <c r="A915" s="870"/>
      <c r="B915" s="870"/>
      <c r="C915" s="871"/>
    </row>
    <row r="916">
      <c r="A916" s="870"/>
      <c r="B916" s="870"/>
      <c r="C916" s="871"/>
    </row>
    <row r="917">
      <c r="A917" s="870"/>
      <c r="B917" s="870"/>
      <c r="C917" s="871"/>
    </row>
    <row r="918">
      <c r="A918" s="870"/>
      <c r="B918" s="870"/>
      <c r="C918" s="871"/>
    </row>
    <row r="919">
      <c r="A919" s="870"/>
      <c r="B919" s="870"/>
      <c r="C919" s="871"/>
    </row>
    <row r="920">
      <c r="A920" s="870"/>
      <c r="B920" s="870"/>
      <c r="C920" s="871"/>
    </row>
    <row r="921">
      <c r="A921" s="870"/>
      <c r="B921" s="870"/>
      <c r="C921" s="871"/>
    </row>
    <row r="922">
      <c r="A922" s="870"/>
      <c r="B922" s="870"/>
      <c r="C922" s="871"/>
    </row>
    <row r="923">
      <c r="A923" s="870"/>
      <c r="B923" s="870"/>
      <c r="C923" s="871"/>
    </row>
    <row r="924">
      <c r="A924" s="870"/>
      <c r="B924" s="870"/>
      <c r="C924" s="871"/>
    </row>
    <row r="925">
      <c r="A925" s="870"/>
      <c r="B925" s="870"/>
      <c r="C925" s="871"/>
    </row>
    <row r="926">
      <c r="A926" s="870"/>
      <c r="B926" s="870"/>
      <c r="C926" s="871"/>
    </row>
    <row r="927">
      <c r="A927" s="870"/>
      <c r="B927" s="870"/>
      <c r="C927" s="871"/>
    </row>
    <row r="928">
      <c r="A928" s="870"/>
      <c r="B928" s="870"/>
      <c r="C928" s="871"/>
    </row>
    <row r="929">
      <c r="A929" s="870"/>
      <c r="B929" s="870"/>
      <c r="C929" s="871"/>
    </row>
    <row r="930">
      <c r="A930" s="870"/>
      <c r="B930" s="870"/>
      <c r="C930" s="871"/>
    </row>
    <row r="931">
      <c r="A931" s="870"/>
      <c r="B931" s="870"/>
      <c r="C931" s="871"/>
    </row>
    <row r="932">
      <c r="A932" s="870"/>
      <c r="B932" s="870"/>
      <c r="C932" s="871"/>
    </row>
    <row r="933">
      <c r="A933" s="870"/>
      <c r="B933" s="870"/>
      <c r="C933" s="871"/>
    </row>
    <row r="934">
      <c r="A934" s="870"/>
      <c r="B934" s="870"/>
      <c r="C934" s="871"/>
    </row>
    <row r="935">
      <c r="A935" s="870"/>
      <c r="B935" s="870"/>
      <c r="C935" s="871"/>
    </row>
    <row r="936">
      <c r="A936" s="870"/>
      <c r="B936" s="870"/>
      <c r="C936" s="871"/>
    </row>
    <row r="937">
      <c r="A937" s="870"/>
      <c r="B937" s="870"/>
      <c r="C937" s="871"/>
    </row>
    <row r="938">
      <c r="A938" s="870"/>
      <c r="B938" s="870"/>
      <c r="C938" s="871"/>
    </row>
    <row r="939">
      <c r="A939" s="870"/>
      <c r="B939" s="870"/>
      <c r="C939" s="871"/>
    </row>
    <row r="940">
      <c r="A940" s="870"/>
      <c r="B940" s="870"/>
      <c r="C940" s="871"/>
    </row>
    <row r="941">
      <c r="A941" s="870"/>
      <c r="B941" s="870"/>
      <c r="C941" s="871"/>
    </row>
    <row r="942">
      <c r="A942" s="870"/>
      <c r="B942" s="870"/>
      <c r="C942" s="871"/>
    </row>
    <row r="943">
      <c r="A943" s="870"/>
      <c r="B943" s="870"/>
      <c r="C943" s="871"/>
    </row>
    <row r="944">
      <c r="A944" s="870"/>
      <c r="B944" s="870"/>
      <c r="C944" s="871"/>
    </row>
    <row r="945">
      <c r="A945" s="870"/>
      <c r="B945" s="870"/>
      <c r="C945" s="871"/>
    </row>
    <row r="946">
      <c r="A946" s="870"/>
      <c r="B946" s="870"/>
      <c r="C946" s="871"/>
    </row>
    <row r="947">
      <c r="A947" s="870"/>
      <c r="B947" s="870"/>
      <c r="C947" s="871"/>
    </row>
    <row r="948">
      <c r="A948" s="870"/>
      <c r="B948" s="870"/>
      <c r="C948" s="871"/>
    </row>
    <row r="949">
      <c r="A949" s="870"/>
      <c r="B949" s="870"/>
      <c r="C949" s="871"/>
    </row>
    <row r="950">
      <c r="A950" s="870"/>
      <c r="B950" s="870"/>
      <c r="C950" s="871"/>
    </row>
    <row r="951">
      <c r="A951" s="870"/>
      <c r="B951" s="870"/>
      <c r="C951" s="871"/>
    </row>
    <row r="952">
      <c r="A952" s="870"/>
      <c r="B952" s="870"/>
      <c r="C952" s="871"/>
    </row>
    <row r="953">
      <c r="A953" s="870"/>
      <c r="B953" s="870"/>
      <c r="C953" s="871"/>
    </row>
    <row r="954">
      <c r="A954" s="870"/>
      <c r="B954" s="870"/>
      <c r="C954" s="871"/>
    </row>
    <row r="955">
      <c r="A955" s="870"/>
      <c r="B955" s="870"/>
      <c r="C955" s="871"/>
    </row>
    <row r="956">
      <c r="A956" s="870"/>
      <c r="B956" s="870"/>
      <c r="C956" s="871"/>
    </row>
    <row r="957">
      <c r="A957" s="870"/>
      <c r="B957" s="870"/>
      <c r="C957" s="871"/>
    </row>
    <row r="958">
      <c r="A958" s="870"/>
      <c r="B958" s="870"/>
      <c r="C958" s="871"/>
    </row>
    <row r="959">
      <c r="A959" s="870"/>
      <c r="B959" s="870"/>
      <c r="C959" s="871"/>
    </row>
    <row r="960">
      <c r="A960" s="870"/>
      <c r="B960" s="870"/>
      <c r="C960" s="871"/>
    </row>
    <row r="961">
      <c r="A961" s="870"/>
      <c r="B961" s="870"/>
      <c r="C961" s="871"/>
    </row>
    <row r="962">
      <c r="A962" s="870"/>
      <c r="B962" s="870"/>
      <c r="C962" s="871"/>
    </row>
    <row r="963">
      <c r="A963" s="870"/>
      <c r="B963" s="870"/>
      <c r="C963" s="871"/>
    </row>
    <row r="964">
      <c r="A964" s="870"/>
      <c r="B964" s="870"/>
      <c r="C964" s="871"/>
    </row>
    <row r="965">
      <c r="A965" s="870"/>
      <c r="B965" s="870"/>
      <c r="C965" s="871"/>
    </row>
    <row r="966">
      <c r="A966" s="870"/>
      <c r="B966" s="870"/>
      <c r="C966" s="871"/>
    </row>
    <row r="967">
      <c r="A967" s="870"/>
      <c r="B967" s="870"/>
      <c r="C967" s="871"/>
    </row>
    <row r="968">
      <c r="A968" s="870"/>
      <c r="B968" s="870"/>
      <c r="C968" s="871"/>
    </row>
    <row r="969">
      <c r="A969" s="870"/>
      <c r="B969" s="870"/>
      <c r="C969" s="871"/>
    </row>
    <row r="970">
      <c r="A970" s="870"/>
      <c r="B970" s="870"/>
      <c r="C970" s="871"/>
    </row>
    <row r="971">
      <c r="A971" s="870"/>
      <c r="B971" s="870"/>
      <c r="C971" s="871"/>
    </row>
    <row r="972">
      <c r="A972" s="870"/>
      <c r="B972" s="870"/>
      <c r="C972" s="871"/>
    </row>
    <row r="973">
      <c r="A973" s="870"/>
      <c r="B973" s="870"/>
      <c r="C973" s="871"/>
    </row>
    <row r="974">
      <c r="A974" s="870"/>
      <c r="B974" s="870"/>
      <c r="C974" s="871"/>
    </row>
    <row r="975">
      <c r="A975" s="870"/>
      <c r="B975" s="870"/>
      <c r="C975" s="871"/>
    </row>
    <row r="976">
      <c r="A976" s="870"/>
      <c r="B976" s="870"/>
      <c r="C976" s="871"/>
    </row>
    <row r="977">
      <c r="A977" s="870"/>
      <c r="B977" s="870"/>
      <c r="C977" s="871"/>
    </row>
    <row r="978">
      <c r="A978" s="870"/>
      <c r="B978" s="870"/>
      <c r="C978" s="871"/>
    </row>
    <row r="979">
      <c r="A979" s="870"/>
      <c r="B979" s="870"/>
      <c r="C979" s="871"/>
    </row>
    <row r="980">
      <c r="A980" s="870"/>
      <c r="B980" s="870"/>
      <c r="C980" s="871"/>
    </row>
    <row r="981">
      <c r="A981" s="870"/>
      <c r="B981" s="870"/>
      <c r="C981" s="871"/>
    </row>
    <row r="982">
      <c r="A982" s="870"/>
      <c r="B982" s="870"/>
      <c r="C982" s="871"/>
    </row>
    <row r="983">
      <c r="A983" s="870"/>
      <c r="B983" s="870"/>
      <c r="C983" s="871"/>
    </row>
    <row r="984">
      <c r="A984" s="870"/>
      <c r="B984" s="870"/>
      <c r="C984" s="871"/>
    </row>
    <row r="985">
      <c r="A985" s="870"/>
      <c r="B985" s="870"/>
      <c r="C985" s="871"/>
    </row>
    <row r="986">
      <c r="A986" s="870"/>
      <c r="B986" s="870"/>
      <c r="C986" s="871"/>
    </row>
    <row r="987">
      <c r="A987" s="870"/>
      <c r="B987" s="870"/>
      <c r="C987" s="871"/>
    </row>
    <row r="988">
      <c r="A988" s="870"/>
      <c r="B988" s="870"/>
      <c r="C988" s="871"/>
    </row>
    <row r="989">
      <c r="A989" s="870"/>
      <c r="B989" s="870"/>
      <c r="C989" s="871"/>
    </row>
    <row r="990">
      <c r="A990" s="870"/>
      <c r="B990" s="870"/>
      <c r="C990" s="871"/>
    </row>
    <row r="991">
      <c r="A991" s="870"/>
      <c r="B991" s="870"/>
      <c r="C991" s="871"/>
    </row>
    <row r="992">
      <c r="A992" s="870"/>
      <c r="B992" s="870"/>
      <c r="C992" s="871"/>
    </row>
    <row r="993">
      <c r="A993" s="870"/>
      <c r="B993" s="870"/>
      <c r="C993" s="871"/>
    </row>
    <row r="994">
      <c r="A994" s="870"/>
      <c r="B994" s="870"/>
      <c r="C994" s="871"/>
    </row>
    <row r="995">
      <c r="A995" s="870"/>
      <c r="B995" s="870"/>
      <c r="C995" s="871"/>
    </row>
    <row r="996">
      <c r="A996" s="870"/>
      <c r="B996" s="870"/>
      <c r="C996" s="871"/>
    </row>
    <row r="997">
      <c r="A997" s="870"/>
      <c r="B997" s="870"/>
      <c r="C997" s="871"/>
    </row>
    <row r="998">
      <c r="A998" s="870"/>
      <c r="B998" s="870"/>
      <c r="C998" s="871"/>
    </row>
    <row r="999">
      <c r="A999" s="870"/>
      <c r="B999" s="870"/>
      <c r="C999" s="871"/>
    </row>
    <row r="1000">
      <c r="A1000" s="870"/>
      <c r="B1000" s="870"/>
      <c r="C1000" s="871"/>
    </row>
    <row r="1001">
      <c r="A1001" s="870"/>
      <c r="B1001" s="870"/>
      <c r="C1001" s="871"/>
    </row>
    <row r="1002">
      <c r="A1002" s="870"/>
      <c r="B1002" s="870"/>
      <c r="C1002" s="871"/>
    </row>
    <row r="1003">
      <c r="A1003" s="870"/>
      <c r="B1003" s="870"/>
      <c r="C1003" s="871"/>
    </row>
  </sheetData>
  <mergeCells count="99">
    <mergeCell ref="D14:L15"/>
    <mergeCell ref="D12:L13"/>
    <mergeCell ref="B14:B15"/>
    <mergeCell ref="C16:C18"/>
    <mergeCell ref="B16:B18"/>
    <mergeCell ref="C10:C11"/>
    <mergeCell ref="B10:B11"/>
    <mergeCell ref="D4:L5"/>
    <mergeCell ref="D6:L7"/>
    <mergeCell ref="D18:L18"/>
    <mergeCell ref="D16:L17"/>
    <mergeCell ref="D10:L11"/>
    <mergeCell ref="B3:L3"/>
    <mergeCell ref="D2:L2"/>
    <mergeCell ref="B12:B13"/>
    <mergeCell ref="B6:B7"/>
    <mergeCell ref="D61:L62"/>
    <mergeCell ref="D63:L64"/>
    <mergeCell ref="C63:C64"/>
    <mergeCell ref="C61:C62"/>
    <mergeCell ref="C67:C68"/>
    <mergeCell ref="C65:C66"/>
    <mergeCell ref="C51:C52"/>
    <mergeCell ref="B51:B52"/>
    <mergeCell ref="B55:B56"/>
    <mergeCell ref="C55:C56"/>
    <mergeCell ref="D51:L52"/>
    <mergeCell ref="D53:L54"/>
    <mergeCell ref="C53:C54"/>
    <mergeCell ref="B53:B54"/>
    <mergeCell ref="D59:L60"/>
    <mergeCell ref="D55:L56"/>
    <mergeCell ref="D57:L58"/>
    <mergeCell ref="C57:C58"/>
    <mergeCell ref="C59:C60"/>
    <mergeCell ref="D67:L68"/>
    <mergeCell ref="D65:L66"/>
    <mergeCell ref="B67:B68"/>
    <mergeCell ref="B61:B62"/>
    <mergeCell ref="B59:B60"/>
    <mergeCell ref="B57:B58"/>
    <mergeCell ref="D25:L26"/>
    <mergeCell ref="D27:L28"/>
    <mergeCell ref="C31:C32"/>
    <mergeCell ref="C27:C28"/>
    <mergeCell ref="C29:C30"/>
    <mergeCell ref="D33:L34"/>
    <mergeCell ref="D35:L36"/>
    <mergeCell ref="C25:C26"/>
    <mergeCell ref="C23:C24"/>
    <mergeCell ref="C35:C36"/>
    <mergeCell ref="C33:C34"/>
    <mergeCell ref="D19:L20"/>
    <mergeCell ref="D31:L32"/>
    <mergeCell ref="D21:L22"/>
    <mergeCell ref="D29:L30"/>
    <mergeCell ref="D23:L24"/>
    <mergeCell ref="C19:C20"/>
    <mergeCell ref="B25:B26"/>
    <mergeCell ref="B21:B22"/>
    <mergeCell ref="B23:B24"/>
    <mergeCell ref="B29:B30"/>
    <mergeCell ref="B31:B32"/>
    <mergeCell ref="B35:B36"/>
    <mergeCell ref="B33:B34"/>
    <mergeCell ref="B37:B38"/>
    <mergeCell ref="B39:B40"/>
    <mergeCell ref="B27:B28"/>
    <mergeCell ref="C37:C38"/>
    <mergeCell ref="C39:C40"/>
    <mergeCell ref="B41:B42"/>
    <mergeCell ref="D8:L9"/>
    <mergeCell ref="B8:B9"/>
    <mergeCell ref="C4:C5"/>
    <mergeCell ref="B4:B5"/>
    <mergeCell ref="B19:B20"/>
    <mergeCell ref="B63:B64"/>
    <mergeCell ref="B65:B66"/>
    <mergeCell ref="C41:C42"/>
    <mergeCell ref="C43:C44"/>
    <mergeCell ref="C8:C9"/>
    <mergeCell ref="C6:C7"/>
    <mergeCell ref="C14:C15"/>
    <mergeCell ref="C12:C13"/>
    <mergeCell ref="C21:C22"/>
    <mergeCell ref="D41:L42"/>
    <mergeCell ref="D43:L44"/>
    <mergeCell ref="D37:L38"/>
    <mergeCell ref="D39:L40"/>
    <mergeCell ref="B47:B48"/>
    <mergeCell ref="B45:B46"/>
    <mergeCell ref="B43:B44"/>
    <mergeCell ref="C45:C46"/>
    <mergeCell ref="C49:C50"/>
    <mergeCell ref="B49:B50"/>
    <mergeCell ref="C47:C48"/>
    <mergeCell ref="D49:L50"/>
    <mergeCell ref="D47:L48"/>
    <mergeCell ref="D45:L46"/>
  </mergeCells>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681"/>
      <c r="B1" s="872"/>
      <c r="C1" s="873"/>
      <c r="D1" s="1"/>
      <c r="E1" s="5"/>
      <c r="F1" s="874"/>
      <c r="G1" s="874"/>
      <c r="H1" s="1"/>
      <c r="I1" s="1"/>
      <c r="J1" s="5"/>
      <c r="K1" s="5"/>
      <c r="L1" s="5"/>
      <c r="M1" s="5"/>
      <c r="N1" s="5"/>
      <c r="O1" s="5"/>
    </row>
    <row r="2">
      <c r="A2" s="681"/>
      <c r="B2" s="875" t="s">
        <v>1581</v>
      </c>
      <c r="C2" s="876" t="s">
        <v>1582</v>
      </c>
      <c r="D2" s="877" t="s">
        <v>59</v>
      </c>
      <c r="E2" s="5"/>
      <c r="F2" s="878" t="s">
        <v>1583</v>
      </c>
      <c r="G2" s="878" t="s">
        <v>1582</v>
      </c>
      <c r="H2" s="877" t="s">
        <v>59</v>
      </c>
      <c r="I2" s="1"/>
      <c r="J2" s="365"/>
      <c r="K2" s="365"/>
      <c r="L2" s="365"/>
      <c r="M2" s="5"/>
      <c r="N2" s="5"/>
      <c r="O2" s="5"/>
    </row>
    <row r="3">
      <c r="A3" s="5"/>
      <c r="E3" s="5"/>
      <c r="I3" s="413"/>
      <c r="J3" s="879" t="s">
        <v>1584</v>
      </c>
      <c r="K3" s="26"/>
      <c r="L3" s="28"/>
      <c r="M3" s="5"/>
      <c r="N3" s="880" t="s">
        <v>1585</v>
      </c>
      <c r="O3" s="107"/>
    </row>
    <row r="4">
      <c r="A4" s="5"/>
      <c r="B4" s="881" t="s">
        <v>728</v>
      </c>
      <c r="C4" s="882">
        <v>15.0</v>
      </c>
      <c r="D4" s="883" t="s">
        <v>72</v>
      </c>
      <c r="E4" s="5"/>
      <c r="F4" s="881" t="s">
        <v>167</v>
      </c>
      <c r="G4" s="884">
        <v>0.0</v>
      </c>
      <c r="H4" s="883" t="s">
        <v>60</v>
      </c>
      <c r="I4" s="5"/>
      <c r="J4" s="885"/>
      <c r="K4" s="873" t="s">
        <v>1586</v>
      </c>
      <c r="L4" s="886" t="s">
        <v>1587</v>
      </c>
      <c r="M4" s="5"/>
      <c r="N4" s="887" t="s">
        <v>1588</v>
      </c>
      <c r="O4" s="888" t="s">
        <v>1589</v>
      </c>
    </row>
    <row r="5">
      <c r="A5" s="5"/>
      <c r="B5" s="889" t="s">
        <v>374</v>
      </c>
      <c r="C5" s="890">
        <v>15.0</v>
      </c>
      <c r="D5" s="886" t="s">
        <v>65</v>
      </c>
      <c r="E5" s="5"/>
      <c r="F5" s="889" t="s">
        <v>167</v>
      </c>
      <c r="G5" s="874">
        <v>0.0</v>
      </c>
      <c r="H5" s="886" t="s">
        <v>60</v>
      </c>
      <c r="I5" s="5"/>
      <c r="J5" s="889" t="s">
        <v>10</v>
      </c>
      <c r="K5" s="890">
        <v>0.0</v>
      </c>
      <c r="L5" s="891">
        <v>0.0</v>
      </c>
      <c r="M5" s="5"/>
      <c r="N5" s="892"/>
      <c r="O5" s="893"/>
    </row>
    <row r="6">
      <c r="A6" s="5"/>
      <c r="B6" s="889" t="s">
        <v>176</v>
      </c>
      <c r="C6" s="890">
        <v>15.0</v>
      </c>
      <c r="D6" s="886" t="s">
        <v>60</v>
      </c>
      <c r="E6" s="5"/>
      <c r="F6" s="889" t="s">
        <v>176</v>
      </c>
      <c r="G6" s="874">
        <v>0.0</v>
      </c>
      <c r="H6" s="886" t="s">
        <v>60</v>
      </c>
      <c r="I6" s="5"/>
      <c r="J6" s="889" t="s">
        <v>15</v>
      </c>
      <c r="K6" s="890">
        <v>40.0</v>
      </c>
      <c r="L6" s="891">
        <v>5.0</v>
      </c>
      <c r="M6" s="5"/>
      <c r="N6" s="887" t="s">
        <v>407</v>
      </c>
      <c r="O6" s="894">
        <v>1.0</v>
      </c>
    </row>
    <row r="7">
      <c r="A7" s="5"/>
      <c r="B7" s="889" t="s">
        <v>915</v>
      </c>
      <c r="C7" s="890">
        <v>15.0</v>
      </c>
      <c r="D7" s="886" t="s">
        <v>75</v>
      </c>
      <c r="E7" s="5"/>
      <c r="F7" s="889" t="s">
        <v>176</v>
      </c>
      <c r="G7" s="874">
        <v>0.0</v>
      </c>
      <c r="H7" s="886" t="s">
        <v>60</v>
      </c>
      <c r="I7" s="5"/>
      <c r="J7" s="889" t="s">
        <v>21</v>
      </c>
      <c r="K7" s="890">
        <v>100.0</v>
      </c>
      <c r="L7" s="891">
        <v>20.0</v>
      </c>
      <c r="M7" s="5"/>
      <c r="N7" s="887" t="s">
        <v>1449</v>
      </c>
      <c r="O7" s="894">
        <v>1.0</v>
      </c>
    </row>
    <row r="8">
      <c r="A8" s="5"/>
      <c r="B8" s="889" t="s">
        <v>463</v>
      </c>
      <c r="C8" s="890">
        <v>15.0</v>
      </c>
      <c r="D8" s="886" t="s">
        <v>68</v>
      </c>
      <c r="E8" s="5"/>
      <c r="F8" s="889" t="s">
        <v>161</v>
      </c>
      <c r="G8" s="874">
        <v>0.0</v>
      </c>
      <c r="H8" s="886" t="s">
        <v>60</v>
      </c>
      <c r="I8" s="5"/>
      <c r="J8" s="889" t="s">
        <v>22</v>
      </c>
      <c r="K8" s="890">
        <v>400.0</v>
      </c>
      <c r="L8" s="891">
        <v>100.0</v>
      </c>
      <c r="M8" s="5"/>
      <c r="N8" s="887" t="s">
        <v>672</v>
      </c>
      <c r="O8" s="894">
        <v>1.0</v>
      </c>
    </row>
    <row r="9">
      <c r="A9" s="5"/>
      <c r="B9" s="889" t="s">
        <v>555</v>
      </c>
      <c r="C9" s="890">
        <v>15.0</v>
      </c>
      <c r="D9" s="886" t="s">
        <v>69</v>
      </c>
      <c r="E9" s="5"/>
      <c r="F9" s="889" t="s">
        <v>161</v>
      </c>
      <c r="G9" s="874">
        <v>0.0</v>
      </c>
      <c r="H9" s="886" t="s">
        <v>60</v>
      </c>
      <c r="I9" s="5"/>
      <c r="J9" s="895" t="s">
        <v>23</v>
      </c>
      <c r="K9" s="896">
        <v>1600.0</v>
      </c>
      <c r="L9" s="897">
        <v>400.0</v>
      </c>
      <c r="M9" s="5"/>
      <c r="N9" s="887" t="s">
        <v>1325</v>
      </c>
      <c r="O9" s="894">
        <v>1.0</v>
      </c>
    </row>
    <row r="10">
      <c r="A10" s="5"/>
      <c r="B10" s="889" t="s">
        <v>819</v>
      </c>
      <c r="C10" s="890">
        <v>15.0</v>
      </c>
      <c r="D10" s="886" t="s">
        <v>73</v>
      </c>
      <c r="E10" s="5"/>
      <c r="F10" s="889" t="s">
        <v>170</v>
      </c>
      <c r="G10" s="874">
        <v>0.0</v>
      </c>
      <c r="H10" s="886" t="s">
        <v>60</v>
      </c>
      <c r="I10" s="5"/>
      <c r="J10" s="365"/>
      <c r="K10" s="365"/>
      <c r="L10" s="365"/>
      <c r="M10" s="5"/>
      <c r="N10" s="887" t="s">
        <v>308</v>
      </c>
      <c r="O10" s="894">
        <v>1.0</v>
      </c>
    </row>
    <row r="11">
      <c r="A11" s="5"/>
      <c r="B11" s="889" t="s">
        <v>641</v>
      </c>
      <c r="C11" s="890">
        <v>15.0</v>
      </c>
      <c r="D11" s="886" t="s">
        <v>70</v>
      </c>
      <c r="E11" s="5"/>
      <c r="F11" s="889" t="s">
        <v>170</v>
      </c>
      <c r="G11" s="874">
        <v>0.0</v>
      </c>
      <c r="H11" s="886" t="s">
        <v>60</v>
      </c>
      <c r="I11" s="413"/>
      <c r="M11" s="5"/>
      <c r="N11" s="887" t="s">
        <v>598</v>
      </c>
      <c r="O11" s="894">
        <v>1.0</v>
      </c>
    </row>
    <row r="12">
      <c r="A12" s="5"/>
      <c r="B12" s="889" t="s">
        <v>278</v>
      </c>
      <c r="C12" s="890">
        <v>15.0</v>
      </c>
      <c r="D12" s="886" t="s">
        <v>63</v>
      </c>
      <c r="E12" s="5"/>
      <c r="F12" s="889" t="s">
        <v>173</v>
      </c>
      <c r="G12" s="874">
        <v>0.0</v>
      </c>
      <c r="H12" s="886" t="s">
        <v>60</v>
      </c>
      <c r="I12" s="5"/>
      <c r="M12" s="5"/>
      <c r="N12" s="887" t="s">
        <v>947</v>
      </c>
      <c r="O12" s="894">
        <v>2.0</v>
      </c>
    </row>
    <row r="13">
      <c r="A13" s="5"/>
      <c r="B13" s="889" t="s">
        <v>728</v>
      </c>
      <c r="C13" s="890">
        <v>20.0</v>
      </c>
      <c r="D13" s="886" t="s">
        <v>72</v>
      </c>
      <c r="E13" s="5"/>
      <c r="F13" s="889" t="s">
        <v>173</v>
      </c>
      <c r="G13" s="874">
        <v>0.0</v>
      </c>
      <c r="H13" s="886" t="s">
        <v>60</v>
      </c>
      <c r="I13" s="5"/>
      <c r="J13" s="879" t="s">
        <v>1590</v>
      </c>
      <c r="K13" s="26"/>
      <c r="L13" s="28"/>
      <c r="M13" s="5"/>
      <c r="N13" s="887" t="s">
        <v>1127</v>
      </c>
      <c r="O13" s="894">
        <v>2.0</v>
      </c>
    </row>
    <row r="14">
      <c r="A14" s="5"/>
      <c r="B14" s="889" t="s">
        <v>374</v>
      </c>
      <c r="C14" s="890">
        <v>20.0</v>
      </c>
      <c r="D14" s="886" t="s">
        <v>65</v>
      </c>
      <c r="E14" s="5"/>
      <c r="F14" s="889" t="s">
        <v>185</v>
      </c>
      <c r="G14" s="874">
        <v>2.0</v>
      </c>
      <c r="H14" s="886" t="s">
        <v>60</v>
      </c>
      <c r="I14" s="5"/>
      <c r="J14" s="885"/>
      <c r="K14" s="873" t="s">
        <v>1586</v>
      </c>
      <c r="L14" s="886" t="s">
        <v>1587</v>
      </c>
      <c r="M14" s="5"/>
      <c r="N14" s="887" t="s">
        <v>208</v>
      </c>
      <c r="O14" s="894">
        <v>2.0</v>
      </c>
    </row>
    <row r="15">
      <c r="A15" s="5"/>
      <c r="B15" s="889" t="s">
        <v>176</v>
      </c>
      <c r="C15" s="890">
        <v>20.0</v>
      </c>
      <c r="D15" s="886" t="s">
        <v>60</v>
      </c>
      <c r="E15" s="5"/>
      <c r="F15" s="889" t="s">
        <v>185</v>
      </c>
      <c r="G15" s="874">
        <v>2.0</v>
      </c>
      <c r="H15" s="886" t="s">
        <v>60</v>
      </c>
      <c r="I15" s="5"/>
      <c r="J15" s="889" t="s">
        <v>10</v>
      </c>
      <c r="K15" s="890">
        <v>0.0</v>
      </c>
      <c r="L15" s="891">
        <v>0.0</v>
      </c>
      <c r="M15" s="5"/>
      <c r="N15" s="887" t="s">
        <v>853</v>
      </c>
      <c r="O15" s="894">
        <v>2.0</v>
      </c>
    </row>
    <row r="16">
      <c r="A16" s="5"/>
      <c r="B16" s="889" t="s">
        <v>915</v>
      </c>
      <c r="C16" s="890">
        <v>20.0</v>
      </c>
      <c r="D16" s="886" t="s">
        <v>75</v>
      </c>
      <c r="E16" s="5"/>
      <c r="F16" s="889" t="s">
        <v>179</v>
      </c>
      <c r="G16" s="874">
        <v>4.0</v>
      </c>
      <c r="H16" s="886" t="s">
        <v>60</v>
      </c>
      <c r="I16" s="5"/>
      <c r="J16" s="889" t="s">
        <v>15</v>
      </c>
      <c r="K16" s="890">
        <v>400.0</v>
      </c>
      <c r="L16" s="891">
        <v>50.0</v>
      </c>
      <c r="M16" s="5"/>
      <c r="N16" s="887" t="s">
        <v>777</v>
      </c>
      <c r="O16" s="894">
        <v>2.0</v>
      </c>
    </row>
    <row r="17">
      <c r="A17" s="5"/>
      <c r="B17" s="889" t="s">
        <v>463</v>
      </c>
      <c r="C17" s="890">
        <v>20.0</v>
      </c>
      <c r="D17" s="886" t="s">
        <v>68</v>
      </c>
      <c r="E17" s="5"/>
      <c r="F17" s="889" t="s">
        <v>179</v>
      </c>
      <c r="G17" s="874">
        <v>4.0</v>
      </c>
      <c r="H17" s="886" t="s">
        <v>60</v>
      </c>
      <c r="I17" s="5"/>
      <c r="J17" s="889" t="s">
        <v>21</v>
      </c>
      <c r="K17" s="890">
        <v>800.0</v>
      </c>
      <c r="L17" s="891">
        <v>100.0</v>
      </c>
      <c r="M17" s="5"/>
      <c r="N17" s="887" t="s">
        <v>1501</v>
      </c>
      <c r="O17" s="894">
        <v>2.0</v>
      </c>
    </row>
    <row r="18">
      <c r="A18" s="5"/>
      <c r="B18" s="889" t="s">
        <v>555</v>
      </c>
      <c r="C18" s="890">
        <v>20.0</v>
      </c>
      <c r="D18" s="886" t="s">
        <v>69</v>
      </c>
      <c r="E18" s="5"/>
      <c r="F18" s="889" t="s">
        <v>164</v>
      </c>
      <c r="G18" s="874">
        <v>6.0</v>
      </c>
      <c r="H18" s="886" t="s">
        <v>60</v>
      </c>
      <c r="I18" s="5"/>
      <c r="J18" s="889" t="s">
        <v>22</v>
      </c>
      <c r="K18" s="890">
        <v>1600.0</v>
      </c>
      <c r="L18" s="891">
        <v>400.0</v>
      </c>
      <c r="M18" s="5"/>
      <c r="N18" s="887" t="s">
        <v>332</v>
      </c>
      <c r="O18" s="894">
        <v>3.0</v>
      </c>
    </row>
    <row r="19">
      <c r="A19" s="5"/>
      <c r="B19" s="889" t="s">
        <v>819</v>
      </c>
      <c r="C19" s="890">
        <v>20.0</v>
      </c>
      <c r="D19" s="886" t="s">
        <v>73</v>
      </c>
      <c r="E19" s="5"/>
      <c r="F19" s="889" t="s">
        <v>164</v>
      </c>
      <c r="G19" s="874">
        <v>6.0</v>
      </c>
      <c r="H19" s="886" t="s">
        <v>60</v>
      </c>
      <c r="I19" s="5"/>
      <c r="J19" s="895" t="s">
        <v>23</v>
      </c>
      <c r="K19" s="896">
        <v>3200.0</v>
      </c>
      <c r="L19" s="897">
        <v>1600.0</v>
      </c>
      <c r="M19" s="5"/>
      <c r="N19" s="887" t="s">
        <v>520</v>
      </c>
      <c r="O19" s="894">
        <v>3.0</v>
      </c>
    </row>
    <row r="20">
      <c r="A20" s="5"/>
      <c r="B20" s="889" t="s">
        <v>641</v>
      </c>
      <c r="C20" s="890">
        <v>20.0</v>
      </c>
      <c r="D20" s="886" t="s">
        <v>70</v>
      </c>
      <c r="E20" s="5"/>
      <c r="F20" s="889" t="s">
        <v>182</v>
      </c>
      <c r="G20" s="874">
        <v>8.0</v>
      </c>
      <c r="H20" s="886" t="s">
        <v>60</v>
      </c>
      <c r="I20" s="413"/>
      <c r="J20" s="14"/>
      <c r="K20" s="5"/>
      <c r="L20" s="5"/>
      <c r="M20" s="5"/>
      <c r="N20" s="887" t="s">
        <v>1229</v>
      </c>
      <c r="O20" s="894">
        <v>3.0</v>
      </c>
    </row>
    <row r="21">
      <c r="A21" s="5"/>
      <c r="B21" s="889" t="s">
        <v>278</v>
      </c>
      <c r="C21" s="890">
        <v>20.0</v>
      </c>
      <c r="D21" s="886" t="s">
        <v>63</v>
      </c>
      <c r="E21" s="5"/>
      <c r="F21" s="889" t="s">
        <v>182</v>
      </c>
      <c r="G21" s="874">
        <v>8.0</v>
      </c>
      <c r="H21" s="886" t="s">
        <v>60</v>
      </c>
      <c r="I21" s="5"/>
      <c r="J21" s="365"/>
      <c r="K21" s="365"/>
      <c r="L21" s="365"/>
      <c r="M21" s="5"/>
      <c r="N21" s="887" t="s">
        <v>1480</v>
      </c>
      <c r="O21" s="894">
        <v>3.0</v>
      </c>
    </row>
    <row r="22">
      <c r="A22" s="5"/>
      <c r="B22" s="889" t="s">
        <v>917</v>
      </c>
      <c r="C22" s="890">
        <v>23.0</v>
      </c>
      <c r="D22" s="886" t="s">
        <v>75</v>
      </c>
      <c r="E22" s="5"/>
      <c r="F22" s="889" t="s">
        <v>187</v>
      </c>
      <c r="G22" s="874">
        <v>10.0</v>
      </c>
      <c r="H22" s="886" t="s">
        <v>60</v>
      </c>
      <c r="I22" s="5"/>
      <c r="M22" s="5"/>
      <c r="N22" s="887" t="s">
        <v>575</v>
      </c>
      <c r="O22" s="894">
        <v>3.0</v>
      </c>
    </row>
    <row r="23">
      <c r="A23" s="5"/>
      <c r="B23" s="889" t="s">
        <v>837</v>
      </c>
      <c r="C23" s="890">
        <v>23.0</v>
      </c>
      <c r="D23" s="886" t="s">
        <v>73</v>
      </c>
      <c r="E23" s="5"/>
      <c r="F23" s="889" t="s">
        <v>187</v>
      </c>
      <c r="G23" s="874">
        <v>10.0</v>
      </c>
      <c r="H23" s="886" t="s">
        <v>60</v>
      </c>
      <c r="I23" s="5"/>
      <c r="M23" s="5"/>
      <c r="N23" s="887" t="s">
        <v>250</v>
      </c>
      <c r="O23" s="894">
        <v>3.0</v>
      </c>
    </row>
    <row r="24">
      <c r="A24" s="5"/>
      <c r="B24" s="889" t="s">
        <v>376</v>
      </c>
      <c r="C24" s="890">
        <v>23.0</v>
      </c>
      <c r="D24" s="886" t="s">
        <v>65</v>
      </c>
      <c r="E24" s="5"/>
      <c r="F24" s="889" t="s">
        <v>274</v>
      </c>
      <c r="G24" s="874">
        <v>0.0</v>
      </c>
      <c r="H24" s="886" t="s">
        <v>63</v>
      </c>
      <c r="I24" s="5"/>
      <c r="J24" s="879" t="s">
        <v>1591</v>
      </c>
      <c r="K24" s="26"/>
      <c r="L24" s="26"/>
      <c r="M24" s="5"/>
      <c r="N24" s="887" t="s">
        <v>1486</v>
      </c>
      <c r="O24" s="894">
        <v>4.0</v>
      </c>
    </row>
    <row r="25">
      <c r="A25" s="5"/>
      <c r="B25" s="889" t="s">
        <v>458</v>
      </c>
      <c r="C25" s="890">
        <v>23.0</v>
      </c>
      <c r="D25" s="886" t="s">
        <v>68</v>
      </c>
      <c r="E25" s="5"/>
      <c r="F25" s="889" t="s">
        <v>274</v>
      </c>
      <c r="G25" s="874">
        <v>0.0</v>
      </c>
      <c r="H25" s="886" t="s">
        <v>63</v>
      </c>
      <c r="I25" s="5"/>
      <c r="J25" s="889" t="s">
        <v>29</v>
      </c>
      <c r="K25" s="873" t="s">
        <v>141</v>
      </c>
      <c r="L25" s="886" t="s">
        <v>1592</v>
      </c>
      <c r="M25" s="5"/>
      <c r="N25" s="887" t="s">
        <v>704</v>
      </c>
      <c r="O25" s="894">
        <v>4.0</v>
      </c>
    </row>
    <row r="26">
      <c r="A26" s="5"/>
      <c r="B26" s="889" t="s">
        <v>546</v>
      </c>
      <c r="C26" s="890">
        <v>23.0</v>
      </c>
      <c r="D26" s="886" t="s">
        <v>69</v>
      </c>
      <c r="E26" s="5"/>
      <c r="F26" s="889" t="s">
        <v>284</v>
      </c>
      <c r="G26" s="874">
        <v>0.0</v>
      </c>
      <c r="H26" s="886" t="s">
        <v>63</v>
      </c>
      <c r="I26" s="5"/>
      <c r="J26" s="898" t="s">
        <v>10</v>
      </c>
      <c r="K26" s="873" t="s">
        <v>1593</v>
      </c>
      <c r="L26" s="413"/>
      <c r="M26" s="5"/>
      <c r="N26" s="887" t="s">
        <v>868</v>
      </c>
      <c r="O26" s="894">
        <v>4.0</v>
      </c>
    </row>
    <row r="27">
      <c r="A27" s="5"/>
      <c r="B27" s="889" t="s">
        <v>276</v>
      </c>
      <c r="C27" s="890">
        <v>23.0</v>
      </c>
      <c r="D27" s="886" t="s">
        <v>63</v>
      </c>
      <c r="E27" s="5"/>
      <c r="F27" s="889" t="s">
        <v>284</v>
      </c>
      <c r="G27" s="874">
        <v>0.0</v>
      </c>
      <c r="H27" s="886" t="s">
        <v>63</v>
      </c>
      <c r="I27" s="5"/>
      <c r="J27" s="898" t="s">
        <v>33</v>
      </c>
      <c r="K27" s="873" t="s">
        <v>1593</v>
      </c>
      <c r="L27" s="413"/>
      <c r="M27" s="5"/>
      <c r="N27" s="887" t="s">
        <v>773</v>
      </c>
      <c r="O27" s="894">
        <v>4.0</v>
      </c>
    </row>
    <row r="28">
      <c r="A28" s="5"/>
      <c r="B28" s="889" t="s">
        <v>653</v>
      </c>
      <c r="C28" s="890">
        <v>23.0</v>
      </c>
      <c r="D28" s="886" t="s">
        <v>70</v>
      </c>
      <c r="E28" s="5"/>
      <c r="F28" s="889" t="s">
        <v>286</v>
      </c>
      <c r="G28" s="874">
        <v>0.0</v>
      </c>
      <c r="H28" s="886" t="s">
        <v>63</v>
      </c>
      <c r="I28" s="5"/>
      <c r="J28" s="898" t="s">
        <v>37</v>
      </c>
      <c r="K28" s="873" t="s">
        <v>56</v>
      </c>
      <c r="L28" s="413"/>
      <c r="M28" s="5"/>
      <c r="N28" s="887" t="s">
        <v>419</v>
      </c>
      <c r="O28" s="894">
        <v>4.0</v>
      </c>
    </row>
    <row r="29">
      <c r="A29" s="5"/>
      <c r="B29" s="889" t="s">
        <v>173</v>
      </c>
      <c r="C29" s="890">
        <v>23.0</v>
      </c>
      <c r="D29" s="886" t="s">
        <v>60</v>
      </c>
      <c r="E29" s="5"/>
      <c r="F29" s="889" t="s">
        <v>286</v>
      </c>
      <c r="G29" s="874">
        <v>0.0</v>
      </c>
      <c r="H29" s="886" t="s">
        <v>63</v>
      </c>
      <c r="I29" s="5"/>
      <c r="J29" s="898" t="s">
        <v>41</v>
      </c>
      <c r="K29" s="873" t="s">
        <v>1594</v>
      </c>
      <c r="L29" s="413"/>
      <c r="M29" s="5"/>
      <c r="N29" s="887" t="s">
        <v>1173</v>
      </c>
      <c r="O29" s="894">
        <v>4.0</v>
      </c>
    </row>
    <row r="30">
      <c r="A30" s="5"/>
      <c r="B30" s="889" t="s">
        <v>739</v>
      </c>
      <c r="C30" s="890">
        <v>23.0</v>
      </c>
      <c r="D30" s="886" t="s">
        <v>72</v>
      </c>
      <c r="E30" s="5"/>
      <c r="F30" s="889" t="s">
        <v>276</v>
      </c>
      <c r="G30" s="874">
        <v>0.0</v>
      </c>
      <c r="H30" s="886" t="s">
        <v>63</v>
      </c>
      <c r="I30" s="5"/>
      <c r="J30" s="898" t="s">
        <v>35</v>
      </c>
      <c r="K30" s="873" t="s">
        <v>56</v>
      </c>
      <c r="L30" s="413"/>
      <c r="M30" s="5"/>
      <c r="N30" s="887" t="s">
        <v>959</v>
      </c>
      <c r="O30" s="894">
        <v>4.0</v>
      </c>
    </row>
    <row r="31">
      <c r="A31" s="5"/>
      <c r="B31" s="889" t="s">
        <v>917</v>
      </c>
      <c r="C31" s="890">
        <v>26.0</v>
      </c>
      <c r="D31" s="886" t="s">
        <v>75</v>
      </c>
      <c r="E31" s="5"/>
      <c r="F31" s="889" t="s">
        <v>276</v>
      </c>
      <c r="G31" s="874">
        <v>0.0</v>
      </c>
      <c r="H31" s="886" t="s">
        <v>63</v>
      </c>
      <c r="I31" s="5"/>
      <c r="J31" s="898" t="s">
        <v>47</v>
      </c>
      <c r="K31" s="873" t="s">
        <v>1595</v>
      </c>
      <c r="L31" s="413"/>
      <c r="M31" s="5"/>
      <c r="N31" s="887" t="s">
        <v>1191</v>
      </c>
      <c r="O31" s="894">
        <v>5.0</v>
      </c>
    </row>
    <row r="32">
      <c r="A32" s="5"/>
      <c r="B32" s="889" t="s">
        <v>837</v>
      </c>
      <c r="C32" s="890">
        <v>26.0</v>
      </c>
      <c r="D32" s="886" t="s">
        <v>73</v>
      </c>
      <c r="E32" s="5"/>
      <c r="F32" s="889" t="s">
        <v>278</v>
      </c>
      <c r="G32" s="874">
        <v>0.0</v>
      </c>
      <c r="H32" s="886" t="s">
        <v>63</v>
      </c>
      <c r="I32" s="5"/>
      <c r="J32" s="899" t="s">
        <v>36</v>
      </c>
      <c r="K32" s="900" t="s">
        <v>1593</v>
      </c>
      <c r="L32" s="901"/>
      <c r="M32" s="5"/>
      <c r="N32" s="887" t="s">
        <v>1166</v>
      </c>
      <c r="O32" s="894">
        <v>5.0</v>
      </c>
    </row>
    <row r="33">
      <c r="A33" s="5"/>
      <c r="B33" s="889" t="s">
        <v>376</v>
      </c>
      <c r="C33" s="890">
        <v>26.0</v>
      </c>
      <c r="D33" s="886" t="s">
        <v>65</v>
      </c>
      <c r="E33" s="5"/>
      <c r="F33" s="889" t="s">
        <v>278</v>
      </c>
      <c r="G33" s="874">
        <v>0.0</v>
      </c>
      <c r="H33" s="886" t="s">
        <v>63</v>
      </c>
      <c r="I33" s="5"/>
      <c r="J33" s="14"/>
      <c r="K33" s="5"/>
      <c r="L33" s="5"/>
      <c r="M33" s="5"/>
      <c r="N33" s="887" t="s">
        <v>1211</v>
      </c>
      <c r="O33" s="894">
        <v>5.0</v>
      </c>
    </row>
    <row r="34">
      <c r="A34" s="5"/>
      <c r="B34" s="889" t="s">
        <v>458</v>
      </c>
      <c r="C34" s="890">
        <v>26.0</v>
      </c>
      <c r="D34" s="886" t="s">
        <v>68</v>
      </c>
      <c r="E34" s="5"/>
      <c r="F34" s="889" t="s">
        <v>280</v>
      </c>
      <c r="G34" s="874">
        <v>2.0</v>
      </c>
      <c r="H34" s="886" t="s">
        <v>63</v>
      </c>
      <c r="I34" s="5"/>
      <c r="M34" s="5"/>
      <c r="N34" s="887" t="s">
        <v>1507</v>
      </c>
      <c r="O34" s="894">
        <v>5.0</v>
      </c>
    </row>
    <row r="35">
      <c r="A35" s="5"/>
      <c r="B35" s="889" t="s">
        <v>546</v>
      </c>
      <c r="C35" s="890">
        <v>26.0</v>
      </c>
      <c r="D35" s="886" t="s">
        <v>69</v>
      </c>
      <c r="E35" s="5"/>
      <c r="F35" s="889" t="s">
        <v>280</v>
      </c>
      <c r="G35" s="874">
        <v>2.0</v>
      </c>
      <c r="H35" s="886" t="s">
        <v>63</v>
      </c>
      <c r="I35" s="5"/>
      <c r="M35" s="5"/>
      <c r="N35" s="887" t="s">
        <v>500</v>
      </c>
      <c r="O35" s="894">
        <v>5.0</v>
      </c>
    </row>
    <row r="36">
      <c r="A36" s="5"/>
      <c r="B36" s="889" t="s">
        <v>276</v>
      </c>
      <c r="C36" s="890">
        <v>26.0</v>
      </c>
      <c r="D36" s="886" t="s">
        <v>63</v>
      </c>
      <c r="E36" s="5"/>
      <c r="F36" s="889" t="s">
        <v>288</v>
      </c>
      <c r="G36" s="874">
        <v>4.0</v>
      </c>
      <c r="H36" s="886" t="s">
        <v>63</v>
      </c>
      <c r="I36" s="5"/>
      <c r="J36" s="902" t="s">
        <v>1596</v>
      </c>
      <c r="K36" s="5"/>
      <c r="L36" s="5"/>
      <c r="M36" s="5"/>
      <c r="N36" s="903" t="s">
        <v>1217</v>
      </c>
      <c r="O36" s="904">
        <v>5.0</v>
      </c>
    </row>
    <row r="37">
      <c r="A37" s="5"/>
      <c r="B37" s="889" t="s">
        <v>653</v>
      </c>
      <c r="C37" s="890">
        <v>26.0</v>
      </c>
      <c r="D37" s="886" t="s">
        <v>70</v>
      </c>
      <c r="E37" s="5"/>
      <c r="F37" s="889" t="s">
        <v>288</v>
      </c>
      <c r="G37" s="874">
        <v>4.0</v>
      </c>
      <c r="H37" s="886" t="s">
        <v>63</v>
      </c>
      <c r="I37" s="5"/>
      <c r="J37" s="902" t="s">
        <v>304</v>
      </c>
      <c r="K37" s="5"/>
      <c r="L37" s="5"/>
      <c r="M37" s="5"/>
      <c r="N37" s="5"/>
      <c r="O37" s="14"/>
    </row>
    <row r="38">
      <c r="A38" s="5"/>
      <c r="B38" s="889" t="s">
        <v>173</v>
      </c>
      <c r="C38" s="890">
        <v>26.0</v>
      </c>
      <c r="D38" s="886" t="s">
        <v>60</v>
      </c>
      <c r="E38" s="5"/>
      <c r="F38" s="889" t="s">
        <v>272</v>
      </c>
      <c r="G38" s="874">
        <v>6.0</v>
      </c>
      <c r="H38" s="886" t="s">
        <v>63</v>
      </c>
      <c r="I38" s="5"/>
      <c r="J38" s="902" t="s">
        <v>162</v>
      </c>
      <c r="K38" s="5"/>
      <c r="L38" s="5"/>
      <c r="M38" s="5"/>
      <c r="N38" s="905" t="s">
        <v>1597</v>
      </c>
      <c r="O38" s="906"/>
    </row>
    <row r="39">
      <c r="A39" s="5"/>
      <c r="B39" s="889" t="s">
        <v>739</v>
      </c>
      <c r="C39" s="890">
        <v>26.0</v>
      </c>
      <c r="D39" s="886" t="s">
        <v>72</v>
      </c>
      <c r="E39" s="5"/>
      <c r="F39" s="889" t="s">
        <v>272</v>
      </c>
      <c r="G39" s="874">
        <v>6.0</v>
      </c>
      <c r="H39" s="886" t="s">
        <v>63</v>
      </c>
      <c r="I39" s="5"/>
      <c r="J39" s="902" t="s">
        <v>188</v>
      </c>
      <c r="K39" s="5"/>
      <c r="L39" s="5"/>
      <c r="M39" s="5"/>
      <c r="N39" s="907" t="s">
        <v>1588</v>
      </c>
      <c r="O39" s="908" t="s">
        <v>1589</v>
      </c>
    </row>
    <row r="40">
      <c r="A40" s="5"/>
      <c r="B40" s="889" t="s">
        <v>370</v>
      </c>
      <c r="C40" s="890">
        <v>28.0</v>
      </c>
      <c r="D40" s="886" t="s">
        <v>65</v>
      </c>
      <c r="E40" s="5"/>
      <c r="F40" s="889" t="s">
        <v>290</v>
      </c>
      <c r="G40" s="874">
        <v>8.0</v>
      </c>
      <c r="H40" s="886" t="s">
        <v>63</v>
      </c>
      <c r="I40" s="5"/>
      <c r="J40" s="14"/>
      <c r="K40" s="5"/>
      <c r="L40" s="5"/>
      <c r="M40" s="5"/>
      <c r="N40" s="909"/>
      <c r="O40" s="910"/>
    </row>
    <row r="41">
      <c r="A41" s="5"/>
      <c r="B41" s="889" t="s">
        <v>553</v>
      </c>
      <c r="C41" s="890">
        <v>28.0</v>
      </c>
      <c r="D41" s="886" t="s">
        <v>69</v>
      </c>
      <c r="E41" s="5"/>
      <c r="F41" s="889" t="s">
        <v>290</v>
      </c>
      <c r="G41" s="874">
        <v>8.0</v>
      </c>
      <c r="H41" s="886" t="s">
        <v>63</v>
      </c>
      <c r="I41" s="5"/>
      <c r="J41" s="14"/>
      <c r="K41" s="5"/>
      <c r="L41" s="5"/>
      <c r="M41" s="5"/>
      <c r="N41" s="909" t="s">
        <v>1097</v>
      </c>
      <c r="O41" s="911">
        <v>1.0</v>
      </c>
    </row>
    <row r="42">
      <c r="A42" s="5"/>
      <c r="B42" s="889" t="s">
        <v>648</v>
      </c>
      <c r="C42" s="890">
        <v>28.0</v>
      </c>
      <c r="D42" s="886" t="s">
        <v>70</v>
      </c>
      <c r="E42" s="5"/>
      <c r="F42" s="889" t="s">
        <v>282</v>
      </c>
      <c r="G42" s="874">
        <v>10.0</v>
      </c>
      <c r="H42" s="886" t="s">
        <v>63</v>
      </c>
      <c r="I42" s="5"/>
      <c r="J42" s="14"/>
      <c r="K42" s="5"/>
      <c r="L42" s="5"/>
      <c r="M42" s="5"/>
      <c r="N42" s="909" t="s">
        <v>1112</v>
      </c>
      <c r="O42" s="911">
        <v>1.0</v>
      </c>
    </row>
    <row r="43">
      <c r="A43" s="5"/>
      <c r="B43" s="889" t="s">
        <v>284</v>
      </c>
      <c r="C43" s="890">
        <v>28.0</v>
      </c>
      <c r="D43" s="886" t="s">
        <v>63</v>
      </c>
      <c r="E43" s="5"/>
      <c r="F43" s="889" t="s">
        <v>282</v>
      </c>
      <c r="G43" s="874">
        <v>10.0</v>
      </c>
      <c r="H43" s="886" t="s">
        <v>63</v>
      </c>
      <c r="I43" s="5"/>
      <c r="J43" s="14"/>
      <c r="K43" s="5"/>
      <c r="L43" s="5"/>
      <c r="M43" s="5"/>
      <c r="N43" s="909" t="s">
        <v>1254</v>
      </c>
      <c r="O43" s="911">
        <v>1.0</v>
      </c>
    </row>
    <row r="44">
      <c r="A44" s="5"/>
      <c r="B44" s="889" t="s">
        <v>460</v>
      </c>
      <c r="C44" s="890">
        <v>28.0</v>
      </c>
      <c r="D44" s="886" t="s">
        <v>68</v>
      </c>
      <c r="E44" s="5"/>
      <c r="F44" s="889" t="s">
        <v>370</v>
      </c>
      <c r="G44" s="874">
        <v>0.0</v>
      </c>
      <c r="H44" s="886" t="s">
        <v>65</v>
      </c>
      <c r="I44" s="5"/>
      <c r="J44" s="902" t="s">
        <v>1598</v>
      </c>
      <c r="K44" s="5"/>
      <c r="L44" s="5"/>
      <c r="M44" s="5"/>
      <c r="N44" s="909" t="s">
        <v>1461</v>
      </c>
      <c r="O44" s="911">
        <v>1.0</v>
      </c>
    </row>
    <row r="45">
      <c r="A45" s="5"/>
      <c r="B45" s="889" t="s">
        <v>170</v>
      </c>
      <c r="C45" s="890">
        <v>28.0</v>
      </c>
      <c r="D45" s="886" t="s">
        <v>60</v>
      </c>
      <c r="E45" s="5"/>
      <c r="F45" s="889" t="s">
        <v>370</v>
      </c>
      <c r="G45" s="874">
        <v>0.0</v>
      </c>
      <c r="H45" s="886" t="s">
        <v>65</v>
      </c>
      <c r="I45" s="5"/>
      <c r="J45" s="902" t="s">
        <v>60</v>
      </c>
      <c r="K45" s="5"/>
      <c r="L45" s="5"/>
      <c r="M45" s="5"/>
      <c r="N45" s="909" t="s">
        <v>1153</v>
      </c>
      <c r="O45" s="911">
        <v>2.0</v>
      </c>
    </row>
    <row r="46">
      <c r="A46" s="5"/>
      <c r="B46" s="889" t="s">
        <v>919</v>
      </c>
      <c r="C46" s="890">
        <v>28.0</v>
      </c>
      <c r="D46" s="886" t="s">
        <v>75</v>
      </c>
      <c r="E46" s="5"/>
      <c r="F46" s="889" t="s">
        <v>374</v>
      </c>
      <c r="G46" s="874">
        <v>0.0</v>
      </c>
      <c r="H46" s="886" t="s">
        <v>65</v>
      </c>
      <c r="I46" s="5"/>
      <c r="J46" s="902" t="s">
        <v>63</v>
      </c>
      <c r="K46" s="5"/>
      <c r="L46" s="5"/>
      <c r="M46" s="5"/>
      <c r="N46" s="909" t="s">
        <v>1119</v>
      </c>
      <c r="O46" s="911">
        <v>2.0</v>
      </c>
    </row>
    <row r="47">
      <c r="A47" s="5"/>
      <c r="B47" s="889" t="s">
        <v>825</v>
      </c>
      <c r="C47" s="890">
        <v>28.0</v>
      </c>
      <c r="D47" s="886" t="s">
        <v>73</v>
      </c>
      <c r="E47" s="5"/>
      <c r="F47" s="889" t="s">
        <v>374</v>
      </c>
      <c r="G47" s="874">
        <v>0.0</v>
      </c>
      <c r="H47" s="886" t="s">
        <v>65</v>
      </c>
      <c r="I47" s="5"/>
      <c r="J47" s="902" t="s">
        <v>65</v>
      </c>
      <c r="K47" s="5"/>
      <c r="L47" s="5"/>
      <c r="M47" s="5"/>
      <c r="N47" s="909" t="s">
        <v>1329</v>
      </c>
      <c r="O47" s="911">
        <v>2.0</v>
      </c>
    </row>
    <row r="48">
      <c r="A48" s="5"/>
      <c r="B48" s="889" t="s">
        <v>730</v>
      </c>
      <c r="C48" s="890">
        <v>28.0</v>
      </c>
      <c r="D48" s="886" t="s">
        <v>72</v>
      </c>
      <c r="E48" s="5"/>
      <c r="F48" s="889" t="s">
        <v>366</v>
      </c>
      <c r="G48" s="874">
        <v>0.0</v>
      </c>
      <c r="H48" s="886" t="s">
        <v>65</v>
      </c>
      <c r="I48" s="5"/>
      <c r="J48" s="902" t="s">
        <v>68</v>
      </c>
      <c r="K48" s="5"/>
      <c r="L48" s="5"/>
      <c r="M48" s="5"/>
      <c r="N48" s="909" t="s">
        <v>1437</v>
      </c>
      <c r="O48" s="911">
        <v>2.0</v>
      </c>
    </row>
    <row r="49">
      <c r="A49" s="5"/>
      <c r="B49" s="889" t="s">
        <v>370</v>
      </c>
      <c r="C49" s="890">
        <v>30.0</v>
      </c>
      <c r="D49" s="886" t="s">
        <v>65</v>
      </c>
      <c r="E49" s="5"/>
      <c r="F49" s="889" t="s">
        <v>366</v>
      </c>
      <c r="G49" s="874">
        <v>0.0</v>
      </c>
      <c r="H49" s="886" t="s">
        <v>65</v>
      </c>
      <c r="I49" s="5"/>
      <c r="J49" s="902" t="s">
        <v>69</v>
      </c>
      <c r="K49" s="5"/>
      <c r="L49" s="5"/>
      <c r="M49" s="5"/>
      <c r="N49" s="909" t="s">
        <v>1129</v>
      </c>
      <c r="O49" s="911">
        <v>3.0</v>
      </c>
    </row>
    <row r="50">
      <c r="A50" s="5"/>
      <c r="B50" s="889" t="s">
        <v>553</v>
      </c>
      <c r="C50" s="890">
        <v>30.0</v>
      </c>
      <c r="D50" s="886" t="s">
        <v>69</v>
      </c>
      <c r="E50" s="5"/>
      <c r="F50" s="889" t="s">
        <v>378</v>
      </c>
      <c r="G50" s="874">
        <v>0.0</v>
      </c>
      <c r="H50" s="886" t="s">
        <v>65</v>
      </c>
      <c r="I50" s="5"/>
      <c r="J50" s="878" t="s">
        <v>70</v>
      </c>
      <c r="K50" s="5"/>
      <c r="L50" s="5"/>
      <c r="M50" s="5"/>
      <c r="N50" s="909" t="s">
        <v>1204</v>
      </c>
      <c r="O50" s="911">
        <v>3.0</v>
      </c>
    </row>
    <row r="51">
      <c r="A51" s="5"/>
      <c r="B51" s="889" t="s">
        <v>648</v>
      </c>
      <c r="C51" s="890">
        <v>30.0</v>
      </c>
      <c r="D51" s="886" t="s">
        <v>70</v>
      </c>
      <c r="E51" s="5"/>
      <c r="F51" s="889" t="s">
        <v>378</v>
      </c>
      <c r="G51" s="874">
        <v>0.0</v>
      </c>
      <c r="H51" s="886" t="s">
        <v>65</v>
      </c>
      <c r="I51" s="5"/>
      <c r="J51" s="878" t="s">
        <v>72</v>
      </c>
      <c r="K51" s="5"/>
      <c r="L51" s="5"/>
      <c r="M51" s="5"/>
      <c r="N51" s="909" t="s">
        <v>1272</v>
      </c>
      <c r="O51" s="911">
        <v>3.0</v>
      </c>
    </row>
    <row r="52">
      <c r="A52" s="5"/>
      <c r="B52" s="889" t="s">
        <v>284</v>
      </c>
      <c r="C52" s="890">
        <v>30.0</v>
      </c>
      <c r="D52" s="886" t="s">
        <v>63</v>
      </c>
      <c r="E52" s="5"/>
      <c r="F52" s="889" t="s">
        <v>380</v>
      </c>
      <c r="G52" s="874">
        <v>0.0</v>
      </c>
      <c r="H52" s="886" t="s">
        <v>65</v>
      </c>
      <c r="I52" s="5"/>
      <c r="J52" s="902" t="s">
        <v>73</v>
      </c>
      <c r="K52" s="5"/>
      <c r="L52" s="5"/>
      <c r="M52" s="5"/>
      <c r="N52" s="909" t="s">
        <v>1417</v>
      </c>
      <c r="O52" s="911">
        <v>3.0</v>
      </c>
    </row>
    <row r="53">
      <c r="A53" s="5"/>
      <c r="B53" s="889" t="s">
        <v>460</v>
      </c>
      <c r="C53" s="890">
        <v>30.0</v>
      </c>
      <c r="D53" s="886" t="s">
        <v>68</v>
      </c>
      <c r="E53" s="5"/>
      <c r="F53" s="889" t="s">
        <v>380</v>
      </c>
      <c r="G53" s="874">
        <v>0.0</v>
      </c>
      <c r="H53" s="886" t="s">
        <v>65</v>
      </c>
      <c r="I53" s="5"/>
      <c r="J53" s="902" t="s">
        <v>75</v>
      </c>
      <c r="K53" s="5"/>
      <c r="L53" s="5"/>
      <c r="M53" s="5"/>
      <c r="N53" s="909" t="s">
        <v>1073</v>
      </c>
      <c r="O53" s="911">
        <v>4.0</v>
      </c>
    </row>
    <row r="54">
      <c r="A54" s="5"/>
      <c r="B54" s="889" t="s">
        <v>170</v>
      </c>
      <c r="C54" s="890">
        <v>30.0</v>
      </c>
      <c r="D54" s="886" t="s">
        <v>60</v>
      </c>
      <c r="E54" s="5"/>
      <c r="F54" s="889" t="s">
        <v>372</v>
      </c>
      <c r="G54" s="874">
        <v>2.0</v>
      </c>
      <c r="H54" s="886" t="s">
        <v>65</v>
      </c>
      <c r="I54" s="5"/>
      <c r="J54" s="902" t="s">
        <v>77</v>
      </c>
      <c r="K54" s="5"/>
      <c r="L54" s="5"/>
      <c r="M54" s="5"/>
      <c r="N54" s="909" t="s">
        <v>1107</v>
      </c>
      <c r="O54" s="911">
        <v>4.0</v>
      </c>
    </row>
    <row r="55">
      <c r="A55" s="5"/>
      <c r="B55" s="889" t="s">
        <v>919</v>
      </c>
      <c r="C55" s="890">
        <v>30.0</v>
      </c>
      <c r="D55" s="886" t="s">
        <v>75</v>
      </c>
      <c r="E55" s="5"/>
      <c r="F55" s="889" t="s">
        <v>372</v>
      </c>
      <c r="G55" s="874">
        <v>2.0</v>
      </c>
      <c r="H55" s="886" t="s">
        <v>65</v>
      </c>
      <c r="I55" s="5"/>
      <c r="J55" s="14"/>
      <c r="K55" s="5"/>
      <c r="L55" s="5"/>
      <c r="M55" s="5"/>
      <c r="N55" s="909" t="s">
        <v>1078</v>
      </c>
      <c r="O55" s="911">
        <v>4.0</v>
      </c>
    </row>
    <row r="56">
      <c r="A56" s="5"/>
      <c r="B56" s="889" t="s">
        <v>825</v>
      </c>
      <c r="C56" s="890">
        <v>30.0</v>
      </c>
      <c r="D56" s="886" t="s">
        <v>73</v>
      </c>
      <c r="E56" s="5"/>
      <c r="F56" s="889" t="s">
        <v>368</v>
      </c>
      <c r="G56" s="874">
        <v>4.0</v>
      </c>
      <c r="H56" s="886" t="s">
        <v>65</v>
      </c>
      <c r="I56" s="5"/>
      <c r="J56" s="14"/>
      <c r="K56" s="5"/>
      <c r="L56" s="5"/>
      <c r="M56" s="5"/>
      <c r="N56" s="909" t="s">
        <v>1317</v>
      </c>
      <c r="O56" s="911">
        <v>4.0</v>
      </c>
    </row>
    <row r="57">
      <c r="A57" s="5"/>
      <c r="B57" s="889" t="s">
        <v>730</v>
      </c>
      <c r="C57" s="890">
        <v>30.0</v>
      </c>
      <c r="D57" s="886" t="s">
        <v>72</v>
      </c>
      <c r="E57" s="5"/>
      <c r="F57" s="889" t="s">
        <v>368</v>
      </c>
      <c r="G57" s="874">
        <v>4.0</v>
      </c>
      <c r="H57" s="886" t="s">
        <v>65</v>
      </c>
      <c r="I57" s="5"/>
      <c r="J57" s="14"/>
      <c r="K57" s="5"/>
      <c r="L57" s="5"/>
      <c r="M57" s="5"/>
      <c r="N57" s="909" t="s">
        <v>1429</v>
      </c>
      <c r="O57" s="911">
        <v>4.0</v>
      </c>
    </row>
    <row r="58">
      <c r="A58" s="5"/>
      <c r="B58" s="889" t="s">
        <v>366</v>
      </c>
      <c r="C58" s="890">
        <v>32.0</v>
      </c>
      <c r="D58" s="886" t="s">
        <v>65</v>
      </c>
      <c r="E58" s="5"/>
      <c r="F58" s="889" t="s">
        <v>376</v>
      </c>
      <c r="G58" s="874">
        <v>6.0</v>
      </c>
      <c r="H58" s="886" t="s">
        <v>65</v>
      </c>
      <c r="I58" s="5"/>
      <c r="J58" s="14"/>
      <c r="K58" s="5"/>
      <c r="L58" s="5"/>
      <c r="M58" s="5"/>
      <c r="N58" s="909" t="s">
        <v>1443</v>
      </c>
      <c r="O58" s="911">
        <v>4.0</v>
      </c>
    </row>
    <row r="59">
      <c r="A59" s="5"/>
      <c r="B59" s="889" t="s">
        <v>274</v>
      </c>
      <c r="C59" s="890">
        <v>32.0</v>
      </c>
      <c r="D59" s="886" t="s">
        <v>63</v>
      </c>
      <c r="E59" s="5"/>
      <c r="F59" s="889" t="s">
        <v>376</v>
      </c>
      <c r="G59" s="874">
        <v>6.0</v>
      </c>
      <c r="H59" s="886" t="s">
        <v>65</v>
      </c>
      <c r="I59" s="5"/>
      <c r="J59" s="14"/>
      <c r="K59" s="5"/>
      <c r="L59" s="5"/>
      <c r="M59" s="5"/>
      <c r="N59" s="909" t="s">
        <v>1348</v>
      </c>
      <c r="O59" s="911">
        <v>5.0</v>
      </c>
    </row>
    <row r="60">
      <c r="A60" s="5"/>
      <c r="B60" s="889" t="s">
        <v>650</v>
      </c>
      <c r="C60" s="890">
        <v>32.0</v>
      </c>
      <c r="D60" s="886" t="s">
        <v>70</v>
      </c>
      <c r="E60" s="5"/>
      <c r="F60" s="889" t="s">
        <v>382</v>
      </c>
      <c r="G60" s="874">
        <v>8.0</v>
      </c>
      <c r="H60" s="886" t="s">
        <v>65</v>
      </c>
      <c r="I60" s="5"/>
      <c r="J60" s="14"/>
      <c r="K60" s="5"/>
      <c r="L60" s="5"/>
      <c r="M60" s="5"/>
      <c r="N60" s="909" t="s">
        <v>1364</v>
      </c>
      <c r="O60" s="911">
        <v>5.0</v>
      </c>
    </row>
    <row r="61">
      <c r="A61" s="5"/>
      <c r="B61" s="889" t="s">
        <v>167</v>
      </c>
      <c r="C61" s="890">
        <v>32.0</v>
      </c>
      <c r="D61" s="886" t="s">
        <v>60</v>
      </c>
      <c r="E61" s="5"/>
      <c r="F61" s="889" t="s">
        <v>382</v>
      </c>
      <c r="G61" s="874">
        <v>8.0</v>
      </c>
      <c r="H61" s="886" t="s">
        <v>65</v>
      </c>
      <c r="I61" s="5"/>
      <c r="J61" s="14"/>
      <c r="K61" s="5"/>
      <c r="L61" s="5"/>
      <c r="M61" s="5"/>
      <c r="N61" s="909" t="s">
        <v>1491</v>
      </c>
      <c r="O61" s="911">
        <v>5.0</v>
      </c>
    </row>
    <row r="62">
      <c r="A62" s="5"/>
      <c r="B62" s="889" t="s">
        <v>821</v>
      </c>
      <c r="C62" s="890">
        <v>32.0</v>
      </c>
      <c r="D62" s="886" t="s">
        <v>73</v>
      </c>
      <c r="E62" s="5"/>
      <c r="F62" s="889" t="s">
        <v>384</v>
      </c>
      <c r="G62" s="874">
        <v>10.0</v>
      </c>
      <c r="H62" s="886" t="s">
        <v>65</v>
      </c>
      <c r="I62" s="5"/>
      <c r="J62" s="14"/>
      <c r="K62" s="5"/>
      <c r="L62" s="5"/>
      <c r="M62" s="5"/>
      <c r="N62" s="909" t="s">
        <v>212</v>
      </c>
      <c r="O62" s="911">
        <v>1.0</v>
      </c>
    </row>
    <row r="63">
      <c r="A63" s="5"/>
      <c r="B63" s="889" t="s">
        <v>732</v>
      </c>
      <c r="C63" s="890">
        <v>32.0</v>
      </c>
      <c r="D63" s="886" t="s">
        <v>72</v>
      </c>
      <c r="E63" s="5"/>
      <c r="F63" s="889" t="s">
        <v>384</v>
      </c>
      <c r="G63" s="874">
        <v>10.0</v>
      </c>
      <c r="H63" s="886" t="s">
        <v>65</v>
      </c>
      <c r="I63" s="5"/>
      <c r="J63" s="14"/>
      <c r="K63" s="5"/>
      <c r="L63" s="5"/>
      <c r="M63" s="5"/>
      <c r="N63" s="909" t="s">
        <v>294</v>
      </c>
      <c r="O63" s="911">
        <v>2.0</v>
      </c>
    </row>
    <row r="64">
      <c r="A64" s="5"/>
      <c r="B64" s="889" t="s">
        <v>469</v>
      </c>
      <c r="C64" s="890">
        <v>32.0</v>
      </c>
      <c r="D64" s="886" t="s">
        <v>68</v>
      </c>
      <c r="E64" s="5"/>
      <c r="F64" s="889" t="s">
        <v>1004</v>
      </c>
      <c r="G64" s="874">
        <v>0.0</v>
      </c>
      <c r="H64" s="912" t="s">
        <v>77</v>
      </c>
      <c r="I64" s="5"/>
      <c r="J64" s="14"/>
      <c r="K64" s="5"/>
      <c r="L64" s="5"/>
      <c r="M64" s="5"/>
      <c r="N64" s="909" t="s">
        <v>395</v>
      </c>
      <c r="O64" s="911">
        <v>2.0</v>
      </c>
    </row>
    <row r="65">
      <c r="A65" s="5"/>
      <c r="B65" s="889" t="s">
        <v>547</v>
      </c>
      <c r="C65" s="890">
        <v>32.0</v>
      </c>
      <c r="D65" s="886" t="s">
        <v>69</v>
      </c>
      <c r="E65" s="5"/>
      <c r="F65" s="889" t="s">
        <v>1004</v>
      </c>
      <c r="G65" s="874">
        <v>0.0</v>
      </c>
      <c r="H65" s="912" t="s">
        <v>77</v>
      </c>
      <c r="I65" s="5"/>
      <c r="J65" s="14"/>
      <c r="K65" s="5"/>
      <c r="L65" s="5"/>
      <c r="M65" s="5"/>
      <c r="N65" s="909" t="s">
        <v>475</v>
      </c>
      <c r="O65" s="911">
        <v>5.0</v>
      </c>
    </row>
    <row r="66">
      <c r="A66" s="5"/>
      <c r="B66" s="889" t="s">
        <v>910</v>
      </c>
      <c r="C66" s="890">
        <v>32.0</v>
      </c>
      <c r="D66" s="886" t="s">
        <v>75</v>
      </c>
      <c r="E66" s="5"/>
      <c r="F66" s="889" t="s">
        <v>1046</v>
      </c>
      <c r="G66" s="874">
        <v>0.0</v>
      </c>
      <c r="H66" s="912" t="s">
        <v>77</v>
      </c>
      <c r="I66" s="5"/>
      <c r="J66" s="14"/>
      <c r="K66" s="5"/>
      <c r="L66" s="5"/>
      <c r="M66" s="5"/>
      <c r="N66" s="909" t="s">
        <v>579</v>
      </c>
      <c r="O66" s="911">
        <v>4.0</v>
      </c>
    </row>
    <row r="67">
      <c r="A67" s="5"/>
      <c r="B67" s="889" t="s">
        <v>366</v>
      </c>
      <c r="C67" s="890">
        <v>34.0</v>
      </c>
      <c r="D67" s="886" t="s">
        <v>65</v>
      </c>
      <c r="E67" s="5"/>
      <c r="F67" s="889" t="s">
        <v>1046</v>
      </c>
      <c r="G67" s="874">
        <v>0.0</v>
      </c>
      <c r="H67" s="912" t="s">
        <v>77</v>
      </c>
      <c r="I67" s="5"/>
      <c r="J67" s="14"/>
      <c r="K67" s="5"/>
      <c r="L67" s="5"/>
      <c r="M67" s="5"/>
      <c r="N67" s="909" t="s">
        <v>678</v>
      </c>
      <c r="O67" s="911">
        <v>1.0</v>
      </c>
    </row>
    <row r="68">
      <c r="A68" s="5"/>
      <c r="B68" s="889" t="s">
        <v>274</v>
      </c>
      <c r="C68" s="890">
        <v>34.0</v>
      </c>
      <c r="D68" s="886" t="s">
        <v>63</v>
      </c>
      <c r="E68" s="5"/>
      <c r="F68" s="889" t="s">
        <v>1006</v>
      </c>
      <c r="G68" s="874">
        <v>0.0</v>
      </c>
      <c r="H68" s="912" t="s">
        <v>77</v>
      </c>
      <c r="I68" s="5"/>
      <c r="J68" s="14"/>
      <c r="K68" s="5"/>
      <c r="L68" s="5"/>
      <c r="M68" s="5"/>
      <c r="N68" s="909" t="s">
        <v>762</v>
      </c>
      <c r="O68" s="911">
        <v>3.0</v>
      </c>
    </row>
    <row r="69">
      <c r="A69" s="5"/>
      <c r="B69" s="889" t="s">
        <v>650</v>
      </c>
      <c r="C69" s="890">
        <v>34.0</v>
      </c>
      <c r="D69" s="886" t="s">
        <v>70</v>
      </c>
      <c r="E69" s="5"/>
      <c r="F69" s="889" t="s">
        <v>1006</v>
      </c>
      <c r="G69" s="874">
        <v>0.0</v>
      </c>
      <c r="H69" s="912" t="s">
        <v>77</v>
      </c>
      <c r="I69" s="5"/>
      <c r="J69" s="14"/>
      <c r="K69" s="5"/>
      <c r="L69" s="5"/>
      <c r="M69" s="5"/>
      <c r="N69" s="909" t="s">
        <v>859</v>
      </c>
      <c r="O69" s="911">
        <v>3.0</v>
      </c>
    </row>
    <row r="70">
      <c r="A70" s="5"/>
      <c r="B70" s="889" t="s">
        <v>167</v>
      </c>
      <c r="C70" s="890">
        <v>34.0</v>
      </c>
      <c r="D70" s="886" t="s">
        <v>60</v>
      </c>
      <c r="E70" s="5"/>
      <c r="F70" s="889" t="s">
        <v>1035</v>
      </c>
      <c r="G70" s="874">
        <v>0.0</v>
      </c>
      <c r="H70" s="912" t="s">
        <v>77</v>
      </c>
      <c r="I70" s="5"/>
      <c r="J70" s="14"/>
      <c r="K70" s="5"/>
      <c r="L70" s="5"/>
      <c r="M70" s="5"/>
      <c r="N70" s="913" t="s">
        <v>949</v>
      </c>
      <c r="O70" s="914">
        <v>4.0</v>
      </c>
    </row>
    <row r="71">
      <c r="A71" s="5"/>
      <c r="B71" s="889" t="s">
        <v>821</v>
      </c>
      <c r="C71" s="890">
        <v>34.0</v>
      </c>
      <c r="D71" s="886" t="s">
        <v>73</v>
      </c>
      <c r="E71" s="5"/>
      <c r="F71" s="889" t="s">
        <v>1035</v>
      </c>
      <c r="G71" s="874">
        <v>0.0</v>
      </c>
      <c r="H71" s="912" t="s">
        <v>77</v>
      </c>
      <c r="I71" s="5"/>
      <c r="J71" s="14"/>
      <c r="K71" s="5"/>
      <c r="L71" s="5"/>
      <c r="M71" s="5"/>
    </row>
    <row r="72">
      <c r="A72" s="5"/>
      <c r="B72" s="889" t="s">
        <v>732</v>
      </c>
      <c r="C72" s="890">
        <v>34.0</v>
      </c>
      <c r="D72" s="886" t="s">
        <v>72</v>
      </c>
      <c r="E72" s="5"/>
      <c r="F72" s="889" t="s">
        <v>1047</v>
      </c>
      <c r="G72" s="874">
        <v>0.0</v>
      </c>
      <c r="H72" s="912" t="s">
        <v>77</v>
      </c>
      <c r="I72" s="5"/>
      <c r="J72" s="14"/>
      <c r="K72" s="5"/>
      <c r="L72" s="5"/>
      <c r="M72" s="5"/>
      <c r="N72" s="5"/>
      <c r="O72" s="14"/>
    </row>
    <row r="73">
      <c r="A73" s="5"/>
      <c r="B73" s="889" t="s">
        <v>469</v>
      </c>
      <c r="C73" s="890">
        <v>34.0</v>
      </c>
      <c r="D73" s="886" t="s">
        <v>68</v>
      </c>
      <c r="E73" s="5"/>
      <c r="F73" s="889" t="s">
        <v>1047</v>
      </c>
      <c r="G73" s="874">
        <v>0.0</v>
      </c>
      <c r="H73" s="912" t="s">
        <v>77</v>
      </c>
      <c r="I73" s="5"/>
      <c r="J73" s="14"/>
      <c r="K73" s="5"/>
      <c r="L73" s="5"/>
      <c r="M73" s="5"/>
      <c r="N73" s="5"/>
      <c r="O73" s="14"/>
    </row>
    <row r="74">
      <c r="A74" s="5"/>
      <c r="B74" s="889" t="s">
        <v>547</v>
      </c>
      <c r="C74" s="890">
        <v>34.0</v>
      </c>
      <c r="D74" s="886" t="s">
        <v>69</v>
      </c>
      <c r="E74" s="5"/>
      <c r="F74" s="889" t="s">
        <v>1027</v>
      </c>
      <c r="G74" s="874">
        <v>0.0</v>
      </c>
      <c r="H74" s="912" t="s">
        <v>77</v>
      </c>
      <c r="I74" s="5"/>
      <c r="J74" s="14"/>
      <c r="K74" s="5"/>
      <c r="L74" s="5"/>
      <c r="M74" s="5"/>
      <c r="N74" s="5"/>
      <c r="O74" s="14"/>
    </row>
    <row r="75">
      <c r="A75" s="5"/>
      <c r="B75" s="889" t="s">
        <v>910</v>
      </c>
      <c r="C75" s="890">
        <v>34.0</v>
      </c>
      <c r="D75" s="886" t="s">
        <v>75</v>
      </c>
      <c r="E75" s="5"/>
      <c r="F75" s="889" t="s">
        <v>1027</v>
      </c>
      <c r="G75" s="874">
        <v>0.0</v>
      </c>
      <c r="H75" s="912" t="s">
        <v>77</v>
      </c>
      <c r="I75" s="5"/>
      <c r="J75" s="14"/>
      <c r="K75" s="5"/>
      <c r="L75" s="5"/>
      <c r="M75" s="5"/>
      <c r="N75" s="5"/>
      <c r="O75" s="14"/>
    </row>
    <row r="76">
      <c r="A76" s="5"/>
      <c r="B76" s="889" t="s">
        <v>636</v>
      </c>
      <c r="C76" s="890">
        <v>36.0</v>
      </c>
      <c r="D76" s="886" t="s">
        <v>70</v>
      </c>
      <c r="E76" s="5"/>
      <c r="F76" s="889" t="s">
        <v>1050</v>
      </c>
      <c r="G76" s="874">
        <v>0.0</v>
      </c>
      <c r="H76" s="912" t="s">
        <v>77</v>
      </c>
      <c r="I76" s="5"/>
      <c r="J76" s="14"/>
      <c r="K76" s="5"/>
      <c r="L76" s="5"/>
      <c r="M76" s="5"/>
      <c r="N76" s="5"/>
      <c r="O76" s="14"/>
    </row>
    <row r="77">
      <c r="A77" s="5"/>
      <c r="B77" s="889" t="s">
        <v>161</v>
      </c>
      <c r="C77" s="890">
        <v>36.0</v>
      </c>
      <c r="D77" s="886" t="s">
        <v>60</v>
      </c>
      <c r="E77" s="5"/>
      <c r="F77" s="889" t="s">
        <v>1050</v>
      </c>
      <c r="G77" s="874">
        <v>0.0</v>
      </c>
      <c r="H77" s="912" t="s">
        <v>77</v>
      </c>
      <c r="I77" s="5"/>
      <c r="J77" s="14"/>
      <c r="K77" s="5"/>
      <c r="L77" s="5"/>
      <c r="M77" s="5"/>
      <c r="N77" s="5"/>
      <c r="O77" s="14"/>
    </row>
    <row r="78">
      <c r="A78" s="5"/>
      <c r="B78" s="889" t="s">
        <v>462</v>
      </c>
      <c r="C78" s="890">
        <v>36.0</v>
      </c>
      <c r="D78" s="886" t="s">
        <v>68</v>
      </c>
      <c r="E78" s="5"/>
      <c r="F78" s="889" t="s">
        <v>1015</v>
      </c>
      <c r="G78" s="874">
        <v>0.0</v>
      </c>
      <c r="H78" s="912" t="s">
        <v>77</v>
      </c>
      <c r="I78" s="5"/>
      <c r="J78" s="14"/>
      <c r="K78" s="5"/>
      <c r="L78" s="5"/>
      <c r="M78" s="5"/>
      <c r="N78" s="5"/>
      <c r="O78" s="14"/>
    </row>
    <row r="79">
      <c r="A79" s="5"/>
      <c r="B79" s="889" t="s">
        <v>368</v>
      </c>
      <c r="C79" s="890">
        <v>36.0</v>
      </c>
      <c r="D79" s="886" t="s">
        <v>65</v>
      </c>
      <c r="E79" s="5"/>
      <c r="F79" s="889" t="s">
        <v>1015</v>
      </c>
      <c r="G79" s="874">
        <v>0.0</v>
      </c>
      <c r="H79" s="912" t="s">
        <v>77</v>
      </c>
      <c r="I79" s="5"/>
      <c r="J79" s="14"/>
      <c r="K79" s="5"/>
      <c r="L79" s="5"/>
      <c r="M79" s="5"/>
      <c r="N79" s="5"/>
      <c r="O79" s="14"/>
    </row>
    <row r="80">
      <c r="A80" s="5"/>
      <c r="B80" s="889" t="s">
        <v>286</v>
      </c>
      <c r="C80" s="890">
        <v>36.0</v>
      </c>
      <c r="D80" s="886" t="s">
        <v>63</v>
      </c>
      <c r="E80" s="5"/>
      <c r="F80" s="889" t="s">
        <v>1036</v>
      </c>
      <c r="G80" s="874">
        <v>0.0</v>
      </c>
      <c r="H80" s="912" t="s">
        <v>77</v>
      </c>
      <c r="I80" s="5"/>
      <c r="J80" s="14"/>
      <c r="K80" s="5"/>
      <c r="L80" s="5"/>
      <c r="M80" s="5"/>
      <c r="N80" s="5"/>
      <c r="O80" s="14"/>
    </row>
    <row r="81">
      <c r="A81" s="5"/>
      <c r="B81" s="889" t="s">
        <v>734</v>
      </c>
      <c r="C81" s="890">
        <v>36.0</v>
      </c>
      <c r="D81" s="886" t="s">
        <v>72</v>
      </c>
      <c r="E81" s="5"/>
      <c r="F81" s="889" t="s">
        <v>1036</v>
      </c>
      <c r="G81" s="874">
        <v>0.0</v>
      </c>
      <c r="H81" s="912" t="s">
        <v>77</v>
      </c>
      <c r="I81" s="5"/>
      <c r="J81" s="14"/>
      <c r="K81" s="5"/>
      <c r="L81" s="5"/>
      <c r="M81" s="5"/>
      <c r="N81" s="5"/>
      <c r="O81" s="14"/>
    </row>
    <row r="82">
      <c r="A82" s="5"/>
      <c r="B82" s="889" t="s">
        <v>557</v>
      </c>
      <c r="C82" s="890">
        <v>36.0</v>
      </c>
      <c r="D82" s="886" t="s">
        <v>69</v>
      </c>
      <c r="E82" s="5"/>
      <c r="F82" s="889" t="s">
        <v>1028</v>
      </c>
      <c r="G82" s="874">
        <v>0.0</v>
      </c>
      <c r="H82" s="912" t="s">
        <v>77</v>
      </c>
      <c r="I82" s="5"/>
      <c r="J82" s="14"/>
      <c r="K82" s="5"/>
      <c r="L82" s="5"/>
      <c r="M82" s="5"/>
      <c r="N82" s="5"/>
      <c r="O82" s="14"/>
    </row>
    <row r="83">
      <c r="A83" s="5"/>
      <c r="B83" s="889" t="s">
        <v>827</v>
      </c>
      <c r="C83" s="890">
        <v>36.0</v>
      </c>
      <c r="D83" s="886" t="s">
        <v>73</v>
      </c>
      <c r="E83" s="5"/>
      <c r="F83" s="889" t="s">
        <v>1028</v>
      </c>
      <c r="G83" s="874">
        <v>0.0</v>
      </c>
      <c r="H83" s="912" t="s">
        <v>77</v>
      </c>
      <c r="I83" s="5"/>
      <c r="J83" s="14"/>
      <c r="K83" s="5"/>
      <c r="L83" s="5"/>
      <c r="M83" s="5"/>
      <c r="N83" s="5"/>
      <c r="O83" s="14"/>
    </row>
    <row r="84">
      <c r="A84" s="5"/>
      <c r="B84" s="889" t="s">
        <v>921</v>
      </c>
      <c r="C84" s="890">
        <v>36.0</v>
      </c>
      <c r="D84" s="886" t="s">
        <v>75</v>
      </c>
      <c r="E84" s="5"/>
      <c r="F84" s="889" t="s">
        <v>995</v>
      </c>
      <c r="G84" s="874">
        <v>0.0</v>
      </c>
      <c r="H84" s="912" t="s">
        <v>77</v>
      </c>
      <c r="I84" s="5"/>
      <c r="J84" s="14"/>
      <c r="K84" s="5"/>
      <c r="L84" s="5"/>
      <c r="M84" s="5"/>
      <c r="N84" s="5"/>
      <c r="O84" s="14"/>
    </row>
    <row r="85">
      <c r="A85" s="5"/>
      <c r="B85" s="889" t="s">
        <v>636</v>
      </c>
      <c r="C85" s="890">
        <v>38.0</v>
      </c>
      <c r="D85" s="886" t="s">
        <v>70</v>
      </c>
      <c r="E85" s="5"/>
      <c r="F85" s="889" t="s">
        <v>995</v>
      </c>
      <c r="G85" s="874">
        <v>0.0</v>
      </c>
      <c r="H85" s="912" t="s">
        <v>77</v>
      </c>
      <c r="I85" s="5"/>
      <c r="J85" s="14"/>
      <c r="K85" s="5"/>
      <c r="L85" s="5"/>
      <c r="M85" s="5"/>
      <c r="N85" s="5"/>
      <c r="O85" s="14"/>
    </row>
    <row r="86">
      <c r="A86" s="5"/>
      <c r="B86" s="889" t="s">
        <v>161</v>
      </c>
      <c r="C86" s="890">
        <v>38.0</v>
      </c>
      <c r="D86" s="886" t="s">
        <v>60</v>
      </c>
      <c r="E86" s="5"/>
      <c r="F86" s="889" t="s">
        <v>1008</v>
      </c>
      <c r="G86" s="874">
        <v>0.0</v>
      </c>
      <c r="H86" s="912" t="s">
        <v>77</v>
      </c>
      <c r="I86" s="5"/>
      <c r="J86" s="14"/>
      <c r="K86" s="5"/>
      <c r="L86" s="5"/>
      <c r="M86" s="5"/>
      <c r="N86" s="5"/>
      <c r="O86" s="14"/>
    </row>
    <row r="87">
      <c r="A87" s="5"/>
      <c r="B87" s="889" t="s">
        <v>462</v>
      </c>
      <c r="C87" s="890">
        <v>38.0</v>
      </c>
      <c r="D87" s="886" t="s">
        <v>68</v>
      </c>
      <c r="E87" s="5"/>
      <c r="F87" s="889" t="s">
        <v>1008</v>
      </c>
      <c r="G87" s="874">
        <v>0.0</v>
      </c>
      <c r="H87" s="912" t="s">
        <v>77</v>
      </c>
      <c r="I87" s="5"/>
      <c r="J87" s="14"/>
      <c r="K87" s="5"/>
      <c r="L87" s="5"/>
      <c r="M87" s="5"/>
      <c r="N87" s="5"/>
      <c r="O87" s="14"/>
    </row>
    <row r="88">
      <c r="A88" s="5"/>
      <c r="B88" s="889" t="s">
        <v>368</v>
      </c>
      <c r="C88" s="890">
        <v>38.0</v>
      </c>
      <c r="D88" s="886" t="s">
        <v>65</v>
      </c>
      <c r="E88" s="5"/>
      <c r="F88" s="889" t="s">
        <v>1038</v>
      </c>
      <c r="G88" s="874">
        <v>0.0</v>
      </c>
      <c r="H88" s="912" t="s">
        <v>77</v>
      </c>
      <c r="I88" s="5"/>
      <c r="J88" s="14"/>
      <c r="K88" s="5"/>
      <c r="L88" s="5"/>
      <c r="M88" s="5"/>
      <c r="N88" s="5"/>
      <c r="O88" s="14"/>
    </row>
    <row r="89">
      <c r="A89" s="5"/>
      <c r="B89" s="889" t="s">
        <v>286</v>
      </c>
      <c r="C89" s="890">
        <v>38.0</v>
      </c>
      <c r="D89" s="886" t="s">
        <v>63</v>
      </c>
      <c r="E89" s="5"/>
      <c r="F89" s="889" t="s">
        <v>1038</v>
      </c>
      <c r="G89" s="874">
        <v>0.0</v>
      </c>
      <c r="H89" s="912" t="s">
        <v>77</v>
      </c>
      <c r="I89" s="5"/>
      <c r="J89" s="14"/>
      <c r="K89" s="5"/>
      <c r="L89" s="5"/>
      <c r="M89" s="5"/>
      <c r="N89" s="5"/>
      <c r="O89" s="14"/>
    </row>
    <row r="90">
      <c r="A90" s="5"/>
      <c r="B90" s="889" t="s">
        <v>734</v>
      </c>
      <c r="C90" s="890">
        <v>38.0</v>
      </c>
      <c r="D90" s="886" t="s">
        <v>72</v>
      </c>
      <c r="E90" s="5"/>
      <c r="F90" s="889" t="s">
        <v>1030</v>
      </c>
      <c r="G90" s="874">
        <v>0.0</v>
      </c>
      <c r="H90" s="912" t="s">
        <v>77</v>
      </c>
      <c r="I90" s="5"/>
      <c r="J90" s="14"/>
      <c r="K90" s="5"/>
      <c r="L90" s="5"/>
      <c r="M90" s="5"/>
      <c r="N90" s="5"/>
      <c r="O90" s="14"/>
    </row>
    <row r="91">
      <c r="A91" s="5"/>
      <c r="B91" s="889" t="s">
        <v>557</v>
      </c>
      <c r="C91" s="890">
        <v>38.0</v>
      </c>
      <c r="D91" s="886" t="s">
        <v>69</v>
      </c>
      <c r="E91" s="5"/>
      <c r="F91" s="889" t="s">
        <v>1030</v>
      </c>
      <c r="G91" s="874">
        <v>0.0</v>
      </c>
      <c r="H91" s="912" t="s">
        <v>77</v>
      </c>
      <c r="I91" s="5"/>
      <c r="J91" s="14"/>
      <c r="K91" s="5"/>
      <c r="L91" s="5"/>
      <c r="M91" s="5"/>
      <c r="N91" s="5"/>
      <c r="O91" s="14"/>
    </row>
    <row r="92">
      <c r="A92" s="5"/>
      <c r="B92" s="889" t="s">
        <v>827</v>
      </c>
      <c r="C92" s="890">
        <v>38.0</v>
      </c>
      <c r="D92" s="886" t="s">
        <v>73</v>
      </c>
      <c r="E92" s="5"/>
      <c r="F92" s="889" t="s">
        <v>998</v>
      </c>
      <c r="G92" s="874">
        <v>0.0</v>
      </c>
      <c r="H92" s="912" t="s">
        <v>77</v>
      </c>
      <c r="I92" s="5"/>
      <c r="J92" s="14"/>
      <c r="K92" s="5"/>
      <c r="L92" s="5"/>
      <c r="M92" s="5"/>
      <c r="N92" s="5"/>
      <c r="O92" s="14"/>
    </row>
    <row r="93">
      <c r="A93" s="5"/>
      <c r="B93" s="889" t="s">
        <v>921</v>
      </c>
      <c r="C93" s="890">
        <v>38.0</v>
      </c>
      <c r="D93" s="886" t="s">
        <v>75</v>
      </c>
      <c r="E93" s="5"/>
      <c r="F93" s="889" t="s">
        <v>998</v>
      </c>
      <c r="G93" s="874">
        <v>0.0</v>
      </c>
      <c r="H93" s="912" t="s">
        <v>77</v>
      </c>
      <c r="I93" s="5"/>
      <c r="J93" s="14"/>
      <c r="K93" s="5"/>
      <c r="L93" s="5"/>
      <c r="M93" s="5"/>
      <c r="N93" s="5"/>
      <c r="O93" s="14"/>
    </row>
    <row r="94">
      <c r="A94" s="5"/>
      <c r="B94" s="889" t="s">
        <v>745</v>
      </c>
      <c r="C94" s="890">
        <v>40.0</v>
      </c>
      <c r="D94" s="886" t="s">
        <v>72</v>
      </c>
      <c r="E94" s="5"/>
      <c r="F94" s="889" t="s">
        <v>1040</v>
      </c>
      <c r="G94" s="874">
        <v>0.0</v>
      </c>
      <c r="H94" s="912" t="s">
        <v>77</v>
      </c>
      <c r="I94" s="5"/>
      <c r="J94" s="14"/>
      <c r="K94" s="5"/>
      <c r="L94" s="5"/>
      <c r="M94" s="5"/>
      <c r="N94" s="5"/>
      <c r="O94" s="14"/>
    </row>
    <row r="95">
      <c r="A95" s="5"/>
      <c r="B95" s="889" t="s">
        <v>912</v>
      </c>
      <c r="C95" s="890">
        <v>40.0</v>
      </c>
      <c r="D95" s="886" t="s">
        <v>75</v>
      </c>
      <c r="E95" s="5"/>
      <c r="F95" s="889" t="s">
        <v>1040</v>
      </c>
      <c r="G95" s="874">
        <v>0.0</v>
      </c>
      <c r="H95" s="912" t="s">
        <v>77</v>
      </c>
      <c r="I95" s="5"/>
      <c r="J95" s="14"/>
      <c r="K95" s="5"/>
      <c r="L95" s="5"/>
      <c r="M95" s="5"/>
      <c r="N95" s="5"/>
      <c r="O95" s="14"/>
    </row>
    <row r="96">
      <c r="A96" s="5"/>
      <c r="B96" s="889" t="s">
        <v>372</v>
      </c>
      <c r="C96" s="890">
        <v>40.0</v>
      </c>
      <c r="D96" s="886" t="s">
        <v>65</v>
      </c>
      <c r="E96" s="5"/>
      <c r="F96" s="889" t="s">
        <v>915</v>
      </c>
      <c r="G96" s="874">
        <v>0.0</v>
      </c>
      <c r="H96" s="912" t="s">
        <v>77</v>
      </c>
      <c r="I96" s="5"/>
      <c r="J96" s="14"/>
      <c r="K96" s="5"/>
      <c r="L96" s="5"/>
      <c r="M96" s="5"/>
      <c r="N96" s="5"/>
      <c r="O96" s="14"/>
    </row>
    <row r="97">
      <c r="A97" s="5"/>
      <c r="B97" s="889" t="s">
        <v>272</v>
      </c>
      <c r="C97" s="890">
        <v>40.0</v>
      </c>
      <c r="D97" s="886" t="s">
        <v>63</v>
      </c>
      <c r="E97" s="5"/>
      <c r="F97" s="889" t="s">
        <v>915</v>
      </c>
      <c r="G97" s="874">
        <v>0.0</v>
      </c>
      <c r="H97" s="912" t="s">
        <v>77</v>
      </c>
      <c r="I97" s="5"/>
      <c r="J97" s="14"/>
      <c r="K97" s="5"/>
      <c r="L97" s="5"/>
      <c r="M97" s="5"/>
      <c r="N97" s="5"/>
      <c r="O97" s="14"/>
    </row>
    <row r="98">
      <c r="A98" s="5"/>
      <c r="B98" s="889" t="s">
        <v>164</v>
      </c>
      <c r="C98" s="890">
        <v>40.0</v>
      </c>
      <c r="D98" s="886" t="s">
        <v>60</v>
      </c>
      <c r="E98" s="5"/>
      <c r="F98" s="889" t="s">
        <v>1016</v>
      </c>
      <c r="G98" s="874">
        <v>0.0</v>
      </c>
      <c r="H98" s="912" t="s">
        <v>77</v>
      </c>
      <c r="I98" s="5"/>
      <c r="J98" s="14"/>
      <c r="K98" s="5"/>
      <c r="L98" s="5"/>
      <c r="M98" s="5"/>
      <c r="N98" s="5"/>
      <c r="O98" s="14"/>
    </row>
    <row r="99">
      <c r="A99" s="5"/>
      <c r="B99" s="889" t="s">
        <v>549</v>
      </c>
      <c r="C99" s="890">
        <v>40.0</v>
      </c>
      <c r="D99" s="886" t="s">
        <v>69</v>
      </c>
      <c r="E99" s="5"/>
      <c r="F99" s="889" t="s">
        <v>1016</v>
      </c>
      <c r="G99" s="874">
        <v>0.0</v>
      </c>
      <c r="H99" s="912" t="s">
        <v>77</v>
      </c>
      <c r="I99" s="5"/>
      <c r="J99" s="14"/>
      <c r="K99" s="5"/>
      <c r="L99" s="5"/>
      <c r="M99" s="5"/>
      <c r="N99" s="5"/>
      <c r="O99" s="14"/>
    </row>
    <row r="100">
      <c r="A100" s="5"/>
      <c r="B100" s="889" t="s">
        <v>644</v>
      </c>
      <c r="C100" s="890">
        <v>40.0</v>
      </c>
      <c r="D100" s="886" t="s">
        <v>70</v>
      </c>
      <c r="E100" s="5"/>
      <c r="F100" s="889" t="s">
        <v>1017</v>
      </c>
      <c r="G100" s="874">
        <v>0.0</v>
      </c>
      <c r="H100" s="912" t="s">
        <v>77</v>
      </c>
      <c r="I100" s="5"/>
      <c r="J100" s="14"/>
      <c r="K100" s="5"/>
      <c r="L100" s="5"/>
      <c r="M100" s="5"/>
      <c r="N100" s="5"/>
      <c r="O100" s="14"/>
    </row>
    <row r="101">
      <c r="A101" s="5"/>
      <c r="B101" s="889" t="s">
        <v>829</v>
      </c>
      <c r="C101" s="890">
        <v>40.0</v>
      </c>
      <c r="D101" s="886" t="s">
        <v>73</v>
      </c>
      <c r="E101" s="5"/>
      <c r="F101" s="889" t="s">
        <v>1017</v>
      </c>
      <c r="G101" s="874">
        <v>0.0</v>
      </c>
      <c r="H101" s="912" t="s">
        <v>77</v>
      </c>
      <c r="I101" s="5"/>
      <c r="J101" s="14"/>
      <c r="K101" s="5"/>
      <c r="L101" s="5"/>
      <c r="M101" s="5"/>
      <c r="N101" s="5"/>
      <c r="O101" s="14"/>
    </row>
    <row r="102">
      <c r="A102" s="5"/>
      <c r="B102" s="889" t="s">
        <v>471</v>
      </c>
      <c r="C102" s="890">
        <v>40.0</v>
      </c>
      <c r="D102" s="886" t="s">
        <v>68</v>
      </c>
      <c r="E102" s="5"/>
      <c r="F102" s="889" t="s">
        <v>1009</v>
      </c>
      <c r="G102" s="874">
        <v>0.0</v>
      </c>
      <c r="H102" s="912" t="s">
        <v>77</v>
      </c>
      <c r="I102" s="5"/>
      <c r="J102" s="14"/>
      <c r="K102" s="5"/>
      <c r="L102" s="5"/>
      <c r="M102" s="5"/>
      <c r="N102" s="5"/>
      <c r="O102" s="14"/>
    </row>
    <row r="103">
      <c r="A103" s="5"/>
      <c r="B103" s="889" t="s">
        <v>745</v>
      </c>
      <c r="C103" s="890">
        <v>42.0</v>
      </c>
      <c r="D103" s="886" t="s">
        <v>72</v>
      </c>
      <c r="E103" s="5"/>
      <c r="F103" s="889" t="s">
        <v>1009</v>
      </c>
      <c r="G103" s="874">
        <v>0.0</v>
      </c>
      <c r="H103" s="912" t="s">
        <v>77</v>
      </c>
      <c r="I103" s="5"/>
      <c r="J103" s="14"/>
      <c r="K103" s="5"/>
      <c r="L103" s="5"/>
      <c r="M103" s="5"/>
      <c r="N103" s="5"/>
      <c r="O103" s="14"/>
    </row>
    <row r="104">
      <c r="A104" s="5"/>
      <c r="B104" s="889" t="s">
        <v>912</v>
      </c>
      <c r="C104" s="890">
        <v>42.0</v>
      </c>
      <c r="D104" s="886" t="s">
        <v>75</v>
      </c>
      <c r="E104" s="5"/>
      <c r="F104" s="889" t="s">
        <v>1048</v>
      </c>
      <c r="G104" s="874">
        <v>0.0</v>
      </c>
      <c r="H104" s="912" t="s">
        <v>77</v>
      </c>
      <c r="I104" s="5"/>
      <c r="J104" s="14"/>
      <c r="K104" s="5"/>
      <c r="L104" s="5"/>
      <c r="M104" s="5"/>
      <c r="N104" s="5"/>
      <c r="O104" s="14"/>
    </row>
    <row r="105">
      <c r="A105" s="5"/>
      <c r="B105" s="889" t="s">
        <v>372</v>
      </c>
      <c r="C105" s="890">
        <v>42.0</v>
      </c>
      <c r="D105" s="886" t="s">
        <v>65</v>
      </c>
      <c r="E105" s="5"/>
      <c r="F105" s="889" t="s">
        <v>1048</v>
      </c>
      <c r="G105" s="874">
        <v>0.0</v>
      </c>
      <c r="H105" s="912" t="s">
        <v>77</v>
      </c>
      <c r="I105" s="5"/>
      <c r="J105" s="14"/>
      <c r="K105" s="5"/>
      <c r="L105" s="5"/>
      <c r="M105" s="5"/>
      <c r="N105" s="5"/>
      <c r="O105" s="14"/>
    </row>
    <row r="106">
      <c r="A106" s="5"/>
      <c r="B106" s="889" t="s">
        <v>272</v>
      </c>
      <c r="C106" s="890">
        <v>42.0</v>
      </c>
      <c r="D106" s="886" t="s">
        <v>63</v>
      </c>
      <c r="E106" s="5"/>
      <c r="F106" s="889" t="s">
        <v>1018</v>
      </c>
      <c r="G106" s="874">
        <v>0.0</v>
      </c>
      <c r="H106" s="912" t="s">
        <v>77</v>
      </c>
      <c r="I106" s="5"/>
      <c r="J106" s="14"/>
      <c r="K106" s="5"/>
      <c r="L106" s="5"/>
      <c r="M106" s="5"/>
      <c r="N106" s="5"/>
      <c r="O106" s="14"/>
    </row>
    <row r="107">
      <c r="A107" s="5"/>
      <c r="B107" s="889" t="s">
        <v>164</v>
      </c>
      <c r="C107" s="890">
        <v>42.0</v>
      </c>
      <c r="D107" s="886" t="s">
        <v>60</v>
      </c>
      <c r="E107" s="5"/>
      <c r="F107" s="889" t="s">
        <v>1018</v>
      </c>
      <c r="G107" s="874">
        <v>0.0</v>
      </c>
      <c r="H107" s="912" t="s">
        <v>77</v>
      </c>
      <c r="I107" s="5"/>
      <c r="J107" s="14"/>
      <c r="K107" s="5"/>
      <c r="L107" s="5"/>
      <c r="M107" s="5"/>
      <c r="N107" s="5"/>
      <c r="O107" s="14"/>
    </row>
    <row r="108">
      <c r="A108" s="5"/>
      <c r="B108" s="889" t="s">
        <v>549</v>
      </c>
      <c r="C108" s="890">
        <v>42.0</v>
      </c>
      <c r="D108" s="886" t="s">
        <v>69</v>
      </c>
      <c r="E108" s="5"/>
      <c r="F108" s="889" t="s">
        <v>1000</v>
      </c>
      <c r="G108" s="874">
        <v>0.0</v>
      </c>
      <c r="H108" s="912" t="s">
        <v>77</v>
      </c>
      <c r="I108" s="5"/>
      <c r="J108" s="14"/>
      <c r="K108" s="5"/>
      <c r="L108" s="5"/>
      <c r="M108" s="5"/>
      <c r="N108" s="5"/>
      <c r="O108" s="14"/>
    </row>
    <row r="109">
      <c r="A109" s="5"/>
      <c r="B109" s="889" t="s">
        <v>644</v>
      </c>
      <c r="C109" s="890">
        <v>42.0</v>
      </c>
      <c r="D109" s="886" t="s">
        <v>70</v>
      </c>
      <c r="E109" s="5"/>
      <c r="F109" s="889" t="s">
        <v>1000</v>
      </c>
      <c r="G109" s="874">
        <v>0.0</v>
      </c>
      <c r="H109" s="912" t="s">
        <v>77</v>
      </c>
      <c r="I109" s="5"/>
      <c r="J109" s="14"/>
      <c r="K109" s="5"/>
      <c r="L109" s="5"/>
      <c r="M109" s="5"/>
      <c r="N109" s="5"/>
      <c r="O109" s="14"/>
    </row>
    <row r="110">
      <c r="A110" s="5"/>
      <c r="B110" s="889" t="s">
        <v>829</v>
      </c>
      <c r="C110" s="890">
        <v>42.0</v>
      </c>
      <c r="D110" s="886" t="s">
        <v>73</v>
      </c>
      <c r="E110" s="5"/>
      <c r="F110" s="889" t="s">
        <v>1010</v>
      </c>
      <c r="G110" s="874">
        <v>0.0</v>
      </c>
      <c r="H110" s="912" t="s">
        <v>77</v>
      </c>
      <c r="I110" s="5"/>
      <c r="J110" s="14"/>
      <c r="K110" s="5"/>
      <c r="L110" s="5"/>
      <c r="M110" s="5"/>
      <c r="N110" s="5"/>
      <c r="O110" s="14"/>
    </row>
    <row r="111">
      <c r="A111" s="5"/>
      <c r="B111" s="889" t="s">
        <v>471</v>
      </c>
      <c r="C111" s="890">
        <v>42.0</v>
      </c>
      <c r="D111" s="886" t="s">
        <v>68</v>
      </c>
      <c r="E111" s="5"/>
      <c r="F111" s="889" t="s">
        <v>1010</v>
      </c>
      <c r="G111" s="874">
        <v>0.0</v>
      </c>
      <c r="H111" s="912" t="s">
        <v>77</v>
      </c>
      <c r="I111" s="5"/>
      <c r="J111" s="14"/>
      <c r="K111" s="5"/>
      <c r="L111" s="5"/>
      <c r="M111" s="5"/>
      <c r="N111" s="5"/>
      <c r="O111" s="14"/>
    </row>
    <row r="112">
      <c r="A112" s="5"/>
      <c r="B112" s="889" t="s">
        <v>467</v>
      </c>
      <c r="C112" s="890">
        <v>43.0</v>
      </c>
      <c r="D112" s="886" t="s">
        <v>68</v>
      </c>
      <c r="E112" s="5"/>
      <c r="F112" s="889" t="s">
        <v>1042</v>
      </c>
      <c r="G112" s="874">
        <v>0.0</v>
      </c>
      <c r="H112" s="912" t="s">
        <v>77</v>
      </c>
      <c r="I112" s="5"/>
      <c r="J112" s="14"/>
      <c r="K112" s="5"/>
      <c r="L112" s="5"/>
      <c r="M112" s="5"/>
      <c r="N112" s="5"/>
      <c r="O112" s="14"/>
    </row>
    <row r="113">
      <c r="A113" s="5"/>
      <c r="B113" s="889" t="s">
        <v>638</v>
      </c>
      <c r="C113" s="890">
        <v>43.0</v>
      </c>
      <c r="D113" s="886" t="s">
        <v>70</v>
      </c>
      <c r="E113" s="5"/>
      <c r="F113" s="889" t="s">
        <v>1042</v>
      </c>
      <c r="G113" s="874">
        <v>0.0</v>
      </c>
      <c r="H113" s="912" t="s">
        <v>77</v>
      </c>
      <c r="I113" s="5"/>
      <c r="J113" s="14"/>
      <c r="K113" s="5"/>
      <c r="L113" s="5"/>
      <c r="M113" s="5"/>
      <c r="N113" s="5"/>
      <c r="O113" s="14"/>
    </row>
    <row r="114">
      <c r="A114" s="5"/>
      <c r="B114" s="889" t="s">
        <v>736</v>
      </c>
      <c r="C114" s="890">
        <v>43.0</v>
      </c>
      <c r="D114" s="886" t="s">
        <v>72</v>
      </c>
      <c r="E114" s="5"/>
      <c r="F114" s="889" t="s">
        <v>1012</v>
      </c>
      <c r="G114" s="874">
        <v>0.0</v>
      </c>
      <c r="H114" s="912" t="s">
        <v>77</v>
      </c>
      <c r="I114" s="5"/>
      <c r="J114" s="14"/>
      <c r="K114" s="5"/>
      <c r="L114" s="5"/>
      <c r="M114" s="5"/>
      <c r="N114" s="5"/>
      <c r="O114" s="14"/>
    </row>
    <row r="115">
      <c r="A115" s="5"/>
      <c r="B115" s="889" t="s">
        <v>823</v>
      </c>
      <c r="C115" s="890">
        <v>43.0</v>
      </c>
      <c r="D115" s="886" t="s">
        <v>73</v>
      </c>
      <c r="E115" s="5"/>
      <c r="F115" s="889" t="s">
        <v>1012</v>
      </c>
      <c r="G115" s="874">
        <v>0.0</v>
      </c>
      <c r="H115" s="912" t="s">
        <v>77</v>
      </c>
      <c r="I115" s="5"/>
      <c r="J115" s="14"/>
      <c r="K115" s="5"/>
      <c r="L115" s="5"/>
      <c r="M115" s="5"/>
      <c r="N115" s="5"/>
      <c r="O115" s="14"/>
    </row>
    <row r="116">
      <c r="A116" s="5"/>
      <c r="B116" s="889" t="s">
        <v>179</v>
      </c>
      <c r="C116" s="890">
        <v>43.0</v>
      </c>
      <c r="D116" s="886" t="s">
        <v>60</v>
      </c>
      <c r="E116" s="5"/>
      <c r="F116" s="889" t="s">
        <v>1031</v>
      </c>
      <c r="G116" s="874">
        <v>0.0</v>
      </c>
      <c r="H116" s="912" t="s">
        <v>77</v>
      </c>
      <c r="I116" s="5"/>
      <c r="J116" s="14"/>
      <c r="K116" s="5"/>
      <c r="L116" s="5"/>
      <c r="M116" s="5"/>
      <c r="N116" s="5"/>
      <c r="O116" s="14"/>
    </row>
    <row r="117">
      <c r="A117" s="5"/>
      <c r="B117" s="889" t="s">
        <v>559</v>
      </c>
      <c r="C117" s="890">
        <v>43.0</v>
      </c>
      <c r="D117" s="886" t="s">
        <v>69</v>
      </c>
      <c r="E117" s="5"/>
      <c r="F117" s="889" t="s">
        <v>1031</v>
      </c>
      <c r="G117" s="874">
        <v>0.0</v>
      </c>
      <c r="H117" s="912" t="s">
        <v>77</v>
      </c>
      <c r="I117" s="5"/>
      <c r="J117" s="14"/>
      <c r="K117" s="5"/>
      <c r="L117" s="5"/>
      <c r="M117" s="5"/>
      <c r="N117" s="5"/>
      <c r="O117" s="14"/>
    </row>
    <row r="118">
      <c r="A118" s="5"/>
      <c r="B118" s="889" t="s">
        <v>290</v>
      </c>
      <c r="C118" s="890">
        <v>43.0</v>
      </c>
      <c r="D118" s="886" t="s">
        <v>63</v>
      </c>
      <c r="E118" s="5"/>
      <c r="F118" s="889" t="s">
        <v>1032</v>
      </c>
      <c r="G118" s="874">
        <v>0.0</v>
      </c>
      <c r="H118" s="912" t="s">
        <v>77</v>
      </c>
      <c r="I118" s="5"/>
      <c r="J118" s="14"/>
      <c r="K118" s="5"/>
      <c r="L118" s="5"/>
      <c r="M118" s="5"/>
      <c r="N118" s="5"/>
      <c r="O118" s="14"/>
    </row>
    <row r="119">
      <c r="A119" s="5"/>
      <c r="B119" s="889" t="s">
        <v>467</v>
      </c>
      <c r="C119" s="890">
        <v>44.0</v>
      </c>
      <c r="D119" s="886" t="s">
        <v>68</v>
      </c>
      <c r="E119" s="5"/>
      <c r="F119" s="889" t="s">
        <v>1032</v>
      </c>
      <c r="G119" s="874">
        <v>0.0</v>
      </c>
      <c r="H119" s="912" t="s">
        <v>77</v>
      </c>
      <c r="I119" s="5"/>
      <c r="J119" s="14"/>
      <c r="K119" s="5"/>
      <c r="L119" s="5"/>
      <c r="M119" s="5"/>
      <c r="N119" s="5"/>
      <c r="O119" s="14"/>
    </row>
    <row r="120">
      <c r="A120" s="5"/>
      <c r="B120" s="889" t="s">
        <v>638</v>
      </c>
      <c r="C120" s="890">
        <v>44.0</v>
      </c>
      <c r="D120" s="886" t="s">
        <v>70</v>
      </c>
      <c r="E120" s="5"/>
      <c r="F120" s="889" t="s">
        <v>1019</v>
      </c>
      <c r="G120" s="874">
        <v>0.0</v>
      </c>
      <c r="H120" s="912" t="s">
        <v>77</v>
      </c>
      <c r="I120" s="5"/>
      <c r="J120" s="14"/>
      <c r="K120" s="5"/>
      <c r="L120" s="5"/>
      <c r="M120" s="5"/>
      <c r="N120" s="5"/>
      <c r="O120" s="14"/>
    </row>
    <row r="121">
      <c r="A121" s="5"/>
      <c r="B121" s="889" t="s">
        <v>378</v>
      </c>
      <c r="C121" s="890">
        <v>44.0</v>
      </c>
      <c r="D121" s="886" t="s">
        <v>65</v>
      </c>
      <c r="E121" s="5"/>
      <c r="F121" s="889" t="s">
        <v>1019</v>
      </c>
      <c r="G121" s="874">
        <v>0.0</v>
      </c>
      <c r="H121" s="912" t="s">
        <v>77</v>
      </c>
      <c r="I121" s="5"/>
      <c r="J121" s="14"/>
      <c r="K121" s="5"/>
      <c r="L121" s="5"/>
      <c r="M121" s="5"/>
      <c r="N121" s="5"/>
      <c r="O121" s="14"/>
    </row>
    <row r="122">
      <c r="A122" s="5"/>
      <c r="B122" s="889" t="s">
        <v>736</v>
      </c>
      <c r="C122" s="890">
        <v>44.0</v>
      </c>
      <c r="D122" s="886" t="s">
        <v>72</v>
      </c>
      <c r="E122" s="5"/>
      <c r="F122" s="889" t="s">
        <v>1021</v>
      </c>
      <c r="G122" s="874">
        <v>0.0</v>
      </c>
      <c r="H122" s="912" t="s">
        <v>77</v>
      </c>
      <c r="I122" s="5"/>
      <c r="J122" s="14"/>
      <c r="K122" s="5"/>
      <c r="L122" s="5"/>
      <c r="M122" s="5"/>
      <c r="N122" s="5"/>
      <c r="O122" s="14"/>
    </row>
    <row r="123">
      <c r="A123" s="5"/>
      <c r="B123" s="889" t="s">
        <v>923</v>
      </c>
      <c r="C123" s="890">
        <v>44.0</v>
      </c>
      <c r="D123" s="886" t="s">
        <v>75</v>
      </c>
      <c r="E123" s="5"/>
      <c r="F123" s="889" t="s">
        <v>1021</v>
      </c>
      <c r="G123" s="874">
        <v>0.0</v>
      </c>
      <c r="H123" s="912" t="s">
        <v>77</v>
      </c>
      <c r="I123" s="5"/>
      <c r="J123" s="14"/>
      <c r="K123" s="5"/>
      <c r="L123" s="5"/>
      <c r="M123" s="5"/>
      <c r="N123" s="5"/>
      <c r="O123" s="14"/>
    </row>
    <row r="124">
      <c r="A124" s="5"/>
      <c r="B124" s="889" t="s">
        <v>823</v>
      </c>
      <c r="C124" s="890">
        <v>44.0</v>
      </c>
      <c r="D124" s="886" t="s">
        <v>73</v>
      </c>
      <c r="E124" s="5"/>
      <c r="F124" s="889" t="s">
        <v>1049</v>
      </c>
      <c r="G124" s="874">
        <v>0.0</v>
      </c>
      <c r="H124" s="912" t="s">
        <v>77</v>
      </c>
      <c r="I124" s="5"/>
      <c r="J124" s="14"/>
      <c r="K124" s="5"/>
      <c r="L124" s="5"/>
      <c r="M124" s="5"/>
      <c r="N124" s="5"/>
      <c r="O124" s="14"/>
    </row>
    <row r="125">
      <c r="A125" s="5"/>
      <c r="B125" s="889" t="s">
        <v>179</v>
      </c>
      <c r="C125" s="890">
        <v>44.0</v>
      </c>
      <c r="D125" s="886" t="s">
        <v>60</v>
      </c>
      <c r="E125" s="5"/>
      <c r="F125" s="889" t="s">
        <v>1049</v>
      </c>
      <c r="G125" s="874">
        <v>0.0</v>
      </c>
      <c r="H125" s="912" t="s">
        <v>77</v>
      </c>
      <c r="I125" s="5"/>
      <c r="J125" s="14"/>
      <c r="K125" s="5"/>
      <c r="L125" s="5"/>
      <c r="M125" s="5"/>
      <c r="N125" s="5"/>
      <c r="O125" s="14"/>
    </row>
    <row r="126">
      <c r="A126" s="5"/>
      <c r="B126" s="889" t="s">
        <v>559</v>
      </c>
      <c r="C126" s="890">
        <v>44.0</v>
      </c>
      <c r="D126" s="886" t="s">
        <v>69</v>
      </c>
      <c r="E126" s="5"/>
      <c r="F126" s="889" t="s">
        <v>1014</v>
      </c>
      <c r="G126" s="874">
        <v>0.0</v>
      </c>
      <c r="H126" s="912" t="s">
        <v>77</v>
      </c>
      <c r="I126" s="5"/>
      <c r="J126" s="14"/>
      <c r="K126" s="5"/>
      <c r="L126" s="5"/>
      <c r="M126" s="5"/>
      <c r="N126" s="5"/>
      <c r="O126" s="14"/>
    </row>
    <row r="127">
      <c r="A127" s="5"/>
      <c r="B127" s="889" t="s">
        <v>290</v>
      </c>
      <c r="C127" s="890">
        <v>44.0</v>
      </c>
      <c r="D127" s="886" t="s">
        <v>63</v>
      </c>
      <c r="E127" s="5"/>
      <c r="F127" s="889" t="s">
        <v>1014</v>
      </c>
      <c r="G127" s="874">
        <v>0.0</v>
      </c>
      <c r="H127" s="912" t="s">
        <v>77</v>
      </c>
      <c r="I127" s="5"/>
      <c r="J127" s="14"/>
      <c r="K127" s="5"/>
      <c r="L127" s="5"/>
      <c r="M127" s="5"/>
      <c r="N127" s="5"/>
      <c r="O127" s="14"/>
    </row>
    <row r="128">
      <c r="A128" s="5"/>
      <c r="B128" s="889" t="s">
        <v>280</v>
      </c>
      <c r="C128" s="890">
        <v>45.0</v>
      </c>
      <c r="D128" s="886" t="s">
        <v>63</v>
      </c>
      <c r="E128" s="5"/>
      <c r="F128" s="889" t="s">
        <v>1033</v>
      </c>
      <c r="G128" s="874">
        <v>0.0</v>
      </c>
      <c r="H128" s="912" t="s">
        <v>77</v>
      </c>
      <c r="I128" s="5"/>
      <c r="J128" s="14"/>
      <c r="K128" s="5"/>
      <c r="L128" s="5"/>
      <c r="M128" s="5"/>
      <c r="N128" s="5"/>
      <c r="O128" s="14"/>
    </row>
    <row r="129">
      <c r="A129" s="5"/>
      <c r="B129" s="889" t="s">
        <v>456</v>
      </c>
      <c r="C129" s="890">
        <v>45.0</v>
      </c>
      <c r="D129" s="886" t="s">
        <v>68</v>
      </c>
      <c r="E129" s="5"/>
      <c r="F129" s="889" t="s">
        <v>1033</v>
      </c>
      <c r="G129" s="874">
        <v>0.0</v>
      </c>
      <c r="H129" s="912" t="s">
        <v>77</v>
      </c>
      <c r="I129" s="5"/>
      <c r="J129" s="14"/>
      <c r="K129" s="5"/>
      <c r="L129" s="5"/>
      <c r="M129" s="5"/>
      <c r="N129" s="5"/>
      <c r="O129" s="14"/>
    </row>
    <row r="130">
      <c r="A130" s="5"/>
      <c r="B130" s="889" t="s">
        <v>831</v>
      </c>
      <c r="C130" s="890">
        <v>45.0</v>
      </c>
      <c r="D130" s="886" t="s">
        <v>73</v>
      </c>
      <c r="E130" s="5"/>
      <c r="F130" s="889" t="s">
        <v>1023</v>
      </c>
      <c r="G130" s="874">
        <v>0.0</v>
      </c>
      <c r="H130" s="912" t="s">
        <v>77</v>
      </c>
      <c r="I130" s="5"/>
      <c r="J130" s="14"/>
      <c r="K130" s="5"/>
      <c r="L130" s="5"/>
      <c r="M130" s="5"/>
      <c r="N130" s="5"/>
      <c r="O130" s="14"/>
    </row>
    <row r="131">
      <c r="A131" s="5"/>
      <c r="B131" s="889" t="s">
        <v>561</v>
      </c>
      <c r="C131" s="890">
        <v>45.0</v>
      </c>
      <c r="D131" s="886" t="s">
        <v>69</v>
      </c>
      <c r="E131" s="5"/>
      <c r="F131" s="889" t="s">
        <v>1023</v>
      </c>
      <c r="G131" s="874">
        <v>0.0</v>
      </c>
      <c r="H131" s="912" t="s">
        <v>77</v>
      </c>
      <c r="I131" s="5"/>
      <c r="J131" s="14"/>
      <c r="K131" s="5"/>
      <c r="L131" s="5"/>
      <c r="M131" s="5"/>
      <c r="N131" s="5"/>
      <c r="O131" s="14"/>
    </row>
    <row r="132">
      <c r="A132" s="5"/>
      <c r="B132" s="889" t="s">
        <v>646</v>
      </c>
      <c r="C132" s="890">
        <v>45.0</v>
      </c>
      <c r="D132" s="886" t="s">
        <v>70</v>
      </c>
      <c r="E132" s="5"/>
      <c r="F132" s="889" t="s">
        <v>1025</v>
      </c>
      <c r="G132" s="874">
        <v>0.0</v>
      </c>
      <c r="H132" s="912" t="s">
        <v>77</v>
      </c>
      <c r="I132" s="5"/>
      <c r="J132" s="14"/>
      <c r="K132" s="5"/>
      <c r="L132" s="5"/>
      <c r="M132" s="5"/>
      <c r="N132" s="5"/>
      <c r="O132" s="14"/>
    </row>
    <row r="133">
      <c r="A133" s="5"/>
      <c r="B133" s="889" t="s">
        <v>185</v>
      </c>
      <c r="C133" s="890">
        <v>45.0</v>
      </c>
      <c r="D133" s="886" t="s">
        <v>60</v>
      </c>
      <c r="E133" s="5"/>
      <c r="F133" s="889" t="s">
        <v>1025</v>
      </c>
      <c r="G133" s="874">
        <v>0.0</v>
      </c>
      <c r="H133" s="912" t="s">
        <v>77</v>
      </c>
      <c r="I133" s="5"/>
      <c r="J133" s="14"/>
      <c r="K133" s="5"/>
      <c r="L133" s="5"/>
      <c r="M133" s="5"/>
      <c r="N133" s="5"/>
      <c r="O133" s="14"/>
    </row>
    <row r="134">
      <c r="A134" s="5"/>
      <c r="B134" s="889" t="s">
        <v>743</v>
      </c>
      <c r="C134" s="890">
        <v>45.0</v>
      </c>
      <c r="D134" s="886" t="s">
        <v>72</v>
      </c>
      <c r="E134" s="5"/>
      <c r="F134" s="889" t="s">
        <v>1001</v>
      </c>
      <c r="G134" s="874">
        <v>0.0</v>
      </c>
      <c r="H134" s="912" t="s">
        <v>77</v>
      </c>
      <c r="I134" s="5"/>
      <c r="J134" s="14"/>
      <c r="K134" s="5"/>
      <c r="L134" s="5"/>
      <c r="M134" s="5"/>
      <c r="N134" s="5"/>
      <c r="O134" s="14"/>
    </row>
    <row r="135">
      <c r="A135" s="5"/>
      <c r="B135" s="889" t="s">
        <v>280</v>
      </c>
      <c r="C135" s="890">
        <v>46.0</v>
      </c>
      <c r="D135" s="886" t="s">
        <v>63</v>
      </c>
      <c r="E135" s="5"/>
      <c r="F135" s="889" t="s">
        <v>1001</v>
      </c>
      <c r="G135" s="874">
        <v>0.0</v>
      </c>
      <c r="H135" s="912" t="s">
        <v>77</v>
      </c>
      <c r="I135" s="5"/>
      <c r="J135" s="14"/>
      <c r="K135" s="5"/>
      <c r="L135" s="5"/>
      <c r="M135" s="5"/>
      <c r="N135" s="5"/>
      <c r="O135" s="14"/>
    </row>
    <row r="136">
      <c r="A136" s="5"/>
      <c r="B136" s="889" t="s">
        <v>456</v>
      </c>
      <c r="C136" s="890">
        <v>46.0</v>
      </c>
      <c r="D136" s="886" t="s">
        <v>68</v>
      </c>
      <c r="E136" s="5"/>
      <c r="F136" s="889" t="s">
        <v>1002</v>
      </c>
      <c r="G136" s="874">
        <v>0.0</v>
      </c>
      <c r="H136" s="912" t="s">
        <v>77</v>
      </c>
      <c r="I136" s="5"/>
      <c r="J136" s="14"/>
      <c r="K136" s="5"/>
      <c r="L136" s="5"/>
      <c r="M136" s="5"/>
      <c r="N136" s="5"/>
      <c r="O136" s="14"/>
    </row>
    <row r="137">
      <c r="A137" s="5"/>
      <c r="B137" s="889" t="s">
        <v>831</v>
      </c>
      <c r="C137" s="890">
        <v>46.0</v>
      </c>
      <c r="D137" s="886" t="s">
        <v>73</v>
      </c>
      <c r="E137" s="5"/>
      <c r="F137" s="889" t="s">
        <v>1002</v>
      </c>
      <c r="G137" s="874">
        <v>0.0</v>
      </c>
      <c r="H137" s="912" t="s">
        <v>77</v>
      </c>
      <c r="I137" s="5"/>
      <c r="J137" s="14"/>
      <c r="K137" s="5"/>
      <c r="L137" s="5"/>
      <c r="M137" s="5"/>
      <c r="N137" s="5"/>
      <c r="O137" s="14"/>
    </row>
    <row r="138">
      <c r="A138" s="5"/>
      <c r="B138" s="889" t="s">
        <v>378</v>
      </c>
      <c r="C138" s="890">
        <v>46.0</v>
      </c>
      <c r="D138" s="886" t="s">
        <v>65</v>
      </c>
      <c r="E138" s="5"/>
      <c r="F138" s="889" t="s">
        <v>1053</v>
      </c>
      <c r="G138" s="874">
        <v>0.0</v>
      </c>
      <c r="H138" s="912" t="s">
        <v>77</v>
      </c>
      <c r="I138" s="5"/>
      <c r="J138" s="14"/>
      <c r="K138" s="5"/>
      <c r="L138" s="5"/>
      <c r="M138" s="5"/>
      <c r="N138" s="5"/>
      <c r="O138" s="14"/>
    </row>
    <row r="139">
      <c r="A139" s="5"/>
      <c r="B139" s="889" t="s">
        <v>561</v>
      </c>
      <c r="C139" s="890">
        <v>46.0</v>
      </c>
      <c r="D139" s="886" t="s">
        <v>69</v>
      </c>
      <c r="E139" s="5"/>
      <c r="F139" s="889" t="s">
        <v>1053</v>
      </c>
      <c r="G139" s="874">
        <v>0.0</v>
      </c>
      <c r="H139" s="912" t="s">
        <v>77</v>
      </c>
      <c r="I139" s="5"/>
      <c r="J139" s="14"/>
      <c r="K139" s="5"/>
      <c r="L139" s="5"/>
      <c r="M139" s="5"/>
      <c r="N139" s="5"/>
      <c r="O139" s="14"/>
    </row>
    <row r="140">
      <c r="A140" s="5"/>
      <c r="B140" s="889" t="s">
        <v>923</v>
      </c>
      <c r="C140" s="890">
        <v>46.0</v>
      </c>
      <c r="D140" s="886" t="s">
        <v>75</v>
      </c>
      <c r="E140" s="5"/>
      <c r="F140" s="889" t="s">
        <v>1026</v>
      </c>
      <c r="G140" s="874">
        <v>0.0</v>
      </c>
      <c r="H140" s="912" t="s">
        <v>77</v>
      </c>
      <c r="I140" s="5"/>
      <c r="J140" s="14"/>
      <c r="K140" s="5"/>
      <c r="L140" s="5"/>
      <c r="M140" s="5"/>
      <c r="N140" s="5"/>
      <c r="O140" s="14"/>
    </row>
    <row r="141">
      <c r="A141" s="5"/>
      <c r="B141" s="889" t="s">
        <v>646</v>
      </c>
      <c r="C141" s="890">
        <v>46.0</v>
      </c>
      <c r="D141" s="886" t="s">
        <v>70</v>
      </c>
      <c r="E141" s="5"/>
      <c r="F141" s="889" t="s">
        <v>1026</v>
      </c>
      <c r="G141" s="874">
        <v>0.0</v>
      </c>
      <c r="H141" s="912" t="s">
        <v>77</v>
      </c>
      <c r="I141" s="5"/>
      <c r="J141" s="14"/>
      <c r="K141" s="5"/>
      <c r="L141" s="5"/>
      <c r="M141" s="5"/>
      <c r="N141" s="5"/>
      <c r="O141" s="14"/>
    </row>
    <row r="142">
      <c r="A142" s="5"/>
      <c r="B142" s="889" t="s">
        <v>185</v>
      </c>
      <c r="C142" s="890">
        <v>46.0</v>
      </c>
      <c r="D142" s="886" t="s">
        <v>60</v>
      </c>
      <c r="E142" s="5"/>
      <c r="F142" s="889" t="s">
        <v>1007</v>
      </c>
      <c r="G142" s="874">
        <v>0.0</v>
      </c>
      <c r="H142" s="912" t="s">
        <v>31</v>
      </c>
      <c r="I142" s="5"/>
      <c r="J142" s="14"/>
      <c r="K142" s="5"/>
      <c r="L142" s="5"/>
      <c r="M142" s="5"/>
      <c r="N142" s="5"/>
      <c r="O142" s="14"/>
    </row>
    <row r="143">
      <c r="A143" s="5"/>
      <c r="B143" s="889" t="s">
        <v>743</v>
      </c>
      <c r="C143" s="890">
        <v>46.0</v>
      </c>
      <c r="D143" s="886" t="s">
        <v>72</v>
      </c>
      <c r="E143" s="5"/>
      <c r="F143" s="889" t="s">
        <v>1007</v>
      </c>
      <c r="G143" s="874">
        <v>0.0</v>
      </c>
      <c r="H143" s="912" t="s">
        <v>31</v>
      </c>
      <c r="I143" s="5"/>
      <c r="J143" s="14"/>
      <c r="K143" s="5"/>
      <c r="L143" s="5"/>
      <c r="M143" s="5"/>
      <c r="N143" s="5"/>
      <c r="O143" s="14"/>
    </row>
    <row r="144">
      <c r="A144" s="5"/>
      <c r="B144" s="889" t="s">
        <v>651</v>
      </c>
      <c r="C144" s="890">
        <v>47.0</v>
      </c>
      <c r="D144" s="886" t="s">
        <v>70</v>
      </c>
      <c r="E144" s="5"/>
      <c r="F144" s="889" t="s">
        <v>997</v>
      </c>
      <c r="G144" s="874">
        <v>0.0</v>
      </c>
      <c r="H144" s="912" t="s">
        <v>31</v>
      </c>
      <c r="I144" s="5"/>
      <c r="J144" s="14"/>
      <c r="K144" s="5"/>
      <c r="L144" s="5"/>
      <c r="M144" s="5"/>
      <c r="N144" s="5"/>
      <c r="O144" s="14"/>
    </row>
    <row r="145">
      <c r="A145" s="5"/>
      <c r="B145" s="889" t="s">
        <v>908</v>
      </c>
      <c r="C145" s="890">
        <v>47.0</v>
      </c>
      <c r="D145" s="886" t="s">
        <v>75</v>
      </c>
      <c r="E145" s="5"/>
      <c r="F145" s="889" t="s">
        <v>997</v>
      </c>
      <c r="G145" s="874">
        <v>0.0</v>
      </c>
      <c r="H145" s="912" t="s">
        <v>31</v>
      </c>
      <c r="I145" s="5"/>
      <c r="J145" s="14"/>
      <c r="K145" s="5"/>
      <c r="L145" s="5"/>
      <c r="M145" s="5"/>
      <c r="N145" s="5"/>
      <c r="O145" s="14"/>
    </row>
    <row r="146">
      <c r="A146" s="5"/>
      <c r="B146" s="889" t="s">
        <v>473</v>
      </c>
      <c r="C146" s="890">
        <v>47.0</v>
      </c>
      <c r="D146" s="886" t="s">
        <v>68</v>
      </c>
      <c r="E146" s="5"/>
      <c r="F146" s="889" t="s">
        <v>1044</v>
      </c>
      <c r="G146" s="874">
        <v>0.0</v>
      </c>
      <c r="H146" s="912" t="s">
        <v>31</v>
      </c>
      <c r="I146" s="5"/>
      <c r="J146" s="14"/>
      <c r="K146" s="5"/>
      <c r="L146" s="5"/>
      <c r="M146" s="5"/>
      <c r="N146" s="5"/>
      <c r="O146" s="14"/>
    </row>
    <row r="147">
      <c r="A147" s="5"/>
      <c r="B147" s="889" t="s">
        <v>741</v>
      </c>
      <c r="C147" s="890">
        <v>47.0</v>
      </c>
      <c r="D147" s="886" t="s">
        <v>72</v>
      </c>
      <c r="E147" s="5"/>
      <c r="F147" s="889" t="s">
        <v>1044</v>
      </c>
      <c r="G147" s="874">
        <v>0.0</v>
      </c>
      <c r="H147" s="912" t="s">
        <v>31</v>
      </c>
      <c r="I147" s="5"/>
      <c r="J147" s="14"/>
      <c r="K147" s="5"/>
      <c r="L147" s="5"/>
      <c r="M147" s="5"/>
      <c r="N147" s="5"/>
      <c r="O147" s="14"/>
    </row>
    <row r="148">
      <c r="A148" s="5"/>
      <c r="B148" s="889" t="s">
        <v>380</v>
      </c>
      <c r="C148" s="890">
        <v>47.0</v>
      </c>
      <c r="D148" s="886" t="s">
        <v>65</v>
      </c>
      <c r="E148" s="5"/>
      <c r="F148" s="889" t="s">
        <v>1051</v>
      </c>
      <c r="G148" s="874">
        <v>0.0</v>
      </c>
      <c r="H148" s="912" t="s">
        <v>31</v>
      </c>
      <c r="I148" s="5"/>
      <c r="J148" s="14"/>
      <c r="K148" s="5"/>
      <c r="L148" s="5"/>
      <c r="M148" s="5"/>
      <c r="N148" s="5"/>
      <c r="O148" s="14"/>
    </row>
    <row r="149">
      <c r="A149" s="5"/>
      <c r="B149" s="889" t="s">
        <v>551</v>
      </c>
      <c r="C149" s="890">
        <v>47.0</v>
      </c>
      <c r="D149" s="886" t="s">
        <v>69</v>
      </c>
      <c r="E149" s="5"/>
      <c r="F149" s="889" t="s">
        <v>1051</v>
      </c>
      <c r="G149" s="874">
        <v>0.0</v>
      </c>
      <c r="H149" s="912" t="s">
        <v>31</v>
      </c>
      <c r="I149" s="5"/>
      <c r="J149" s="14"/>
      <c r="K149" s="5"/>
      <c r="L149" s="5"/>
      <c r="M149" s="5"/>
      <c r="N149" s="5"/>
      <c r="O149" s="14"/>
    </row>
    <row r="150">
      <c r="A150" s="5"/>
      <c r="B150" s="889" t="s">
        <v>833</v>
      </c>
      <c r="C150" s="890">
        <v>47.0</v>
      </c>
      <c r="D150" s="886" t="s">
        <v>73</v>
      </c>
      <c r="E150" s="5"/>
      <c r="F150" s="889" t="s">
        <v>1034</v>
      </c>
      <c r="G150" s="874">
        <v>0.0</v>
      </c>
      <c r="H150" s="912" t="s">
        <v>31</v>
      </c>
      <c r="I150" s="5"/>
      <c r="J150" s="14"/>
      <c r="K150" s="5"/>
      <c r="L150" s="5"/>
      <c r="M150" s="5"/>
      <c r="N150" s="5"/>
      <c r="O150" s="14"/>
    </row>
    <row r="151">
      <c r="A151" s="5"/>
      <c r="B151" s="889" t="s">
        <v>288</v>
      </c>
      <c r="C151" s="890">
        <v>47.0</v>
      </c>
      <c r="D151" s="886" t="s">
        <v>63</v>
      </c>
      <c r="E151" s="5"/>
      <c r="F151" s="889" t="s">
        <v>1034</v>
      </c>
      <c r="G151" s="874">
        <v>0.0</v>
      </c>
      <c r="H151" s="912" t="s">
        <v>31</v>
      </c>
      <c r="I151" s="5"/>
      <c r="J151" s="14"/>
      <c r="K151" s="5"/>
      <c r="L151" s="5"/>
      <c r="M151" s="5"/>
      <c r="N151" s="5"/>
      <c r="O151" s="14"/>
    </row>
    <row r="152">
      <c r="A152" s="5"/>
      <c r="B152" s="889" t="s">
        <v>182</v>
      </c>
      <c r="C152" s="890">
        <v>47.0</v>
      </c>
      <c r="D152" s="886" t="s">
        <v>60</v>
      </c>
      <c r="E152" s="5"/>
      <c r="F152" s="889" t="s">
        <v>456</v>
      </c>
      <c r="G152" s="874">
        <v>0.0</v>
      </c>
      <c r="H152" s="886" t="s">
        <v>68</v>
      </c>
      <c r="I152" s="5"/>
      <c r="J152" s="14"/>
      <c r="K152" s="5"/>
      <c r="L152" s="5"/>
      <c r="M152" s="5"/>
      <c r="N152" s="5"/>
      <c r="O152" s="14"/>
    </row>
    <row r="153">
      <c r="A153" s="5"/>
      <c r="B153" s="889" t="s">
        <v>651</v>
      </c>
      <c r="C153" s="890">
        <v>48.0</v>
      </c>
      <c r="D153" s="886" t="s">
        <v>70</v>
      </c>
      <c r="E153" s="5"/>
      <c r="F153" s="889" t="s">
        <v>456</v>
      </c>
      <c r="G153" s="874">
        <v>0.0</v>
      </c>
      <c r="H153" s="886" t="s">
        <v>68</v>
      </c>
      <c r="I153" s="5"/>
      <c r="J153" s="14"/>
      <c r="K153" s="5"/>
      <c r="L153" s="5"/>
      <c r="M153" s="5"/>
      <c r="N153" s="5"/>
      <c r="O153" s="14"/>
    </row>
    <row r="154">
      <c r="A154" s="5"/>
      <c r="B154" s="889" t="s">
        <v>908</v>
      </c>
      <c r="C154" s="890">
        <v>48.0</v>
      </c>
      <c r="D154" s="886" t="s">
        <v>75</v>
      </c>
      <c r="E154" s="5"/>
      <c r="F154" s="889" t="s">
        <v>469</v>
      </c>
      <c r="G154" s="874">
        <v>0.0</v>
      </c>
      <c r="H154" s="886" t="s">
        <v>68</v>
      </c>
      <c r="I154" s="5"/>
      <c r="J154" s="14"/>
      <c r="K154" s="5"/>
      <c r="L154" s="5"/>
      <c r="M154" s="5"/>
      <c r="N154" s="5"/>
      <c r="O154" s="14"/>
    </row>
    <row r="155">
      <c r="A155" s="5"/>
      <c r="B155" s="889" t="s">
        <v>473</v>
      </c>
      <c r="C155" s="890">
        <v>48.0</v>
      </c>
      <c r="D155" s="886" t="s">
        <v>68</v>
      </c>
      <c r="E155" s="5"/>
      <c r="F155" s="889" t="s">
        <v>469</v>
      </c>
      <c r="G155" s="874">
        <v>0.0</v>
      </c>
      <c r="H155" s="886" t="s">
        <v>68</v>
      </c>
      <c r="I155" s="5"/>
      <c r="J155" s="14"/>
      <c r="K155" s="5"/>
      <c r="L155" s="5"/>
      <c r="M155" s="5"/>
      <c r="N155" s="5"/>
      <c r="O155" s="14"/>
    </row>
    <row r="156">
      <c r="A156" s="5"/>
      <c r="B156" s="889" t="s">
        <v>741</v>
      </c>
      <c r="C156" s="890">
        <v>48.0</v>
      </c>
      <c r="D156" s="886" t="s">
        <v>72</v>
      </c>
      <c r="E156" s="5"/>
      <c r="F156" s="889" t="s">
        <v>458</v>
      </c>
      <c r="G156" s="874">
        <v>0.0</v>
      </c>
      <c r="H156" s="886" t="s">
        <v>68</v>
      </c>
      <c r="I156" s="5"/>
      <c r="J156" s="14"/>
      <c r="K156" s="5"/>
      <c r="L156" s="5"/>
      <c r="M156" s="5"/>
      <c r="N156" s="5"/>
      <c r="O156" s="14"/>
    </row>
    <row r="157">
      <c r="A157" s="5"/>
      <c r="B157" s="889" t="s">
        <v>380</v>
      </c>
      <c r="C157" s="890">
        <v>48.0</v>
      </c>
      <c r="D157" s="886" t="s">
        <v>65</v>
      </c>
      <c r="E157" s="5"/>
      <c r="F157" s="889" t="s">
        <v>458</v>
      </c>
      <c r="G157" s="874">
        <v>0.0</v>
      </c>
      <c r="H157" s="886" t="s">
        <v>68</v>
      </c>
      <c r="I157" s="5"/>
      <c r="J157" s="14"/>
      <c r="K157" s="5"/>
      <c r="L157" s="5"/>
      <c r="M157" s="5"/>
      <c r="N157" s="5"/>
      <c r="O157" s="14"/>
    </row>
    <row r="158">
      <c r="A158" s="5"/>
      <c r="B158" s="889" t="s">
        <v>551</v>
      </c>
      <c r="C158" s="890">
        <v>48.0</v>
      </c>
      <c r="D158" s="886" t="s">
        <v>69</v>
      </c>
      <c r="E158" s="5"/>
      <c r="F158" s="889" t="s">
        <v>463</v>
      </c>
      <c r="G158" s="874">
        <v>0.0</v>
      </c>
      <c r="H158" s="886" t="s">
        <v>68</v>
      </c>
      <c r="I158" s="5"/>
      <c r="J158" s="14"/>
      <c r="K158" s="5"/>
      <c r="L158" s="5"/>
      <c r="M158" s="5"/>
      <c r="N158" s="5"/>
      <c r="O158" s="14"/>
    </row>
    <row r="159">
      <c r="A159" s="5"/>
      <c r="B159" s="889" t="s">
        <v>833</v>
      </c>
      <c r="C159" s="890">
        <v>48.0</v>
      </c>
      <c r="D159" s="886" t="s">
        <v>73</v>
      </c>
      <c r="E159" s="5"/>
      <c r="F159" s="889" t="s">
        <v>463</v>
      </c>
      <c r="G159" s="874">
        <v>0.0</v>
      </c>
      <c r="H159" s="886" t="s">
        <v>68</v>
      </c>
      <c r="I159" s="5"/>
      <c r="J159" s="14"/>
      <c r="K159" s="5"/>
      <c r="L159" s="5"/>
      <c r="M159" s="5"/>
      <c r="N159" s="5"/>
      <c r="O159" s="14"/>
    </row>
    <row r="160">
      <c r="A160" s="5"/>
      <c r="B160" s="889" t="s">
        <v>288</v>
      </c>
      <c r="C160" s="890">
        <v>48.0</v>
      </c>
      <c r="D160" s="886" t="s">
        <v>63</v>
      </c>
      <c r="E160" s="5"/>
      <c r="F160" s="889" t="s">
        <v>462</v>
      </c>
      <c r="G160" s="874">
        <v>0.0</v>
      </c>
      <c r="H160" s="886" t="s">
        <v>68</v>
      </c>
      <c r="I160" s="5"/>
      <c r="J160" s="14"/>
      <c r="K160" s="5"/>
      <c r="L160" s="5"/>
      <c r="M160" s="5"/>
      <c r="N160" s="5"/>
      <c r="O160" s="14"/>
    </row>
    <row r="161">
      <c r="A161" s="5"/>
      <c r="B161" s="889" t="s">
        <v>182</v>
      </c>
      <c r="C161" s="890">
        <v>48.0</v>
      </c>
      <c r="D161" s="886" t="s">
        <v>60</v>
      </c>
      <c r="E161" s="5"/>
      <c r="F161" s="889" t="s">
        <v>462</v>
      </c>
      <c r="G161" s="874">
        <v>0.0</v>
      </c>
      <c r="H161" s="886" t="s">
        <v>68</v>
      </c>
      <c r="I161" s="5"/>
      <c r="J161" s="14"/>
      <c r="K161" s="5"/>
      <c r="L161" s="5"/>
      <c r="M161" s="5"/>
      <c r="N161" s="5"/>
      <c r="O161" s="14"/>
    </row>
    <row r="162">
      <c r="A162" s="5"/>
      <c r="B162" s="889" t="s">
        <v>465</v>
      </c>
      <c r="C162" s="890">
        <v>49.0</v>
      </c>
      <c r="D162" s="886" t="s">
        <v>68</v>
      </c>
      <c r="E162" s="5"/>
      <c r="F162" s="889" t="s">
        <v>471</v>
      </c>
      <c r="G162" s="874">
        <v>2.0</v>
      </c>
      <c r="H162" s="886" t="s">
        <v>68</v>
      </c>
      <c r="I162" s="5"/>
      <c r="J162" s="14"/>
      <c r="K162" s="5"/>
      <c r="L162" s="5"/>
      <c r="M162" s="5"/>
      <c r="N162" s="5"/>
      <c r="O162" s="14"/>
    </row>
    <row r="163">
      <c r="A163" s="5"/>
      <c r="B163" s="889" t="s">
        <v>914</v>
      </c>
      <c r="C163" s="890">
        <v>49.0</v>
      </c>
      <c r="D163" s="886" t="s">
        <v>75</v>
      </c>
      <c r="E163" s="5"/>
      <c r="F163" s="889" t="s">
        <v>471</v>
      </c>
      <c r="G163" s="874">
        <v>2.0</v>
      </c>
      <c r="H163" s="886" t="s">
        <v>68</v>
      </c>
      <c r="I163" s="5"/>
      <c r="J163" s="14"/>
      <c r="K163" s="5"/>
      <c r="L163" s="5"/>
      <c r="M163" s="5"/>
      <c r="N163" s="5"/>
      <c r="O163" s="14"/>
    </row>
    <row r="164">
      <c r="A164" s="5"/>
      <c r="B164" s="889" t="s">
        <v>747</v>
      </c>
      <c r="C164" s="890">
        <v>49.0</v>
      </c>
      <c r="D164" s="886" t="s">
        <v>72</v>
      </c>
      <c r="E164" s="5"/>
      <c r="F164" s="889" t="s">
        <v>467</v>
      </c>
      <c r="G164" s="874">
        <v>4.0</v>
      </c>
      <c r="H164" s="886" t="s">
        <v>68</v>
      </c>
      <c r="I164" s="5"/>
      <c r="J164" s="14"/>
      <c r="K164" s="5"/>
      <c r="L164" s="5"/>
      <c r="M164" s="5"/>
      <c r="N164" s="5"/>
      <c r="O164" s="14"/>
    </row>
    <row r="165">
      <c r="A165" s="5"/>
      <c r="B165" s="889" t="s">
        <v>835</v>
      </c>
      <c r="C165" s="890">
        <v>49.0</v>
      </c>
      <c r="D165" s="886" t="s">
        <v>73</v>
      </c>
      <c r="E165" s="5"/>
      <c r="F165" s="889" t="s">
        <v>467</v>
      </c>
      <c r="G165" s="874">
        <v>4.0</v>
      </c>
      <c r="H165" s="886" t="s">
        <v>68</v>
      </c>
      <c r="I165" s="5"/>
      <c r="J165" s="14"/>
      <c r="K165" s="5"/>
      <c r="L165" s="5"/>
      <c r="M165" s="5"/>
      <c r="N165" s="5"/>
      <c r="O165" s="14"/>
    </row>
    <row r="166">
      <c r="A166" s="5"/>
      <c r="B166" s="889" t="s">
        <v>187</v>
      </c>
      <c r="C166" s="890">
        <v>49.0</v>
      </c>
      <c r="D166" s="886" t="s">
        <v>60</v>
      </c>
      <c r="E166" s="5"/>
      <c r="F166" s="889" t="s">
        <v>460</v>
      </c>
      <c r="G166" s="874">
        <v>6.0</v>
      </c>
      <c r="H166" s="886" t="s">
        <v>68</v>
      </c>
      <c r="I166" s="5"/>
      <c r="J166" s="14"/>
      <c r="K166" s="5"/>
      <c r="L166" s="5"/>
      <c r="M166" s="5"/>
      <c r="N166" s="5"/>
      <c r="O166" s="14"/>
    </row>
    <row r="167">
      <c r="A167" s="5"/>
      <c r="B167" s="889" t="s">
        <v>282</v>
      </c>
      <c r="C167" s="890">
        <v>49.0</v>
      </c>
      <c r="D167" s="886" t="s">
        <v>63</v>
      </c>
      <c r="E167" s="5"/>
      <c r="F167" s="889" t="s">
        <v>460</v>
      </c>
      <c r="G167" s="874">
        <v>6.0</v>
      </c>
      <c r="H167" s="886" t="s">
        <v>68</v>
      </c>
      <c r="I167" s="5"/>
      <c r="J167" s="14"/>
      <c r="K167" s="5"/>
      <c r="L167" s="5"/>
      <c r="M167" s="5"/>
      <c r="N167" s="5"/>
      <c r="O167" s="14"/>
    </row>
    <row r="168">
      <c r="A168" s="5"/>
      <c r="B168" s="889" t="s">
        <v>563</v>
      </c>
      <c r="C168" s="890">
        <v>49.0</v>
      </c>
      <c r="D168" s="886" t="s">
        <v>69</v>
      </c>
      <c r="E168" s="5"/>
      <c r="F168" s="889" t="s">
        <v>473</v>
      </c>
      <c r="G168" s="874">
        <v>8.0</v>
      </c>
      <c r="H168" s="886" t="s">
        <v>68</v>
      </c>
      <c r="I168" s="5"/>
      <c r="J168" s="14"/>
      <c r="K168" s="5"/>
      <c r="L168" s="5"/>
      <c r="M168" s="5"/>
      <c r="N168" s="5"/>
      <c r="O168" s="14"/>
    </row>
    <row r="169">
      <c r="A169" s="5"/>
      <c r="B169" s="889" t="s">
        <v>655</v>
      </c>
      <c r="C169" s="890">
        <v>49.0</v>
      </c>
      <c r="D169" s="886" t="s">
        <v>70</v>
      </c>
      <c r="E169" s="5"/>
      <c r="F169" s="889" t="s">
        <v>473</v>
      </c>
      <c r="G169" s="874">
        <v>8.0</v>
      </c>
      <c r="H169" s="886" t="s">
        <v>68</v>
      </c>
      <c r="I169" s="5"/>
      <c r="J169" s="14"/>
      <c r="K169" s="5"/>
      <c r="L169" s="5"/>
      <c r="M169" s="5"/>
      <c r="N169" s="5"/>
      <c r="O169" s="14"/>
    </row>
    <row r="170">
      <c r="A170" s="5"/>
      <c r="B170" s="889" t="s">
        <v>382</v>
      </c>
      <c r="C170" s="890">
        <v>49.0</v>
      </c>
      <c r="D170" s="886" t="s">
        <v>65</v>
      </c>
      <c r="E170" s="5"/>
      <c r="F170" s="889" t="s">
        <v>465</v>
      </c>
      <c r="G170" s="874">
        <v>10.0</v>
      </c>
      <c r="H170" s="886" t="s">
        <v>68</v>
      </c>
      <c r="I170" s="5"/>
      <c r="J170" s="14"/>
      <c r="K170" s="5"/>
      <c r="L170" s="5"/>
      <c r="M170" s="5"/>
      <c r="N170" s="5"/>
      <c r="O170" s="14"/>
    </row>
    <row r="171">
      <c r="A171" s="5"/>
      <c r="B171" s="889" t="s">
        <v>465</v>
      </c>
      <c r="C171" s="890">
        <v>50.0</v>
      </c>
      <c r="D171" s="886" t="s">
        <v>68</v>
      </c>
      <c r="E171" s="5"/>
      <c r="F171" s="889" t="s">
        <v>465</v>
      </c>
      <c r="G171" s="874">
        <v>10.0</v>
      </c>
      <c r="H171" s="886" t="s">
        <v>68</v>
      </c>
      <c r="I171" s="5"/>
      <c r="J171" s="14"/>
      <c r="K171" s="5"/>
      <c r="L171" s="5"/>
      <c r="M171" s="5"/>
      <c r="N171" s="5"/>
      <c r="O171" s="14"/>
    </row>
    <row r="172">
      <c r="A172" s="5"/>
      <c r="B172" s="889" t="s">
        <v>914</v>
      </c>
      <c r="C172" s="890">
        <v>50.0</v>
      </c>
      <c r="D172" s="886" t="s">
        <v>75</v>
      </c>
      <c r="E172" s="5"/>
      <c r="F172" s="889" t="s">
        <v>546</v>
      </c>
      <c r="G172" s="874">
        <v>0.0</v>
      </c>
      <c r="H172" s="886" t="s">
        <v>69</v>
      </c>
      <c r="I172" s="5"/>
      <c r="J172" s="14"/>
      <c r="K172" s="5"/>
      <c r="L172" s="5"/>
      <c r="M172" s="5"/>
      <c r="N172" s="5"/>
      <c r="O172" s="14"/>
    </row>
    <row r="173">
      <c r="A173" s="5"/>
      <c r="B173" s="889" t="s">
        <v>747</v>
      </c>
      <c r="C173" s="890">
        <v>50.0</v>
      </c>
      <c r="D173" s="886" t="s">
        <v>72</v>
      </c>
      <c r="E173" s="5"/>
      <c r="F173" s="889" t="s">
        <v>546</v>
      </c>
      <c r="G173" s="874">
        <v>0.0</v>
      </c>
      <c r="H173" s="886" t="s">
        <v>69</v>
      </c>
      <c r="I173" s="5"/>
      <c r="J173" s="14"/>
      <c r="K173" s="5"/>
      <c r="L173" s="5"/>
      <c r="M173" s="5"/>
      <c r="N173" s="5"/>
      <c r="O173" s="14"/>
    </row>
    <row r="174">
      <c r="A174" s="5"/>
      <c r="B174" s="889" t="s">
        <v>835</v>
      </c>
      <c r="C174" s="890">
        <v>50.0</v>
      </c>
      <c r="D174" s="886" t="s">
        <v>73</v>
      </c>
      <c r="E174" s="5"/>
      <c r="F174" s="889" t="s">
        <v>555</v>
      </c>
      <c r="G174" s="874">
        <v>0.0</v>
      </c>
      <c r="H174" s="886" t="s">
        <v>69</v>
      </c>
      <c r="I174" s="5"/>
      <c r="J174" s="14"/>
      <c r="K174" s="5"/>
      <c r="L174" s="5"/>
      <c r="M174" s="5"/>
      <c r="N174" s="5"/>
      <c r="O174" s="14"/>
    </row>
    <row r="175">
      <c r="A175" s="5"/>
      <c r="B175" s="889" t="s">
        <v>187</v>
      </c>
      <c r="C175" s="890">
        <v>50.0</v>
      </c>
      <c r="D175" s="886" t="s">
        <v>60</v>
      </c>
      <c r="E175" s="5"/>
      <c r="F175" s="889" t="s">
        <v>555</v>
      </c>
      <c r="G175" s="874">
        <v>0.0</v>
      </c>
      <c r="H175" s="886" t="s">
        <v>69</v>
      </c>
      <c r="I175" s="5"/>
      <c r="J175" s="14"/>
      <c r="K175" s="5"/>
      <c r="L175" s="5"/>
      <c r="M175" s="5"/>
      <c r="N175" s="5"/>
      <c r="O175" s="14"/>
    </row>
    <row r="176">
      <c r="A176" s="5"/>
      <c r="B176" s="889" t="s">
        <v>282</v>
      </c>
      <c r="C176" s="890">
        <v>50.0</v>
      </c>
      <c r="D176" s="886" t="s">
        <v>63</v>
      </c>
      <c r="E176" s="5"/>
      <c r="F176" s="889" t="s">
        <v>549</v>
      </c>
      <c r="G176" s="874">
        <v>0.0</v>
      </c>
      <c r="H176" s="886" t="s">
        <v>69</v>
      </c>
      <c r="I176" s="5"/>
      <c r="J176" s="14"/>
      <c r="K176" s="5"/>
      <c r="L176" s="5"/>
      <c r="M176" s="5"/>
      <c r="N176" s="5"/>
      <c r="O176" s="14"/>
    </row>
    <row r="177">
      <c r="A177" s="5"/>
      <c r="B177" s="889" t="s">
        <v>563</v>
      </c>
      <c r="C177" s="890">
        <v>50.0</v>
      </c>
      <c r="D177" s="886" t="s">
        <v>69</v>
      </c>
      <c r="E177" s="5"/>
      <c r="F177" s="889" t="s">
        <v>549</v>
      </c>
      <c r="G177" s="874">
        <v>0.0</v>
      </c>
      <c r="H177" s="886" t="s">
        <v>69</v>
      </c>
      <c r="I177" s="5"/>
      <c r="J177" s="14"/>
      <c r="K177" s="5"/>
      <c r="L177" s="5"/>
      <c r="M177" s="5"/>
      <c r="N177" s="5"/>
      <c r="O177" s="14"/>
    </row>
    <row r="178">
      <c r="A178" s="5"/>
      <c r="B178" s="889" t="s">
        <v>655</v>
      </c>
      <c r="C178" s="890">
        <v>50.0</v>
      </c>
      <c r="D178" s="886" t="s">
        <v>70</v>
      </c>
      <c r="E178" s="5"/>
      <c r="F178" s="889" t="s">
        <v>551</v>
      </c>
      <c r="G178" s="874">
        <v>0.0</v>
      </c>
      <c r="H178" s="886" t="s">
        <v>69</v>
      </c>
      <c r="I178" s="5"/>
      <c r="J178" s="14"/>
      <c r="K178" s="5"/>
      <c r="L178" s="5"/>
      <c r="M178" s="5"/>
      <c r="N178" s="5"/>
      <c r="O178" s="14"/>
    </row>
    <row r="179">
      <c r="A179" s="5"/>
      <c r="B179" s="889" t="s">
        <v>382</v>
      </c>
      <c r="C179" s="890">
        <v>50.0</v>
      </c>
      <c r="D179" s="886" t="s">
        <v>65</v>
      </c>
      <c r="E179" s="5"/>
      <c r="F179" s="889" t="s">
        <v>551</v>
      </c>
      <c r="G179" s="874">
        <v>0.0</v>
      </c>
      <c r="H179" s="886" t="s">
        <v>69</v>
      </c>
      <c r="I179" s="5"/>
      <c r="J179" s="14"/>
      <c r="K179" s="5"/>
      <c r="L179" s="5"/>
      <c r="M179" s="5"/>
      <c r="N179" s="5"/>
      <c r="O179" s="14"/>
    </row>
    <row r="180">
      <c r="A180" s="5"/>
      <c r="B180" s="889" t="s">
        <v>924</v>
      </c>
      <c r="C180" s="890">
        <v>51.0</v>
      </c>
      <c r="D180" s="886" t="s">
        <v>75</v>
      </c>
      <c r="E180" s="5"/>
      <c r="F180" s="889" t="s">
        <v>557</v>
      </c>
      <c r="G180" s="874">
        <v>0.0</v>
      </c>
      <c r="H180" s="886" t="s">
        <v>69</v>
      </c>
      <c r="I180" s="5"/>
      <c r="J180" s="14"/>
      <c r="K180" s="5"/>
      <c r="L180" s="5"/>
      <c r="M180" s="5"/>
      <c r="N180" s="5"/>
      <c r="O180" s="14"/>
    </row>
    <row r="181">
      <c r="A181" s="5"/>
      <c r="B181" s="889" t="s">
        <v>1047</v>
      </c>
      <c r="C181" s="890">
        <v>51.0</v>
      </c>
      <c r="D181" s="886" t="s">
        <v>73</v>
      </c>
      <c r="E181" s="5"/>
      <c r="F181" s="889" t="s">
        <v>557</v>
      </c>
      <c r="G181" s="874">
        <v>0.0</v>
      </c>
      <c r="H181" s="886" t="s">
        <v>69</v>
      </c>
      <c r="I181" s="5"/>
      <c r="J181" s="14"/>
      <c r="K181" s="5"/>
      <c r="L181" s="5"/>
      <c r="M181" s="5"/>
      <c r="N181" s="5"/>
      <c r="O181" s="14"/>
    </row>
    <row r="182">
      <c r="A182" s="5"/>
      <c r="B182" s="889" t="s">
        <v>1050</v>
      </c>
      <c r="C182" s="890">
        <v>51.0</v>
      </c>
      <c r="D182" s="886" t="s">
        <v>63</v>
      </c>
      <c r="E182" s="5"/>
      <c r="F182" s="889" t="s">
        <v>553</v>
      </c>
      <c r="G182" s="874">
        <v>2.0</v>
      </c>
      <c r="H182" s="886" t="s">
        <v>69</v>
      </c>
      <c r="I182" s="5"/>
      <c r="J182" s="14"/>
      <c r="K182" s="5"/>
      <c r="L182" s="5"/>
      <c r="M182" s="5"/>
      <c r="N182" s="5"/>
      <c r="O182" s="14"/>
    </row>
    <row r="183">
      <c r="A183" s="5"/>
      <c r="B183" s="889" t="s">
        <v>384</v>
      </c>
      <c r="C183" s="890">
        <v>51.0</v>
      </c>
      <c r="D183" s="886" t="s">
        <v>65</v>
      </c>
      <c r="E183" s="5"/>
      <c r="F183" s="889" t="s">
        <v>553</v>
      </c>
      <c r="G183" s="874">
        <v>2.0</v>
      </c>
      <c r="H183" s="886" t="s">
        <v>69</v>
      </c>
      <c r="I183" s="5"/>
      <c r="J183" s="14"/>
      <c r="K183" s="5"/>
      <c r="L183" s="5"/>
      <c r="M183" s="5"/>
      <c r="N183" s="5"/>
      <c r="O183" s="14"/>
    </row>
    <row r="184">
      <c r="A184" s="5"/>
      <c r="B184" s="889" t="s">
        <v>1018</v>
      </c>
      <c r="C184" s="890">
        <v>51.0</v>
      </c>
      <c r="D184" s="886" t="s">
        <v>72</v>
      </c>
      <c r="E184" s="5"/>
      <c r="F184" s="889" t="s">
        <v>547</v>
      </c>
      <c r="G184" s="874">
        <v>4.0</v>
      </c>
      <c r="H184" s="886" t="s">
        <v>69</v>
      </c>
      <c r="I184" s="5"/>
      <c r="J184" s="14"/>
      <c r="K184" s="5"/>
      <c r="L184" s="5"/>
      <c r="M184" s="5"/>
      <c r="N184" s="5"/>
      <c r="O184" s="14"/>
    </row>
    <row r="185">
      <c r="A185" s="5"/>
      <c r="B185" s="889" t="s">
        <v>1000</v>
      </c>
      <c r="C185" s="890">
        <v>51.0</v>
      </c>
      <c r="D185" s="886" t="s">
        <v>69</v>
      </c>
      <c r="E185" s="5"/>
      <c r="F185" s="889" t="s">
        <v>547</v>
      </c>
      <c r="G185" s="874">
        <v>4.0</v>
      </c>
      <c r="H185" s="886" t="s">
        <v>69</v>
      </c>
      <c r="I185" s="5"/>
      <c r="J185" s="14"/>
      <c r="K185" s="5"/>
      <c r="L185" s="5"/>
      <c r="M185" s="5"/>
      <c r="N185" s="5"/>
      <c r="O185" s="14"/>
    </row>
    <row r="186">
      <c r="A186" s="5"/>
      <c r="B186" s="889" t="s">
        <v>1031</v>
      </c>
      <c r="C186" s="890">
        <v>51.0</v>
      </c>
      <c r="D186" s="886" t="s">
        <v>60</v>
      </c>
      <c r="E186" s="5"/>
      <c r="F186" s="889" t="s">
        <v>561</v>
      </c>
      <c r="G186" s="874">
        <v>6.0</v>
      </c>
      <c r="H186" s="886" t="s">
        <v>69</v>
      </c>
      <c r="I186" s="5"/>
      <c r="J186" s="14"/>
      <c r="K186" s="5"/>
      <c r="L186" s="5"/>
      <c r="M186" s="5"/>
      <c r="N186" s="5"/>
      <c r="O186" s="14"/>
    </row>
    <row r="187">
      <c r="A187" s="5"/>
      <c r="B187" s="889" t="s">
        <v>1044</v>
      </c>
      <c r="C187" s="890">
        <v>51.0</v>
      </c>
      <c r="D187" s="886" t="s">
        <v>68</v>
      </c>
      <c r="E187" s="5"/>
      <c r="F187" s="889" t="s">
        <v>561</v>
      </c>
      <c r="G187" s="874">
        <v>6.0</v>
      </c>
      <c r="H187" s="886" t="s">
        <v>69</v>
      </c>
      <c r="I187" s="5"/>
      <c r="J187" s="14"/>
      <c r="K187" s="5"/>
      <c r="L187" s="5"/>
      <c r="M187" s="5"/>
      <c r="N187" s="5"/>
      <c r="O187" s="14"/>
    </row>
    <row r="188">
      <c r="A188" s="5"/>
      <c r="B188" s="889" t="s">
        <v>1053</v>
      </c>
      <c r="C188" s="890">
        <v>51.0</v>
      </c>
      <c r="D188" s="886" t="s">
        <v>70</v>
      </c>
      <c r="E188" s="5"/>
      <c r="F188" s="889" t="s">
        <v>559</v>
      </c>
      <c r="G188" s="874">
        <v>8.0</v>
      </c>
      <c r="H188" s="886" t="s">
        <v>69</v>
      </c>
      <c r="I188" s="5"/>
      <c r="J188" s="14"/>
      <c r="K188" s="5"/>
      <c r="L188" s="5"/>
      <c r="M188" s="5"/>
      <c r="N188" s="5"/>
      <c r="O188" s="14"/>
    </row>
    <row r="189">
      <c r="A189" s="5"/>
      <c r="B189" s="889" t="s">
        <v>924</v>
      </c>
      <c r="C189" s="890">
        <v>52.0</v>
      </c>
      <c r="D189" s="886" t="s">
        <v>75</v>
      </c>
      <c r="E189" s="5"/>
      <c r="F189" s="889" t="s">
        <v>559</v>
      </c>
      <c r="G189" s="874">
        <v>8.0</v>
      </c>
      <c r="H189" s="886" t="s">
        <v>69</v>
      </c>
      <c r="I189" s="5"/>
      <c r="J189" s="14"/>
      <c r="K189" s="5"/>
      <c r="L189" s="5"/>
      <c r="M189" s="5"/>
      <c r="N189" s="5"/>
      <c r="O189" s="14"/>
    </row>
    <row r="190">
      <c r="A190" s="5"/>
      <c r="B190" s="889" t="s">
        <v>1047</v>
      </c>
      <c r="C190" s="890">
        <v>52.0</v>
      </c>
      <c r="D190" s="886" t="s">
        <v>73</v>
      </c>
      <c r="E190" s="5"/>
      <c r="F190" s="889" t="s">
        <v>563</v>
      </c>
      <c r="G190" s="874">
        <v>10.0</v>
      </c>
      <c r="H190" s="886" t="s">
        <v>69</v>
      </c>
      <c r="I190" s="5"/>
      <c r="J190" s="14"/>
      <c r="K190" s="5"/>
      <c r="L190" s="5"/>
      <c r="M190" s="5"/>
      <c r="N190" s="5"/>
      <c r="O190" s="14"/>
    </row>
    <row r="191">
      <c r="A191" s="5"/>
      <c r="B191" s="889" t="s">
        <v>1050</v>
      </c>
      <c r="C191" s="890">
        <v>52.0</v>
      </c>
      <c r="D191" s="886" t="s">
        <v>63</v>
      </c>
      <c r="E191" s="5"/>
      <c r="F191" s="889" t="s">
        <v>563</v>
      </c>
      <c r="G191" s="874">
        <v>10.0</v>
      </c>
      <c r="H191" s="886" t="s">
        <v>69</v>
      </c>
      <c r="I191" s="5"/>
      <c r="J191" s="14"/>
      <c r="K191" s="5"/>
      <c r="L191" s="5"/>
      <c r="M191" s="5"/>
      <c r="N191" s="5"/>
      <c r="O191" s="14"/>
    </row>
    <row r="192">
      <c r="A192" s="5"/>
      <c r="B192" s="889" t="s">
        <v>384</v>
      </c>
      <c r="C192" s="890">
        <v>52.0</v>
      </c>
      <c r="D192" s="886" t="s">
        <v>65</v>
      </c>
      <c r="E192" s="5"/>
      <c r="F192" s="889" t="s">
        <v>651</v>
      </c>
      <c r="G192" s="874">
        <v>0.0</v>
      </c>
      <c r="H192" s="886" t="s">
        <v>70</v>
      </c>
      <c r="I192" s="5"/>
      <c r="J192" s="14"/>
      <c r="K192" s="5"/>
      <c r="L192" s="5"/>
      <c r="M192" s="5"/>
      <c r="N192" s="5"/>
      <c r="O192" s="14"/>
    </row>
    <row r="193">
      <c r="A193" s="5"/>
      <c r="B193" s="889" t="s">
        <v>1018</v>
      </c>
      <c r="C193" s="890">
        <v>52.0</v>
      </c>
      <c r="D193" s="886" t="s">
        <v>72</v>
      </c>
      <c r="E193" s="5"/>
      <c r="F193" s="889" t="s">
        <v>651</v>
      </c>
      <c r="G193" s="874">
        <v>0.0</v>
      </c>
      <c r="H193" s="886" t="s">
        <v>70</v>
      </c>
      <c r="I193" s="5"/>
      <c r="J193" s="14"/>
      <c r="K193" s="5"/>
      <c r="L193" s="5"/>
      <c r="M193" s="5"/>
      <c r="N193" s="5"/>
      <c r="O193" s="14"/>
    </row>
    <row r="194">
      <c r="A194" s="5"/>
      <c r="B194" s="889" t="s">
        <v>1000</v>
      </c>
      <c r="C194" s="890">
        <v>52.0</v>
      </c>
      <c r="D194" s="886" t="s">
        <v>69</v>
      </c>
      <c r="E194" s="5"/>
      <c r="F194" s="889" t="s">
        <v>636</v>
      </c>
      <c r="G194" s="874">
        <v>0.0</v>
      </c>
      <c r="H194" s="886" t="s">
        <v>70</v>
      </c>
      <c r="I194" s="5"/>
      <c r="J194" s="14"/>
      <c r="K194" s="5"/>
      <c r="L194" s="5"/>
      <c r="M194" s="5"/>
      <c r="N194" s="5"/>
      <c r="O194" s="14"/>
    </row>
    <row r="195">
      <c r="A195" s="5"/>
      <c r="B195" s="889" t="s">
        <v>1031</v>
      </c>
      <c r="C195" s="890">
        <v>52.0</v>
      </c>
      <c r="D195" s="886" t="s">
        <v>60</v>
      </c>
      <c r="E195" s="5"/>
      <c r="F195" s="889" t="s">
        <v>636</v>
      </c>
      <c r="G195" s="874">
        <v>0.0</v>
      </c>
      <c r="H195" s="886" t="s">
        <v>70</v>
      </c>
      <c r="I195" s="5"/>
      <c r="J195" s="14"/>
      <c r="K195" s="5"/>
      <c r="L195" s="5"/>
      <c r="M195" s="5"/>
      <c r="N195" s="5"/>
      <c r="O195" s="14"/>
    </row>
    <row r="196">
      <c r="A196" s="5"/>
      <c r="B196" s="889" t="s">
        <v>1044</v>
      </c>
      <c r="C196" s="890">
        <v>52.0</v>
      </c>
      <c r="D196" s="886" t="s">
        <v>68</v>
      </c>
      <c r="E196" s="5"/>
      <c r="F196" s="889" t="s">
        <v>638</v>
      </c>
      <c r="G196" s="874">
        <v>0.0</v>
      </c>
      <c r="H196" s="886" t="s">
        <v>70</v>
      </c>
      <c r="I196" s="5"/>
      <c r="J196" s="14"/>
      <c r="K196" s="5"/>
      <c r="L196" s="5"/>
      <c r="M196" s="5"/>
      <c r="N196" s="5"/>
      <c r="O196" s="14"/>
    </row>
    <row r="197">
      <c r="A197" s="5"/>
      <c r="B197" s="889" t="s">
        <v>1053</v>
      </c>
      <c r="C197" s="890">
        <v>52.0</v>
      </c>
      <c r="D197" s="886" t="s">
        <v>70</v>
      </c>
      <c r="E197" s="5"/>
      <c r="F197" s="889" t="s">
        <v>638</v>
      </c>
      <c r="G197" s="874">
        <v>0.0</v>
      </c>
      <c r="H197" s="886" t="s">
        <v>70</v>
      </c>
      <c r="I197" s="5"/>
      <c r="J197" s="14"/>
      <c r="K197" s="5"/>
      <c r="L197" s="5"/>
      <c r="M197" s="5"/>
      <c r="N197" s="5"/>
      <c r="O197" s="14"/>
    </row>
    <row r="198">
      <c r="A198" s="5"/>
      <c r="B198" s="889" t="s">
        <v>1007</v>
      </c>
      <c r="C198" s="890">
        <v>53.0</v>
      </c>
      <c r="D198" s="886" t="s">
        <v>68</v>
      </c>
      <c r="E198" s="5"/>
      <c r="F198" s="889" t="s">
        <v>644</v>
      </c>
      <c r="G198" s="874">
        <v>0.0</v>
      </c>
      <c r="H198" s="886" t="s">
        <v>70</v>
      </c>
      <c r="I198" s="5"/>
      <c r="J198" s="14"/>
      <c r="K198" s="5"/>
      <c r="L198" s="5"/>
      <c r="M198" s="5"/>
      <c r="N198" s="5"/>
      <c r="O198" s="14"/>
    </row>
    <row r="199">
      <c r="A199" s="5"/>
      <c r="B199" s="889" t="s">
        <v>1028</v>
      </c>
      <c r="C199" s="890">
        <v>53.0</v>
      </c>
      <c r="D199" s="886" t="s">
        <v>65</v>
      </c>
      <c r="E199" s="5"/>
      <c r="F199" s="889" t="s">
        <v>644</v>
      </c>
      <c r="G199" s="874">
        <v>0.0</v>
      </c>
      <c r="H199" s="886" t="s">
        <v>70</v>
      </c>
      <c r="I199" s="5"/>
      <c r="J199" s="14"/>
      <c r="K199" s="5"/>
      <c r="L199" s="5"/>
      <c r="M199" s="5"/>
      <c r="N199" s="5"/>
      <c r="O199" s="14"/>
    </row>
    <row r="200">
      <c r="A200" s="5"/>
      <c r="B200" s="889" t="s">
        <v>1038</v>
      </c>
      <c r="C200" s="890">
        <v>53.0</v>
      </c>
      <c r="D200" s="886" t="s">
        <v>72</v>
      </c>
      <c r="E200" s="5"/>
      <c r="F200" s="889" t="s">
        <v>641</v>
      </c>
      <c r="G200" s="874">
        <v>0.0</v>
      </c>
      <c r="H200" s="886" t="s">
        <v>70</v>
      </c>
      <c r="I200" s="5"/>
      <c r="J200" s="14"/>
      <c r="K200" s="5"/>
      <c r="L200" s="5"/>
      <c r="M200" s="5"/>
      <c r="N200" s="5"/>
      <c r="O200" s="14"/>
    </row>
    <row r="201">
      <c r="A201" s="5"/>
      <c r="B201" s="889" t="s">
        <v>998</v>
      </c>
      <c r="C201" s="890">
        <v>53.0</v>
      </c>
      <c r="D201" s="886" t="s">
        <v>73</v>
      </c>
      <c r="E201" s="5"/>
      <c r="F201" s="889" t="s">
        <v>641</v>
      </c>
      <c r="G201" s="874">
        <v>0.0</v>
      </c>
      <c r="H201" s="886" t="s">
        <v>70</v>
      </c>
      <c r="I201" s="5"/>
      <c r="J201" s="14"/>
      <c r="K201" s="5"/>
      <c r="L201" s="5"/>
      <c r="M201" s="5"/>
      <c r="N201" s="5"/>
      <c r="O201" s="14"/>
    </row>
    <row r="202">
      <c r="A202" s="5"/>
      <c r="B202" s="889" t="s">
        <v>1010</v>
      </c>
      <c r="C202" s="890">
        <v>53.0</v>
      </c>
      <c r="D202" s="886" t="s">
        <v>70</v>
      </c>
      <c r="E202" s="5"/>
      <c r="F202" s="889" t="s">
        <v>650</v>
      </c>
      <c r="G202" s="874">
        <v>2.0</v>
      </c>
      <c r="H202" s="886" t="s">
        <v>70</v>
      </c>
      <c r="I202" s="5"/>
      <c r="J202" s="14"/>
      <c r="K202" s="5"/>
      <c r="L202" s="5"/>
      <c r="M202" s="5"/>
      <c r="N202" s="5"/>
      <c r="O202" s="14"/>
    </row>
    <row r="203">
      <c r="A203" s="5"/>
      <c r="B203" s="889" t="s">
        <v>1042</v>
      </c>
      <c r="C203" s="890">
        <v>53.0</v>
      </c>
      <c r="D203" s="886" t="s">
        <v>60</v>
      </c>
      <c r="E203" s="5"/>
      <c r="F203" s="889" t="s">
        <v>650</v>
      </c>
      <c r="G203" s="874">
        <v>2.0</v>
      </c>
      <c r="H203" s="886" t="s">
        <v>70</v>
      </c>
      <c r="I203" s="5"/>
      <c r="J203" s="14"/>
      <c r="K203" s="5"/>
      <c r="L203" s="5"/>
      <c r="M203" s="5"/>
      <c r="N203" s="5"/>
      <c r="O203" s="14"/>
    </row>
    <row r="204">
      <c r="A204" s="5"/>
      <c r="B204" s="889" t="s">
        <v>1023</v>
      </c>
      <c r="C204" s="890">
        <v>53.0</v>
      </c>
      <c r="D204" s="886" t="s">
        <v>69</v>
      </c>
      <c r="E204" s="5"/>
      <c r="F204" s="889" t="s">
        <v>648</v>
      </c>
      <c r="G204" s="874">
        <v>4.0</v>
      </c>
      <c r="H204" s="886" t="s">
        <v>70</v>
      </c>
      <c r="I204" s="5"/>
      <c r="J204" s="14"/>
      <c r="K204" s="5"/>
      <c r="L204" s="5"/>
      <c r="M204" s="5"/>
      <c r="N204" s="5"/>
      <c r="O204" s="14"/>
    </row>
    <row r="205">
      <c r="A205" s="5"/>
      <c r="B205" s="889" t="s">
        <v>1025</v>
      </c>
      <c r="C205" s="890">
        <v>53.0</v>
      </c>
      <c r="D205" s="886" t="s">
        <v>75</v>
      </c>
      <c r="E205" s="5"/>
      <c r="F205" s="889" t="s">
        <v>648</v>
      </c>
      <c r="G205" s="874">
        <v>4.0</v>
      </c>
      <c r="H205" s="886" t="s">
        <v>70</v>
      </c>
      <c r="I205" s="5"/>
      <c r="J205" s="14"/>
      <c r="K205" s="5"/>
      <c r="L205" s="5"/>
      <c r="M205" s="5"/>
      <c r="N205" s="5"/>
      <c r="O205" s="14"/>
    </row>
    <row r="206">
      <c r="A206" s="5"/>
      <c r="B206" s="889" t="s">
        <v>1001</v>
      </c>
      <c r="C206" s="890">
        <v>53.0</v>
      </c>
      <c r="D206" s="886" t="s">
        <v>63</v>
      </c>
      <c r="E206" s="5"/>
      <c r="F206" s="889" t="s">
        <v>646</v>
      </c>
      <c r="G206" s="874">
        <v>6.0</v>
      </c>
      <c r="H206" s="886" t="s">
        <v>70</v>
      </c>
      <c r="I206" s="5"/>
      <c r="J206" s="14"/>
      <c r="K206" s="5"/>
      <c r="L206" s="5"/>
      <c r="M206" s="5"/>
      <c r="N206" s="5"/>
      <c r="O206" s="14"/>
    </row>
    <row r="207">
      <c r="A207" s="5"/>
      <c r="B207" s="889" t="s">
        <v>1007</v>
      </c>
      <c r="C207" s="890">
        <v>54.0</v>
      </c>
      <c r="D207" s="886" t="s">
        <v>68</v>
      </c>
      <c r="E207" s="5"/>
      <c r="F207" s="889" t="s">
        <v>646</v>
      </c>
      <c r="G207" s="874">
        <v>6.0</v>
      </c>
      <c r="H207" s="886" t="s">
        <v>70</v>
      </c>
      <c r="I207" s="5"/>
      <c r="J207" s="14"/>
      <c r="K207" s="5"/>
      <c r="L207" s="5"/>
      <c r="M207" s="5"/>
      <c r="N207" s="5"/>
      <c r="O207" s="14"/>
    </row>
    <row r="208">
      <c r="A208" s="5"/>
      <c r="B208" s="889" t="s">
        <v>1028</v>
      </c>
      <c r="C208" s="890">
        <v>54.0</v>
      </c>
      <c r="D208" s="886" t="s">
        <v>65</v>
      </c>
      <c r="E208" s="5"/>
      <c r="F208" s="889" t="s">
        <v>653</v>
      </c>
      <c r="G208" s="874">
        <v>8.0</v>
      </c>
      <c r="H208" s="886" t="s">
        <v>70</v>
      </c>
      <c r="I208" s="5"/>
      <c r="J208" s="14"/>
      <c r="K208" s="5"/>
      <c r="L208" s="5"/>
      <c r="M208" s="5"/>
      <c r="N208" s="5"/>
      <c r="O208" s="14"/>
    </row>
    <row r="209">
      <c r="A209" s="5"/>
      <c r="B209" s="889" t="s">
        <v>1038</v>
      </c>
      <c r="C209" s="890">
        <v>54.0</v>
      </c>
      <c r="D209" s="886" t="s">
        <v>72</v>
      </c>
      <c r="E209" s="5"/>
      <c r="F209" s="889" t="s">
        <v>653</v>
      </c>
      <c r="G209" s="874">
        <v>8.0</v>
      </c>
      <c r="H209" s="886" t="s">
        <v>70</v>
      </c>
      <c r="I209" s="5"/>
      <c r="J209" s="14"/>
      <c r="K209" s="5"/>
      <c r="L209" s="5"/>
      <c r="M209" s="5"/>
      <c r="N209" s="5"/>
      <c r="O209" s="14"/>
    </row>
    <row r="210">
      <c r="A210" s="5"/>
      <c r="B210" s="889" t="s">
        <v>998</v>
      </c>
      <c r="C210" s="890">
        <v>54.0</v>
      </c>
      <c r="D210" s="886" t="s">
        <v>73</v>
      </c>
      <c r="E210" s="5"/>
      <c r="F210" s="889" t="s">
        <v>655</v>
      </c>
      <c r="G210" s="874">
        <v>10.0</v>
      </c>
      <c r="H210" s="886" t="s">
        <v>70</v>
      </c>
      <c r="I210" s="5"/>
      <c r="J210" s="14"/>
      <c r="K210" s="5"/>
      <c r="L210" s="5"/>
      <c r="M210" s="5"/>
      <c r="N210" s="5"/>
      <c r="O210" s="14"/>
    </row>
    <row r="211">
      <c r="A211" s="5"/>
      <c r="B211" s="889" t="s">
        <v>1010</v>
      </c>
      <c r="C211" s="890">
        <v>54.0</v>
      </c>
      <c r="D211" s="886" t="s">
        <v>70</v>
      </c>
      <c r="E211" s="5"/>
      <c r="F211" s="889" t="s">
        <v>655</v>
      </c>
      <c r="G211" s="874">
        <v>10.0</v>
      </c>
      <c r="H211" s="886" t="s">
        <v>70</v>
      </c>
      <c r="I211" s="5"/>
      <c r="J211" s="14"/>
      <c r="K211" s="5"/>
      <c r="L211" s="5"/>
      <c r="M211" s="5"/>
      <c r="N211" s="5"/>
      <c r="O211" s="14"/>
    </row>
    <row r="212">
      <c r="A212" s="5"/>
      <c r="B212" s="889" t="s">
        <v>1042</v>
      </c>
      <c r="C212" s="890">
        <v>54.0</v>
      </c>
      <c r="D212" s="886" t="s">
        <v>60</v>
      </c>
      <c r="E212" s="5"/>
      <c r="F212" s="889" t="s">
        <v>728</v>
      </c>
      <c r="G212" s="874">
        <v>0.0</v>
      </c>
      <c r="H212" s="886" t="s">
        <v>72</v>
      </c>
      <c r="I212" s="5"/>
      <c r="J212" s="14"/>
      <c r="K212" s="5"/>
      <c r="L212" s="5"/>
      <c r="M212" s="5"/>
      <c r="N212" s="5"/>
      <c r="O212" s="14"/>
    </row>
    <row r="213">
      <c r="A213" s="5"/>
      <c r="B213" s="889" t="s">
        <v>1023</v>
      </c>
      <c r="C213" s="890">
        <v>54.0</v>
      </c>
      <c r="D213" s="886" t="s">
        <v>69</v>
      </c>
      <c r="E213" s="5"/>
      <c r="F213" s="889" t="s">
        <v>728</v>
      </c>
      <c r="G213" s="874">
        <v>0.0</v>
      </c>
      <c r="H213" s="886" t="s">
        <v>72</v>
      </c>
      <c r="I213" s="5"/>
      <c r="J213" s="14"/>
      <c r="K213" s="5"/>
      <c r="L213" s="5"/>
      <c r="M213" s="5"/>
      <c r="N213" s="5"/>
      <c r="O213" s="14"/>
    </row>
    <row r="214">
      <c r="A214" s="5"/>
      <c r="B214" s="889" t="s">
        <v>1025</v>
      </c>
      <c r="C214" s="890">
        <v>54.0</v>
      </c>
      <c r="D214" s="886" t="s">
        <v>75</v>
      </c>
      <c r="E214" s="5"/>
      <c r="F214" s="889" t="s">
        <v>732</v>
      </c>
      <c r="G214" s="874">
        <v>0.0</v>
      </c>
      <c r="H214" s="886" t="s">
        <v>72</v>
      </c>
      <c r="I214" s="5"/>
      <c r="J214" s="14"/>
      <c r="K214" s="5"/>
      <c r="L214" s="5"/>
      <c r="M214" s="5"/>
      <c r="N214" s="5"/>
      <c r="O214" s="14"/>
    </row>
    <row r="215">
      <c r="A215" s="5"/>
      <c r="B215" s="889" t="s">
        <v>1001</v>
      </c>
      <c r="C215" s="890">
        <v>54.0</v>
      </c>
      <c r="D215" s="886" t="s">
        <v>63</v>
      </c>
      <c r="E215" s="5"/>
      <c r="F215" s="889" t="s">
        <v>732</v>
      </c>
      <c r="G215" s="874">
        <v>0.0</v>
      </c>
      <c r="H215" s="886" t="s">
        <v>72</v>
      </c>
      <c r="I215" s="5"/>
      <c r="J215" s="14"/>
      <c r="K215" s="5"/>
      <c r="L215" s="5"/>
      <c r="M215" s="5"/>
      <c r="N215" s="5"/>
      <c r="O215" s="14"/>
    </row>
    <row r="216">
      <c r="A216" s="5"/>
      <c r="B216" s="889" t="s">
        <v>1035</v>
      </c>
      <c r="C216" s="890">
        <v>55.0</v>
      </c>
      <c r="D216" s="886" t="s">
        <v>72</v>
      </c>
      <c r="E216" s="5"/>
      <c r="F216" s="889" t="s">
        <v>741</v>
      </c>
      <c r="G216" s="874">
        <v>0.0</v>
      </c>
      <c r="H216" s="886" t="s">
        <v>72</v>
      </c>
      <c r="I216" s="5"/>
      <c r="J216" s="14"/>
      <c r="K216" s="5"/>
      <c r="L216" s="5"/>
      <c r="M216" s="5"/>
      <c r="N216" s="5"/>
      <c r="O216" s="14"/>
    </row>
    <row r="217">
      <c r="A217" s="5"/>
      <c r="B217" s="889" t="s">
        <v>1027</v>
      </c>
      <c r="C217" s="890">
        <v>55.0</v>
      </c>
      <c r="D217" s="886" t="s">
        <v>75</v>
      </c>
      <c r="E217" s="5"/>
      <c r="F217" s="889" t="s">
        <v>741</v>
      </c>
      <c r="G217" s="874">
        <v>0.0</v>
      </c>
      <c r="H217" s="886" t="s">
        <v>72</v>
      </c>
      <c r="I217" s="5"/>
      <c r="J217" s="14"/>
      <c r="K217" s="5"/>
      <c r="L217" s="5"/>
      <c r="M217" s="5"/>
      <c r="N217" s="5"/>
      <c r="O217" s="14"/>
    </row>
    <row r="218">
      <c r="A218" s="5"/>
      <c r="B218" s="889" t="s">
        <v>1036</v>
      </c>
      <c r="C218" s="890">
        <v>55.0</v>
      </c>
      <c r="D218" s="886" t="s">
        <v>69</v>
      </c>
      <c r="E218" s="5"/>
      <c r="F218" s="889" t="s">
        <v>734</v>
      </c>
      <c r="G218" s="874">
        <v>0.0</v>
      </c>
      <c r="H218" s="886" t="s">
        <v>72</v>
      </c>
      <c r="I218" s="5"/>
      <c r="J218" s="14"/>
      <c r="K218" s="5"/>
      <c r="L218" s="5"/>
      <c r="M218" s="5"/>
      <c r="N218" s="5"/>
      <c r="O218" s="14"/>
    </row>
    <row r="219">
      <c r="A219" s="5"/>
      <c r="B219" s="889" t="s">
        <v>1016</v>
      </c>
      <c r="C219" s="890">
        <v>55.0</v>
      </c>
      <c r="D219" s="886" t="s">
        <v>65</v>
      </c>
      <c r="E219" s="5"/>
      <c r="F219" s="889" t="s">
        <v>734</v>
      </c>
      <c r="G219" s="874">
        <v>0.0</v>
      </c>
      <c r="H219" s="886" t="s">
        <v>72</v>
      </c>
      <c r="I219" s="5"/>
      <c r="J219" s="14"/>
      <c r="K219" s="5"/>
      <c r="L219" s="5"/>
      <c r="M219" s="5"/>
      <c r="N219" s="5"/>
      <c r="O219" s="14"/>
    </row>
    <row r="220">
      <c r="A220" s="5"/>
      <c r="B220" s="889" t="s">
        <v>1032</v>
      </c>
      <c r="C220" s="890">
        <v>55.0</v>
      </c>
      <c r="D220" s="886" t="s">
        <v>73</v>
      </c>
      <c r="E220" s="5"/>
      <c r="F220" s="889" t="s">
        <v>739</v>
      </c>
      <c r="G220" s="874">
        <v>0.0</v>
      </c>
      <c r="H220" s="886" t="s">
        <v>72</v>
      </c>
      <c r="I220" s="5"/>
      <c r="J220" s="14"/>
      <c r="K220" s="5"/>
      <c r="L220" s="5"/>
      <c r="M220" s="5"/>
      <c r="N220" s="5"/>
      <c r="O220" s="14"/>
    </row>
    <row r="221">
      <c r="A221" s="5"/>
      <c r="B221" s="889" t="s">
        <v>1021</v>
      </c>
      <c r="C221" s="890">
        <v>55.0</v>
      </c>
      <c r="D221" s="886" t="s">
        <v>63</v>
      </c>
      <c r="E221" s="5"/>
      <c r="F221" s="889" t="s">
        <v>739</v>
      </c>
      <c r="G221" s="874">
        <v>0.0</v>
      </c>
      <c r="H221" s="886" t="s">
        <v>72</v>
      </c>
      <c r="I221" s="5"/>
      <c r="J221" s="14"/>
      <c r="K221" s="5"/>
      <c r="L221" s="5"/>
      <c r="M221" s="5"/>
      <c r="N221" s="5"/>
      <c r="O221" s="14"/>
    </row>
    <row r="222">
      <c r="A222" s="5"/>
      <c r="B222" s="889" t="s">
        <v>1014</v>
      </c>
      <c r="C222" s="890">
        <v>55.0</v>
      </c>
      <c r="D222" s="886" t="s">
        <v>60</v>
      </c>
      <c r="E222" s="5"/>
      <c r="F222" s="889" t="s">
        <v>745</v>
      </c>
      <c r="G222" s="874">
        <v>2.0</v>
      </c>
      <c r="H222" s="886" t="s">
        <v>72</v>
      </c>
      <c r="I222" s="5"/>
      <c r="J222" s="14"/>
      <c r="K222" s="5"/>
      <c r="L222" s="5"/>
      <c r="M222" s="5"/>
      <c r="N222" s="5"/>
      <c r="O222" s="14"/>
    </row>
    <row r="223">
      <c r="A223" s="5"/>
      <c r="B223" s="889" t="s">
        <v>1034</v>
      </c>
      <c r="C223" s="890">
        <v>55.0</v>
      </c>
      <c r="D223" s="886" t="s">
        <v>68</v>
      </c>
      <c r="E223" s="5"/>
      <c r="F223" s="889" t="s">
        <v>745</v>
      </c>
      <c r="G223" s="874">
        <v>2.0</v>
      </c>
      <c r="H223" s="886" t="s">
        <v>72</v>
      </c>
      <c r="I223" s="5"/>
      <c r="J223" s="14"/>
      <c r="K223" s="5"/>
      <c r="L223" s="5"/>
      <c r="M223" s="5"/>
      <c r="N223" s="5"/>
      <c r="O223" s="14"/>
    </row>
    <row r="224">
      <c r="A224" s="5"/>
      <c r="B224" s="889" t="s">
        <v>1002</v>
      </c>
      <c r="C224" s="890">
        <v>55.0</v>
      </c>
      <c r="D224" s="886" t="s">
        <v>70</v>
      </c>
      <c r="E224" s="5"/>
      <c r="F224" s="889" t="s">
        <v>736</v>
      </c>
      <c r="G224" s="874">
        <v>4.0</v>
      </c>
      <c r="H224" s="886" t="s">
        <v>72</v>
      </c>
      <c r="I224" s="5"/>
      <c r="J224" s="14"/>
      <c r="K224" s="5"/>
      <c r="L224" s="5"/>
      <c r="M224" s="5"/>
      <c r="N224" s="5"/>
      <c r="O224" s="14"/>
    </row>
    <row r="225">
      <c r="A225" s="5"/>
      <c r="B225" s="889" t="s">
        <v>1035</v>
      </c>
      <c r="C225" s="890">
        <v>56.0</v>
      </c>
      <c r="D225" s="886" t="s">
        <v>72</v>
      </c>
      <c r="E225" s="5"/>
      <c r="F225" s="889" t="s">
        <v>736</v>
      </c>
      <c r="G225" s="874">
        <v>4.0</v>
      </c>
      <c r="H225" s="886" t="s">
        <v>72</v>
      </c>
      <c r="I225" s="5"/>
      <c r="J225" s="14"/>
      <c r="K225" s="5"/>
      <c r="L225" s="5"/>
      <c r="M225" s="5"/>
      <c r="N225" s="5"/>
      <c r="O225" s="14"/>
    </row>
    <row r="226">
      <c r="A226" s="5"/>
      <c r="B226" s="889" t="s">
        <v>1027</v>
      </c>
      <c r="C226" s="890">
        <v>56.0</v>
      </c>
      <c r="D226" s="886" t="s">
        <v>75</v>
      </c>
      <c r="E226" s="5"/>
      <c r="F226" s="889" t="s">
        <v>730</v>
      </c>
      <c r="G226" s="874">
        <v>6.0</v>
      </c>
      <c r="H226" s="886" t="s">
        <v>72</v>
      </c>
      <c r="I226" s="5"/>
      <c r="J226" s="14"/>
      <c r="K226" s="5"/>
      <c r="L226" s="5"/>
      <c r="M226" s="5"/>
      <c r="N226" s="5"/>
      <c r="O226" s="14"/>
    </row>
    <row r="227">
      <c r="A227" s="5"/>
      <c r="B227" s="889" t="s">
        <v>1036</v>
      </c>
      <c r="C227" s="890">
        <v>56.0</v>
      </c>
      <c r="D227" s="886" t="s">
        <v>69</v>
      </c>
      <c r="E227" s="5"/>
      <c r="F227" s="889" t="s">
        <v>730</v>
      </c>
      <c r="G227" s="874">
        <v>6.0</v>
      </c>
      <c r="H227" s="886" t="s">
        <v>72</v>
      </c>
      <c r="I227" s="5"/>
      <c r="J227" s="14"/>
      <c r="K227" s="5"/>
      <c r="L227" s="5"/>
      <c r="M227" s="5"/>
      <c r="N227" s="5"/>
      <c r="O227" s="14"/>
    </row>
    <row r="228">
      <c r="A228" s="5"/>
      <c r="B228" s="889" t="s">
        <v>1016</v>
      </c>
      <c r="C228" s="890">
        <v>56.0</v>
      </c>
      <c r="D228" s="886" t="s">
        <v>65</v>
      </c>
      <c r="E228" s="5"/>
      <c r="F228" s="889" t="s">
        <v>743</v>
      </c>
      <c r="G228" s="874">
        <v>8.0</v>
      </c>
      <c r="H228" s="886" t="s">
        <v>72</v>
      </c>
      <c r="I228" s="5"/>
      <c r="J228" s="14"/>
      <c r="K228" s="5"/>
      <c r="L228" s="5"/>
      <c r="M228" s="5"/>
      <c r="N228" s="5"/>
      <c r="O228" s="14"/>
    </row>
    <row r="229">
      <c r="A229" s="5"/>
      <c r="B229" s="889" t="s">
        <v>1032</v>
      </c>
      <c r="C229" s="890">
        <v>56.0</v>
      </c>
      <c r="D229" s="886" t="s">
        <v>73</v>
      </c>
      <c r="E229" s="5"/>
      <c r="F229" s="889" t="s">
        <v>743</v>
      </c>
      <c r="G229" s="874">
        <v>8.0</v>
      </c>
      <c r="H229" s="886" t="s">
        <v>72</v>
      </c>
      <c r="I229" s="5"/>
      <c r="J229" s="14"/>
      <c r="K229" s="5"/>
      <c r="L229" s="5"/>
      <c r="M229" s="5"/>
      <c r="N229" s="5"/>
      <c r="O229" s="14"/>
    </row>
    <row r="230">
      <c r="A230" s="5"/>
      <c r="B230" s="889" t="s">
        <v>1021</v>
      </c>
      <c r="C230" s="890">
        <v>56.0</v>
      </c>
      <c r="D230" s="886" t="s">
        <v>63</v>
      </c>
      <c r="E230" s="5"/>
      <c r="F230" s="889" t="s">
        <v>747</v>
      </c>
      <c r="G230" s="874">
        <v>10.0</v>
      </c>
      <c r="H230" s="886" t="s">
        <v>72</v>
      </c>
      <c r="I230" s="5"/>
      <c r="J230" s="14"/>
      <c r="K230" s="5"/>
      <c r="L230" s="5"/>
      <c r="M230" s="5"/>
      <c r="N230" s="5"/>
      <c r="O230" s="14"/>
    </row>
    <row r="231">
      <c r="A231" s="5"/>
      <c r="B231" s="889" t="s">
        <v>1014</v>
      </c>
      <c r="C231" s="890">
        <v>56.0</v>
      </c>
      <c r="D231" s="886" t="s">
        <v>60</v>
      </c>
      <c r="E231" s="5"/>
      <c r="F231" s="889" t="s">
        <v>747</v>
      </c>
      <c r="G231" s="874">
        <v>10.0</v>
      </c>
      <c r="H231" s="886" t="s">
        <v>72</v>
      </c>
      <c r="I231" s="5"/>
      <c r="J231" s="14"/>
      <c r="K231" s="5"/>
      <c r="L231" s="5"/>
      <c r="M231" s="5"/>
      <c r="N231" s="5"/>
      <c r="O231" s="14"/>
    </row>
    <row r="232">
      <c r="A232" s="5"/>
      <c r="B232" s="889" t="s">
        <v>1034</v>
      </c>
      <c r="C232" s="890">
        <v>56.0</v>
      </c>
      <c r="D232" s="886" t="s">
        <v>68</v>
      </c>
      <c r="E232" s="5"/>
      <c r="F232" s="889" t="s">
        <v>831</v>
      </c>
      <c r="G232" s="874">
        <v>0.0</v>
      </c>
      <c r="H232" s="886" t="s">
        <v>73</v>
      </c>
      <c r="I232" s="5"/>
      <c r="J232" s="14"/>
      <c r="K232" s="5"/>
      <c r="L232" s="5"/>
      <c r="M232" s="5"/>
      <c r="N232" s="5"/>
      <c r="O232" s="14"/>
    </row>
    <row r="233">
      <c r="A233" s="5"/>
      <c r="B233" s="889" t="s">
        <v>1002</v>
      </c>
      <c r="C233" s="890">
        <v>56.0</v>
      </c>
      <c r="D233" s="886" t="s">
        <v>70</v>
      </c>
      <c r="E233" s="5"/>
      <c r="F233" s="889" t="s">
        <v>831</v>
      </c>
      <c r="G233" s="874">
        <v>0.0</v>
      </c>
      <c r="H233" s="886" t="s">
        <v>73</v>
      </c>
      <c r="I233" s="5"/>
      <c r="J233" s="14"/>
      <c r="K233" s="5"/>
      <c r="L233" s="5"/>
      <c r="M233" s="5"/>
      <c r="N233" s="5"/>
      <c r="O233" s="14"/>
    </row>
    <row r="234">
      <c r="A234" s="5"/>
      <c r="B234" s="889" t="s">
        <v>1004</v>
      </c>
      <c r="C234" s="890">
        <v>57.0</v>
      </c>
      <c r="D234" s="886" t="s">
        <v>70</v>
      </c>
      <c r="E234" s="5"/>
      <c r="F234" s="889" t="s">
        <v>835</v>
      </c>
      <c r="G234" s="874">
        <v>0.0</v>
      </c>
      <c r="H234" s="886" t="s">
        <v>73</v>
      </c>
      <c r="I234" s="5"/>
      <c r="J234" s="14"/>
      <c r="K234" s="5"/>
      <c r="L234" s="5"/>
      <c r="M234" s="5"/>
      <c r="N234" s="5"/>
      <c r="O234" s="14"/>
    </row>
    <row r="235">
      <c r="A235" s="5"/>
      <c r="B235" s="889" t="s">
        <v>1046</v>
      </c>
      <c r="C235" s="890">
        <v>57.0</v>
      </c>
      <c r="D235" s="886" t="s">
        <v>65</v>
      </c>
      <c r="E235" s="5"/>
      <c r="F235" s="889" t="s">
        <v>835</v>
      </c>
      <c r="G235" s="874">
        <v>0.0</v>
      </c>
      <c r="H235" s="886" t="s">
        <v>73</v>
      </c>
      <c r="I235" s="5"/>
      <c r="J235" s="14"/>
      <c r="K235" s="5"/>
      <c r="L235" s="5"/>
      <c r="M235" s="5"/>
      <c r="N235" s="5"/>
      <c r="O235" s="14"/>
    </row>
    <row r="236">
      <c r="A236" s="5"/>
      <c r="B236" s="889" t="s">
        <v>1006</v>
      </c>
      <c r="C236" s="890">
        <v>57.0</v>
      </c>
      <c r="D236" s="886" t="s">
        <v>63</v>
      </c>
      <c r="E236" s="5"/>
      <c r="F236" s="889" t="s">
        <v>833</v>
      </c>
      <c r="G236" s="874">
        <v>0.0</v>
      </c>
      <c r="H236" s="886" t="s">
        <v>73</v>
      </c>
      <c r="I236" s="5"/>
      <c r="J236" s="14"/>
      <c r="K236" s="5"/>
      <c r="L236" s="5"/>
      <c r="M236" s="5"/>
      <c r="N236" s="5"/>
      <c r="O236" s="14"/>
    </row>
    <row r="237">
      <c r="A237" s="5"/>
      <c r="B237" s="889" t="s">
        <v>995</v>
      </c>
      <c r="C237" s="890">
        <v>57.0</v>
      </c>
      <c r="D237" s="886" t="s">
        <v>60</v>
      </c>
      <c r="E237" s="5"/>
      <c r="F237" s="889" t="s">
        <v>833</v>
      </c>
      <c r="G237" s="874">
        <v>0.0</v>
      </c>
      <c r="H237" s="886" t="s">
        <v>73</v>
      </c>
      <c r="I237" s="5"/>
      <c r="J237" s="14"/>
      <c r="K237" s="5"/>
      <c r="L237" s="5"/>
      <c r="M237" s="5"/>
      <c r="N237" s="5"/>
      <c r="O237" s="14"/>
    </row>
    <row r="238">
      <c r="A238" s="5"/>
      <c r="B238" s="889" t="s">
        <v>1008</v>
      </c>
      <c r="C238" s="890">
        <v>57.0</v>
      </c>
      <c r="D238" s="886" t="s">
        <v>72</v>
      </c>
      <c r="E238" s="5"/>
      <c r="F238" s="889" t="s">
        <v>829</v>
      </c>
      <c r="G238" s="874">
        <v>0.0</v>
      </c>
      <c r="H238" s="886" t="s">
        <v>73</v>
      </c>
      <c r="I238" s="5"/>
      <c r="J238" s="14"/>
      <c r="K238" s="5"/>
      <c r="L238" s="5"/>
      <c r="M238" s="5"/>
      <c r="N238" s="5"/>
      <c r="O238" s="14"/>
    </row>
    <row r="239">
      <c r="A239" s="5"/>
      <c r="B239" s="889" t="s">
        <v>1030</v>
      </c>
      <c r="C239" s="890">
        <v>57.0</v>
      </c>
      <c r="D239" s="886" t="s">
        <v>69</v>
      </c>
      <c r="E239" s="5"/>
      <c r="F239" s="889" t="s">
        <v>829</v>
      </c>
      <c r="G239" s="874">
        <v>0.0</v>
      </c>
      <c r="H239" s="886" t="s">
        <v>73</v>
      </c>
      <c r="I239" s="5"/>
      <c r="J239" s="14"/>
      <c r="K239" s="5"/>
      <c r="L239" s="5"/>
      <c r="M239" s="5"/>
      <c r="N239" s="5"/>
      <c r="O239" s="14"/>
    </row>
    <row r="240">
      <c r="A240" s="5"/>
      <c r="B240" s="889" t="s">
        <v>997</v>
      </c>
      <c r="C240" s="890">
        <v>57.0</v>
      </c>
      <c r="D240" s="886" t="s">
        <v>68</v>
      </c>
      <c r="E240" s="5"/>
      <c r="F240" s="889" t="s">
        <v>827</v>
      </c>
      <c r="G240" s="874">
        <v>0.0</v>
      </c>
      <c r="H240" s="886" t="s">
        <v>73</v>
      </c>
      <c r="I240" s="5"/>
      <c r="J240" s="14"/>
      <c r="K240" s="5"/>
      <c r="L240" s="5"/>
      <c r="M240" s="5"/>
      <c r="N240" s="5"/>
      <c r="O240" s="14"/>
    </row>
    <row r="241">
      <c r="A241" s="5"/>
      <c r="B241" s="889" t="s">
        <v>1040</v>
      </c>
      <c r="C241" s="890">
        <v>57.0</v>
      </c>
      <c r="D241" s="886" t="s">
        <v>73</v>
      </c>
      <c r="E241" s="5"/>
      <c r="F241" s="889" t="s">
        <v>827</v>
      </c>
      <c r="G241" s="874">
        <v>0.0</v>
      </c>
      <c r="H241" s="886" t="s">
        <v>73</v>
      </c>
      <c r="I241" s="5"/>
      <c r="J241" s="14"/>
      <c r="K241" s="5"/>
      <c r="L241" s="5"/>
      <c r="M241" s="5"/>
      <c r="N241" s="5"/>
      <c r="O241" s="14"/>
    </row>
    <row r="242">
      <c r="A242" s="5"/>
      <c r="B242" s="889" t="s">
        <v>1019</v>
      </c>
      <c r="C242" s="890">
        <v>57.0</v>
      </c>
      <c r="D242" s="886" t="s">
        <v>75</v>
      </c>
      <c r="E242" s="5"/>
      <c r="F242" s="889" t="s">
        <v>821</v>
      </c>
      <c r="G242" s="874">
        <v>2.0</v>
      </c>
      <c r="H242" s="886" t="s">
        <v>73</v>
      </c>
      <c r="I242" s="5"/>
      <c r="J242" s="14"/>
      <c r="K242" s="5"/>
      <c r="L242" s="5"/>
      <c r="M242" s="5"/>
      <c r="N242" s="5"/>
      <c r="O242" s="14"/>
    </row>
    <row r="243">
      <c r="A243" s="5"/>
      <c r="B243" s="889" t="s">
        <v>1004</v>
      </c>
      <c r="C243" s="890">
        <v>58.0</v>
      </c>
      <c r="D243" s="886" t="s">
        <v>70</v>
      </c>
      <c r="E243" s="5"/>
      <c r="F243" s="889" t="s">
        <v>821</v>
      </c>
      <c r="G243" s="874">
        <v>2.0</v>
      </c>
      <c r="H243" s="886" t="s">
        <v>73</v>
      </c>
      <c r="I243" s="5"/>
      <c r="J243" s="14"/>
      <c r="K243" s="5"/>
      <c r="L243" s="5"/>
      <c r="M243" s="5"/>
      <c r="N243" s="5"/>
      <c r="O243" s="14"/>
    </row>
    <row r="244">
      <c r="A244" s="5"/>
      <c r="B244" s="889" t="s">
        <v>1046</v>
      </c>
      <c r="C244" s="890">
        <v>58.0</v>
      </c>
      <c r="D244" s="886" t="s">
        <v>65</v>
      </c>
      <c r="E244" s="5"/>
      <c r="F244" s="889" t="s">
        <v>823</v>
      </c>
      <c r="G244" s="874">
        <v>4.0</v>
      </c>
      <c r="H244" s="886" t="s">
        <v>73</v>
      </c>
      <c r="I244" s="5"/>
      <c r="J244" s="14"/>
      <c r="K244" s="5"/>
      <c r="L244" s="5"/>
      <c r="M244" s="5"/>
      <c r="N244" s="5"/>
      <c r="O244" s="14"/>
    </row>
    <row r="245">
      <c r="A245" s="5"/>
      <c r="B245" s="889" t="s">
        <v>1006</v>
      </c>
      <c r="C245" s="890">
        <v>58.0</v>
      </c>
      <c r="D245" s="886" t="s">
        <v>63</v>
      </c>
      <c r="E245" s="5"/>
      <c r="F245" s="889" t="s">
        <v>823</v>
      </c>
      <c r="G245" s="874">
        <v>4.0</v>
      </c>
      <c r="H245" s="886" t="s">
        <v>73</v>
      </c>
      <c r="I245" s="5"/>
      <c r="J245" s="14"/>
      <c r="K245" s="5"/>
      <c r="L245" s="5"/>
      <c r="M245" s="5"/>
      <c r="N245" s="5"/>
      <c r="O245" s="14"/>
    </row>
    <row r="246">
      <c r="A246" s="5"/>
      <c r="B246" s="889" t="s">
        <v>995</v>
      </c>
      <c r="C246" s="890">
        <v>58.0</v>
      </c>
      <c r="D246" s="886" t="s">
        <v>60</v>
      </c>
      <c r="E246" s="5"/>
      <c r="F246" s="889" t="s">
        <v>825</v>
      </c>
      <c r="G246" s="874">
        <v>6.0</v>
      </c>
      <c r="H246" s="886" t="s">
        <v>73</v>
      </c>
      <c r="I246" s="5"/>
      <c r="J246" s="14"/>
      <c r="K246" s="5"/>
      <c r="L246" s="5"/>
      <c r="M246" s="5"/>
      <c r="N246" s="5"/>
      <c r="O246" s="14"/>
    </row>
    <row r="247">
      <c r="A247" s="5"/>
      <c r="B247" s="889" t="s">
        <v>1008</v>
      </c>
      <c r="C247" s="890">
        <v>58.0</v>
      </c>
      <c r="D247" s="886" t="s">
        <v>72</v>
      </c>
      <c r="E247" s="5"/>
      <c r="F247" s="889" t="s">
        <v>825</v>
      </c>
      <c r="G247" s="874">
        <v>6.0</v>
      </c>
      <c r="H247" s="886" t="s">
        <v>73</v>
      </c>
      <c r="I247" s="5"/>
      <c r="J247" s="14"/>
      <c r="K247" s="5"/>
      <c r="L247" s="5"/>
      <c r="M247" s="5"/>
      <c r="N247" s="5"/>
      <c r="O247" s="14"/>
    </row>
    <row r="248">
      <c r="A248" s="5"/>
      <c r="B248" s="889" t="s">
        <v>1030</v>
      </c>
      <c r="C248" s="890">
        <v>58.0</v>
      </c>
      <c r="D248" s="886" t="s">
        <v>69</v>
      </c>
      <c r="E248" s="5"/>
      <c r="F248" s="889" t="s">
        <v>819</v>
      </c>
      <c r="G248" s="874">
        <v>8.0</v>
      </c>
      <c r="H248" s="886" t="s">
        <v>73</v>
      </c>
      <c r="I248" s="5"/>
      <c r="J248" s="14"/>
      <c r="K248" s="5"/>
      <c r="L248" s="5"/>
      <c r="M248" s="5"/>
      <c r="N248" s="5"/>
      <c r="O248" s="14"/>
    </row>
    <row r="249">
      <c r="A249" s="5"/>
      <c r="B249" s="889" t="s">
        <v>997</v>
      </c>
      <c r="C249" s="890">
        <v>58.0</v>
      </c>
      <c r="D249" s="886" t="s">
        <v>68</v>
      </c>
      <c r="E249" s="5"/>
      <c r="F249" s="889" t="s">
        <v>819</v>
      </c>
      <c r="G249" s="874">
        <v>8.0</v>
      </c>
      <c r="H249" s="886" t="s">
        <v>73</v>
      </c>
      <c r="I249" s="5"/>
      <c r="J249" s="14"/>
      <c r="K249" s="5"/>
      <c r="L249" s="5"/>
      <c r="M249" s="5"/>
      <c r="N249" s="5"/>
      <c r="O249" s="14"/>
    </row>
    <row r="250">
      <c r="A250" s="5"/>
      <c r="B250" s="889" t="s">
        <v>1040</v>
      </c>
      <c r="C250" s="890">
        <v>58.0</v>
      </c>
      <c r="D250" s="886" t="s">
        <v>73</v>
      </c>
      <c r="E250" s="5"/>
      <c r="F250" s="889" t="s">
        <v>837</v>
      </c>
      <c r="G250" s="874">
        <v>10.0</v>
      </c>
      <c r="H250" s="886" t="s">
        <v>73</v>
      </c>
      <c r="I250" s="5"/>
      <c r="J250" s="14"/>
      <c r="K250" s="5"/>
      <c r="L250" s="5"/>
      <c r="M250" s="5"/>
      <c r="N250" s="5"/>
      <c r="O250" s="14"/>
    </row>
    <row r="251">
      <c r="A251" s="5"/>
      <c r="B251" s="889" t="s">
        <v>1019</v>
      </c>
      <c r="C251" s="890">
        <v>58.0</v>
      </c>
      <c r="D251" s="886" t="s">
        <v>75</v>
      </c>
      <c r="E251" s="5"/>
      <c r="F251" s="889" t="s">
        <v>837</v>
      </c>
      <c r="G251" s="874">
        <v>10.0</v>
      </c>
      <c r="H251" s="886" t="s">
        <v>73</v>
      </c>
      <c r="I251" s="5"/>
      <c r="J251" s="14"/>
      <c r="K251" s="5"/>
      <c r="L251" s="5"/>
      <c r="M251" s="5"/>
      <c r="N251" s="5"/>
      <c r="O251" s="14"/>
    </row>
    <row r="252">
      <c r="A252" s="5"/>
      <c r="B252" s="889" t="s">
        <v>1015</v>
      </c>
      <c r="C252" s="890">
        <v>59.0</v>
      </c>
      <c r="D252" s="886" t="s">
        <v>65</v>
      </c>
      <c r="E252" s="5"/>
      <c r="F252" s="889" t="s">
        <v>917</v>
      </c>
      <c r="G252" s="874">
        <v>0.0</v>
      </c>
      <c r="H252" s="886" t="s">
        <v>75</v>
      </c>
      <c r="I252" s="5"/>
      <c r="J252" s="14"/>
      <c r="K252" s="5"/>
      <c r="L252" s="5"/>
      <c r="M252" s="5"/>
      <c r="N252" s="5"/>
      <c r="O252" s="14"/>
    </row>
    <row r="253">
      <c r="A253" s="5"/>
      <c r="B253" s="889" t="s">
        <v>1017</v>
      </c>
      <c r="C253" s="890">
        <v>59.0</v>
      </c>
      <c r="D253" s="886" t="s">
        <v>63</v>
      </c>
      <c r="E253" s="5"/>
      <c r="F253" s="889" t="s">
        <v>917</v>
      </c>
      <c r="G253" s="874">
        <v>0.0</v>
      </c>
      <c r="H253" s="886" t="s">
        <v>75</v>
      </c>
      <c r="I253" s="5"/>
      <c r="J253" s="14"/>
      <c r="K253" s="5"/>
      <c r="L253" s="5"/>
      <c r="M253" s="5"/>
      <c r="N253" s="5"/>
      <c r="O253" s="14"/>
    </row>
    <row r="254">
      <c r="A254" s="5"/>
      <c r="B254" s="889" t="s">
        <v>1009</v>
      </c>
      <c r="C254" s="890">
        <v>59.0</v>
      </c>
      <c r="D254" s="886" t="s">
        <v>73</v>
      </c>
      <c r="E254" s="5"/>
      <c r="F254" s="889" t="s">
        <v>908</v>
      </c>
      <c r="G254" s="874">
        <v>0.0</v>
      </c>
      <c r="H254" s="886" t="s">
        <v>75</v>
      </c>
      <c r="I254" s="5"/>
      <c r="J254" s="14"/>
      <c r="K254" s="5"/>
      <c r="L254" s="5"/>
      <c r="M254" s="5"/>
      <c r="N254" s="5"/>
      <c r="O254" s="14"/>
    </row>
    <row r="255">
      <c r="A255" s="5"/>
      <c r="B255" s="889" t="s">
        <v>1048</v>
      </c>
      <c r="C255" s="890">
        <v>59.0</v>
      </c>
      <c r="D255" s="886" t="s">
        <v>69</v>
      </c>
      <c r="E255" s="5"/>
      <c r="F255" s="889" t="s">
        <v>908</v>
      </c>
      <c r="G255" s="874">
        <v>0.0</v>
      </c>
      <c r="H255" s="886" t="s">
        <v>75</v>
      </c>
      <c r="I255" s="5"/>
      <c r="J255" s="14"/>
      <c r="K255" s="5"/>
      <c r="L255" s="5"/>
      <c r="M255" s="5"/>
      <c r="N255" s="5"/>
      <c r="O255" s="14"/>
    </row>
    <row r="256">
      <c r="A256" s="5"/>
      <c r="B256" s="889" t="s">
        <v>1012</v>
      </c>
      <c r="C256" s="890">
        <v>59.0</v>
      </c>
      <c r="D256" s="886" t="s">
        <v>60</v>
      </c>
      <c r="E256" s="5"/>
      <c r="F256" s="889" t="s">
        <v>914</v>
      </c>
      <c r="G256" s="874">
        <v>0.0</v>
      </c>
      <c r="H256" s="886" t="s">
        <v>75</v>
      </c>
      <c r="I256" s="5"/>
      <c r="J256" s="14"/>
      <c r="K256" s="5"/>
      <c r="L256" s="5"/>
      <c r="M256" s="5"/>
      <c r="N256" s="5"/>
      <c r="O256" s="14"/>
    </row>
    <row r="257">
      <c r="A257" s="5"/>
      <c r="B257" s="889" t="s">
        <v>1049</v>
      </c>
      <c r="C257" s="890">
        <v>59.0</v>
      </c>
      <c r="D257" s="886" t="s">
        <v>72</v>
      </c>
      <c r="E257" s="5"/>
      <c r="F257" s="889" t="s">
        <v>914</v>
      </c>
      <c r="G257" s="874">
        <v>0.0</v>
      </c>
      <c r="H257" s="886" t="s">
        <v>75</v>
      </c>
      <c r="I257" s="5"/>
      <c r="J257" s="14"/>
      <c r="K257" s="5"/>
      <c r="L257" s="5"/>
      <c r="M257" s="5"/>
      <c r="N257" s="5"/>
      <c r="O257" s="14"/>
    </row>
    <row r="258">
      <c r="A258" s="5"/>
      <c r="B258" s="889" t="s">
        <v>1033</v>
      </c>
      <c r="C258" s="890">
        <v>59.0</v>
      </c>
      <c r="D258" s="886" t="s">
        <v>70</v>
      </c>
      <c r="E258" s="5"/>
      <c r="F258" s="889" t="s">
        <v>921</v>
      </c>
      <c r="G258" s="874">
        <v>0.0</v>
      </c>
      <c r="H258" s="886" t="s">
        <v>75</v>
      </c>
      <c r="I258" s="5"/>
      <c r="J258" s="14"/>
      <c r="K258" s="5"/>
      <c r="L258" s="5"/>
      <c r="M258" s="5"/>
      <c r="N258" s="5"/>
      <c r="O258" s="14"/>
    </row>
    <row r="259">
      <c r="A259" s="5"/>
      <c r="B259" s="889" t="s">
        <v>1051</v>
      </c>
      <c r="C259" s="890">
        <v>59.0</v>
      </c>
      <c r="D259" s="886" t="s">
        <v>68</v>
      </c>
      <c r="E259" s="5"/>
      <c r="F259" s="889" t="s">
        <v>921</v>
      </c>
      <c r="G259" s="874">
        <v>0.0</v>
      </c>
      <c r="H259" s="886" t="s">
        <v>75</v>
      </c>
      <c r="I259" s="5"/>
      <c r="J259" s="14"/>
      <c r="K259" s="5"/>
      <c r="L259" s="5"/>
      <c r="M259" s="5"/>
      <c r="N259" s="5"/>
      <c r="O259" s="14"/>
    </row>
    <row r="260">
      <c r="A260" s="5"/>
      <c r="B260" s="889" t="s">
        <v>1026</v>
      </c>
      <c r="C260" s="890">
        <v>59.0</v>
      </c>
      <c r="D260" s="886" t="s">
        <v>75</v>
      </c>
      <c r="E260" s="5"/>
      <c r="F260" s="889" t="s">
        <v>912</v>
      </c>
      <c r="G260" s="874">
        <v>2.0</v>
      </c>
      <c r="H260" s="886" t="s">
        <v>75</v>
      </c>
      <c r="I260" s="5"/>
      <c r="J260" s="14"/>
      <c r="K260" s="5"/>
      <c r="L260" s="5"/>
      <c r="M260" s="5"/>
      <c r="N260" s="5"/>
      <c r="O260" s="14"/>
    </row>
    <row r="261">
      <c r="A261" s="5"/>
      <c r="B261" s="889" t="s">
        <v>1015</v>
      </c>
      <c r="C261" s="890">
        <v>60.0</v>
      </c>
      <c r="D261" s="886" t="s">
        <v>65</v>
      </c>
      <c r="E261" s="5"/>
      <c r="F261" s="889" t="s">
        <v>912</v>
      </c>
      <c r="G261" s="874">
        <v>2.0</v>
      </c>
      <c r="H261" s="886" t="s">
        <v>75</v>
      </c>
      <c r="I261" s="5"/>
      <c r="J261" s="14"/>
      <c r="K261" s="5"/>
      <c r="L261" s="5"/>
      <c r="M261" s="5"/>
      <c r="N261" s="5"/>
      <c r="O261" s="14"/>
    </row>
    <row r="262">
      <c r="A262" s="5"/>
      <c r="B262" s="889" t="s">
        <v>1017</v>
      </c>
      <c r="C262" s="890">
        <v>60.0</v>
      </c>
      <c r="D262" s="886" t="s">
        <v>63</v>
      </c>
      <c r="E262" s="5"/>
      <c r="F262" s="889" t="s">
        <v>923</v>
      </c>
      <c r="G262" s="874">
        <v>4.0</v>
      </c>
      <c r="H262" s="886" t="s">
        <v>75</v>
      </c>
      <c r="I262" s="5"/>
      <c r="J262" s="14"/>
      <c r="K262" s="5"/>
      <c r="L262" s="5"/>
      <c r="M262" s="5"/>
      <c r="N262" s="5"/>
      <c r="O262" s="14"/>
    </row>
    <row r="263">
      <c r="A263" s="5"/>
      <c r="B263" s="889" t="s">
        <v>1009</v>
      </c>
      <c r="C263" s="890">
        <v>60.0</v>
      </c>
      <c r="D263" s="886" t="s">
        <v>73</v>
      </c>
      <c r="E263" s="5"/>
      <c r="F263" s="889" t="s">
        <v>923</v>
      </c>
      <c r="G263" s="874">
        <v>4.0</v>
      </c>
      <c r="H263" s="886" t="s">
        <v>75</v>
      </c>
      <c r="I263" s="5"/>
      <c r="J263" s="14"/>
      <c r="K263" s="5"/>
      <c r="L263" s="5"/>
      <c r="M263" s="5"/>
      <c r="N263" s="5"/>
      <c r="O263" s="14"/>
    </row>
    <row r="264">
      <c r="A264" s="5"/>
      <c r="B264" s="889" t="s">
        <v>1048</v>
      </c>
      <c r="C264" s="890">
        <v>60.0</v>
      </c>
      <c r="D264" s="886" t="s">
        <v>69</v>
      </c>
      <c r="E264" s="5"/>
      <c r="F264" s="889" t="s">
        <v>910</v>
      </c>
      <c r="G264" s="874">
        <v>6.0</v>
      </c>
      <c r="H264" s="886" t="s">
        <v>75</v>
      </c>
      <c r="I264" s="5"/>
      <c r="J264" s="14"/>
      <c r="K264" s="5"/>
      <c r="L264" s="5"/>
      <c r="M264" s="5"/>
      <c r="N264" s="5"/>
      <c r="O264" s="14"/>
    </row>
    <row r="265">
      <c r="A265" s="5"/>
      <c r="B265" s="889" t="s">
        <v>1012</v>
      </c>
      <c r="C265" s="890">
        <v>60.0</v>
      </c>
      <c r="D265" s="886" t="s">
        <v>60</v>
      </c>
      <c r="E265" s="5"/>
      <c r="F265" s="889" t="s">
        <v>910</v>
      </c>
      <c r="G265" s="874">
        <v>6.0</v>
      </c>
      <c r="H265" s="886" t="s">
        <v>75</v>
      </c>
      <c r="I265" s="5"/>
      <c r="J265" s="14"/>
      <c r="K265" s="5"/>
      <c r="L265" s="5"/>
      <c r="M265" s="5"/>
      <c r="N265" s="5"/>
      <c r="O265" s="14"/>
    </row>
    <row r="266">
      <c r="A266" s="5"/>
      <c r="B266" s="889" t="s">
        <v>1049</v>
      </c>
      <c r="C266" s="890">
        <v>60.0</v>
      </c>
      <c r="D266" s="886" t="s">
        <v>72</v>
      </c>
      <c r="E266" s="5"/>
      <c r="F266" s="889" t="s">
        <v>919</v>
      </c>
      <c r="G266" s="874">
        <v>8.0</v>
      </c>
      <c r="H266" s="886" t="s">
        <v>75</v>
      </c>
      <c r="I266" s="5"/>
      <c r="J266" s="14"/>
      <c r="K266" s="5"/>
      <c r="L266" s="5"/>
      <c r="M266" s="5"/>
      <c r="N266" s="5"/>
      <c r="O266" s="14"/>
    </row>
    <row r="267">
      <c r="A267" s="5"/>
      <c r="B267" s="889" t="s">
        <v>1033</v>
      </c>
      <c r="C267" s="890">
        <v>60.0</v>
      </c>
      <c r="D267" s="886" t="s">
        <v>70</v>
      </c>
      <c r="E267" s="5"/>
      <c r="F267" s="889" t="s">
        <v>919</v>
      </c>
      <c r="G267" s="874">
        <v>8.0</v>
      </c>
      <c r="H267" s="886" t="s">
        <v>75</v>
      </c>
      <c r="I267" s="5"/>
      <c r="J267" s="14"/>
      <c r="K267" s="5"/>
      <c r="L267" s="5"/>
      <c r="M267" s="5"/>
      <c r="N267" s="5"/>
      <c r="O267" s="14"/>
    </row>
    <row r="268">
      <c r="A268" s="5"/>
      <c r="B268" s="889" t="s">
        <v>1051</v>
      </c>
      <c r="C268" s="890">
        <v>60.0</v>
      </c>
      <c r="D268" s="886" t="s">
        <v>68</v>
      </c>
      <c r="E268" s="5"/>
      <c r="F268" s="889" t="s">
        <v>924</v>
      </c>
      <c r="G268" s="874">
        <v>10.0</v>
      </c>
      <c r="H268" s="886" t="s">
        <v>75</v>
      </c>
      <c r="I268" s="5"/>
      <c r="J268" s="14"/>
      <c r="K268" s="5"/>
      <c r="L268" s="5"/>
      <c r="M268" s="5"/>
      <c r="N268" s="5"/>
      <c r="O268" s="14"/>
    </row>
    <row r="269">
      <c r="B269" s="895" t="s">
        <v>1026</v>
      </c>
      <c r="C269" s="896">
        <v>60.0</v>
      </c>
      <c r="D269" s="915" t="s">
        <v>75</v>
      </c>
      <c r="F269" s="895" t="s">
        <v>924</v>
      </c>
      <c r="G269" s="916">
        <v>10.0</v>
      </c>
      <c r="H269" s="915"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17"/>
      <c r="B1" s="918" t="s">
        <v>1599</v>
      </c>
      <c r="C1" s="106"/>
      <c r="D1" s="106"/>
      <c r="E1" s="106"/>
      <c r="F1" s="106"/>
      <c r="G1" s="106"/>
      <c r="H1" s="106"/>
      <c r="I1" s="106"/>
      <c r="J1" s="106"/>
      <c r="K1" s="107"/>
      <c r="L1" s="919" t="s">
        <v>1600</v>
      </c>
      <c r="M1" s="919" t="s">
        <v>108</v>
      </c>
      <c r="N1" s="681"/>
      <c r="O1" s="681"/>
      <c r="P1" s="681"/>
      <c r="Q1" s="681"/>
      <c r="R1" s="681"/>
      <c r="S1" s="681"/>
      <c r="T1" s="681"/>
      <c r="U1" s="681"/>
      <c r="V1" s="681"/>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17"/>
      <c r="B2" s="920" t="s">
        <v>33</v>
      </c>
      <c r="C2" s="37"/>
      <c r="D2" s="37"/>
      <c r="E2" s="37"/>
      <c r="F2" s="37"/>
      <c r="G2" s="37"/>
      <c r="H2" s="37"/>
      <c r="I2" s="37"/>
      <c r="J2" s="37"/>
      <c r="K2" s="37"/>
      <c r="L2" s="37"/>
      <c r="M2" s="38"/>
      <c r="N2" s="681"/>
      <c r="O2" s="681"/>
      <c r="P2" s="681"/>
      <c r="Q2" s="681"/>
      <c r="R2" s="681"/>
      <c r="S2" s="681"/>
      <c r="T2" s="681"/>
      <c r="U2" s="681"/>
      <c r="V2" s="681"/>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17"/>
      <c r="B3" s="921" t="s">
        <v>1601</v>
      </c>
      <c r="C3" s="37"/>
      <c r="D3" s="37"/>
      <c r="E3" s="37"/>
      <c r="F3" s="37"/>
      <c r="G3" s="37"/>
      <c r="H3" s="37"/>
      <c r="I3" s="37"/>
      <c r="J3" s="37"/>
      <c r="K3" s="38"/>
      <c r="L3" s="922">
        <v>0.0</v>
      </c>
      <c r="M3" s="922" t="str">
        <f>L3*40</f>
        <v>0</v>
      </c>
      <c r="N3" s="681"/>
      <c r="O3" s="681"/>
      <c r="P3" s="681"/>
      <c r="Q3" s="681"/>
      <c r="R3" s="681"/>
      <c r="S3" s="681"/>
      <c r="T3" s="681"/>
      <c r="U3" s="681"/>
      <c r="V3" s="681"/>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17"/>
      <c r="B4" s="921" t="s">
        <v>1602</v>
      </c>
      <c r="C4" s="37"/>
      <c r="D4" s="37"/>
      <c r="E4" s="37"/>
      <c r="F4" s="37"/>
      <c r="G4" s="37"/>
      <c r="H4" s="37"/>
      <c r="I4" s="37"/>
      <c r="J4" s="37"/>
      <c r="K4" s="38"/>
      <c r="L4" s="922" t="str">
        <f>K4*40</f>
        <v>0</v>
      </c>
      <c r="M4" s="922" t="str">
        <f>L4*100</f>
        <v>0</v>
      </c>
      <c r="N4" s="681"/>
      <c r="O4" s="681"/>
      <c r="P4" s="681"/>
      <c r="Q4" s="681"/>
      <c r="R4" s="681"/>
      <c r="S4" s="681"/>
      <c r="T4" s="681"/>
      <c r="U4" s="681"/>
      <c r="V4" s="681"/>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17"/>
      <c r="B5" s="923" t="s">
        <v>1603</v>
      </c>
      <c r="C5" s="37"/>
      <c r="D5" s="37"/>
      <c r="E5" s="37"/>
      <c r="F5" s="37"/>
      <c r="G5" s="37"/>
      <c r="H5" s="37"/>
      <c r="I5" s="37"/>
      <c r="J5" s="37"/>
      <c r="K5" s="38"/>
      <c r="L5" s="924">
        <v>1.0</v>
      </c>
      <c r="M5" s="922" t="str">
        <f>L5*400</f>
        <v>400</v>
      </c>
      <c r="N5" s="681"/>
      <c r="O5" s="681"/>
      <c r="P5" s="681"/>
      <c r="Q5" s="681"/>
      <c r="R5" s="681"/>
      <c r="S5" s="681"/>
      <c r="T5" s="681"/>
      <c r="U5" s="681"/>
      <c r="V5" s="681"/>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17"/>
      <c r="B6" s="923" t="s">
        <v>1604</v>
      </c>
      <c r="C6" s="37"/>
      <c r="D6" s="37"/>
      <c r="E6" s="37"/>
      <c r="F6" s="37"/>
      <c r="G6" s="37"/>
      <c r="H6" s="37"/>
      <c r="I6" s="37"/>
      <c r="J6" s="37"/>
      <c r="K6" s="38"/>
      <c r="L6" s="924">
        <v>11.0</v>
      </c>
      <c r="M6" s="922" t="str">
        <f>L6*1600</f>
        <v>17600</v>
      </c>
      <c r="N6" s="681"/>
      <c r="O6" s="681"/>
      <c r="P6" s="681"/>
      <c r="Q6" s="681"/>
      <c r="R6" s="681"/>
      <c r="S6" s="681"/>
      <c r="T6" s="681"/>
      <c r="U6" s="681"/>
      <c r="V6" s="681"/>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17"/>
      <c r="B7" s="920" t="s">
        <v>1605</v>
      </c>
      <c r="C7" s="37"/>
      <c r="D7" s="37"/>
      <c r="E7" s="37"/>
      <c r="F7" s="37"/>
      <c r="G7" s="37"/>
      <c r="H7" s="37"/>
      <c r="I7" s="37"/>
      <c r="J7" s="37"/>
      <c r="K7" s="37"/>
      <c r="L7" s="37"/>
      <c r="M7" s="38"/>
      <c r="N7" s="681"/>
      <c r="O7" s="681"/>
      <c r="P7" s="681"/>
      <c r="Q7" s="681"/>
      <c r="R7" s="681"/>
      <c r="S7" s="681"/>
      <c r="T7" s="681"/>
      <c r="U7" s="681"/>
      <c r="V7" s="681"/>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17"/>
      <c r="B8" s="921" t="s">
        <v>1601</v>
      </c>
      <c r="C8" s="37"/>
      <c r="D8" s="37"/>
      <c r="E8" s="37"/>
      <c r="F8" s="37"/>
      <c r="G8" s="37"/>
      <c r="H8" s="37"/>
      <c r="I8" s="37"/>
      <c r="J8" s="37"/>
      <c r="K8" s="38"/>
      <c r="L8" s="922">
        <v>0.0</v>
      </c>
      <c r="M8" s="922" t="str">
        <f>L8*40</f>
        <v>0</v>
      </c>
      <c r="N8" s="681"/>
      <c r="O8" s="681"/>
      <c r="P8" s="681"/>
      <c r="Q8" s="681"/>
      <c r="R8" s="681"/>
      <c r="S8" s="681"/>
      <c r="T8" s="681"/>
      <c r="U8" s="681"/>
      <c r="V8" s="681"/>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17"/>
      <c r="B9" s="921" t="s">
        <v>1602</v>
      </c>
      <c r="C9" s="37"/>
      <c r="D9" s="37"/>
      <c r="E9" s="37"/>
      <c r="F9" s="37"/>
      <c r="G9" s="37"/>
      <c r="H9" s="37"/>
      <c r="I9" s="37"/>
      <c r="J9" s="37"/>
      <c r="K9" s="38"/>
      <c r="L9" s="922" t="str">
        <f>K9*40</f>
        <v>0</v>
      </c>
      <c r="M9" s="922" t="str">
        <f>L9*100</f>
        <v>0</v>
      </c>
      <c r="N9" s="681"/>
      <c r="O9" s="681"/>
      <c r="P9" s="681"/>
      <c r="Q9" s="681"/>
      <c r="R9" s="681"/>
      <c r="S9" s="681"/>
      <c r="T9" s="681"/>
      <c r="U9" s="681"/>
      <c r="V9" s="681"/>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17"/>
      <c r="B10" s="923" t="s">
        <v>1606</v>
      </c>
      <c r="C10" s="37"/>
      <c r="D10" s="37"/>
      <c r="E10" s="37"/>
      <c r="F10" s="37"/>
      <c r="G10" s="37"/>
      <c r="H10" s="37"/>
      <c r="I10" s="37"/>
      <c r="J10" s="37"/>
      <c r="K10" s="38"/>
      <c r="L10" s="924">
        <v>2.0</v>
      </c>
      <c r="M10" s="922" t="str">
        <f>L10*400</f>
        <v>800</v>
      </c>
      <c r="N10" s="681"/>
      <c r="O10" s="681"/>
      <c r="P10" s="681"/>
      <c r="Q10" s="681"/>
      <c r="R10" s="681"/>
      <c r="S10" s="681"/>
      <c r="T10" s="681"/>
      <c r="U10" s="681"/>
      <c r="V10" s="681"/>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17"/>
      <c r="B11" s="925" t="s">
        <v>1607</v>
      </c>
      <c r="C11" s="37"/>
      <c r="D11" s="37"/>
      <c r="E11" s="37"/>
      <c r="F11" s="37"/>
      <c r="G11" s="37"/>
      <c r="H11" s="37"/>
      <c r="I11" s="37"/>
      <c r="J11" s="37"/>
      <c r="K11" s="38"/>
      <c r="L11" s="924">
        <v>7.0</v>
      </c>
      <c r="M11" s="922" t="str">
        <f>L11*1600</f>
        <v>11200</v>
      </c>
      <c r="N11" s="681"/>
      <c r="O11" s="681"/>
      <c r="P11" s="681"/>
      <c r="Q11" s="681"/>
      <c r="R11" s="681"/>
      <c r="S11" s="681"/>
      <c r="T11" s="681"/>
      <c r="U11" s="681"/>
      <c r="V11" s="681"/>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681"/>
      <c r="B12" s="681"/>
      <c r="C12" s="681"/>
      <c r="D12" s="681"/>
      <c r="E12" s="681"/>
      <c r="F12" s="681"/>
      <c r="G12" s="681"/>
      <c r="H12" s="681"/>
      <c r="I12" s="681"/>
      <c r="J12" s="681"/>
      <c r="K12" s="917"/>
      <c r="L12" s="926" t="str">
        <f>K12*1600</f>
        <v>0</v>
      </c>
      <c r="M12" s="927" t="str">
        <f>sum(M3:M11)</f>
        <v>30000</v>
      </c>
      <c r="N12" s="681"/>
      <c r="O12" s="681"/>
      <c r="P12" s="681"/>
      <c r="Q12" s="681"/>
      <c r="R12" s="681"/>
      <c r="S12" s="681"/>
      <c r="T12" s="681"/>
      <c r="U12" s="681"/>
      <c r="V12" s="681"/>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681"/>
      <c r="B13" s="681"/>
      <c r="C13" s="681"/>
      <c r="D13" s="681"/>
      <c r="E13" s="681"/>
      <c r="F13" s="681"/>
      <c r="G13" s="681"/>
      <c r="H13" s="681"/>
      <c r="I13" s="681"/>
      <c r="J13" s="681"/>
      <c r="K13" s="5"/>
      <c r="L13" s="681"/>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28"/>
      <c r="B14" s="928"/>
      <c r="C14" s="928"/>
      <c r="D14" s="928"/>
      <c r="E14" s="928"/>
      <c r="F14" s="928"/>
      <c r="G14" s="928"/>
      <c r="H14" s="928"/>
      <c r="I14" s="928"/>
      <c r="J14" s="928"/>
      <c r="K14" s="929"/>
      <c r="L14" s="929"/>
      <c r="M14" s="929"/>
      <c r="N14" s="929"/>
      <c r="O14" s="929"/>
      <c r="P14" s="929"/>
      <c r="Q14" s="929"/>
      <c r="R14" s="929"/>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681"/>
      <c r="B15" s="5"/>
      <c r="C15" s="5"/>
      <c r="D15" s="5"/>
      <c r="E15" s="5"/>
      <c r="F15" s="5"/>
      <c r="G15" s="5"/>
      <c r="H15" s="681"/>
      <c r="I15" s="681"/>
      <c r="J15" s="681"/>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681"/>
      <c r="B16" s="930" t="s">
        <v>1608</v>
      </c>
      <c r="I16" s="681"/>
      <c r="J16" s="681"/>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681"/>
      <c r="B17" s="931" t="str">
        <f>HYPERLINK("http://www.reddit.com/r/hearthstone/comments/1ua5c9/hearthstone_for_beginners_guide_and_resource/","Hearthstone Beginners Guide")</f>
        <v>Hearthstone Beginners Guide</v>
      </c>
      <c r="C17" s="5"/>
      <c r="D17" s="5"/>
      <c r="E17" s="5"/>
      <c r="F17" s="5"/>
      <c r="G17" s="5"/>
      <c r="H17" s="5"/>
      <c r="I17" s="681"/>
      <c r="J17" s="681"/>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681"/>
      <c r="B18" s="931" t="str">
        <f>HYPERLINK("http://www.reddit.com/r/hearthstone/comments/2kd0zr/hearthstone_intermediate_guide/","Hearthstone Intermediate Guide")</f>
        <v>Hearthstone Intermediate Guide</v>
      </c>
      <c r="C18" s="5"/>
      <c r="D18" s="5"/>
      <c r="E18" s="5"/>
      <c r="F18" s="5"/>
      <c r="G18" s="5"/>
      <c r="H18" s="5"/>
      <c r="I18" s="681"/>
      <c r="J18" s="681"/>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681"/>
      <c r="B19" s="932" t="str">
        <f>HYPERLINK("http://hearthstone.gamepedia.com/Advanced_rulebook#Health.2C_buffs_and_taking_damage","Advanced Card Interaction Rules")</f>
        <v>Advanced Card Interaction Rules</v>
      </c>
      <c r="C19" s="681"/>
      <c r="D19" s="681"/>
      <c r="E19" s="681"/>
      <c r="F19" s="681"/>
      <c r="G19" s="681"/>
      <c r="H19" s="681"/>
      <c r="I19" s="681"/>
      <c r="J19" s="681"/>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681"/>
      <c r="B20" s="932" t="str">
        <f>HYPERLINK("http://www.reddit.com/r/hearthstone/comments/2fn4r3/can_anyone_do_a_tldr_of_deck_types/ckavcwc","Deck Archtypes Explained")</f>
        <v>Deck Archtypes Explained</v>
      </c>
      <c r="C20" s="681"/>
      <c r="D20" s="681"/>
      <c r="E20" s="681"/>
      <c r="F20" s="681"/>
      <c r="G20" s="681"/>
      <c r="H20" s="681"/>
      <c r="I20" s="681"/>
      <c r="J20" s="681"/>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681"/>
      <c r="B21" s="933" t="str">
        <f>HYPERLINK("https://www.elie.net/blog/hearthstone/how-to-find-automatically-hearthstone-undervalued-cards","Hearthstone Card Appraisal Methodology (By Elie Burszsein)")</f>
        <v>Hearthstone Card Appraisal Methodology (By Elie Burszsein)</v>
      </c>
      <c r="I21" s="681"/>
      <c r="J21" s="681"/>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681"/>
      <c r="B22" s="934" t="str">
        <f>HYPERLINK("https://docs.google.com/spreadsheet/ccc?key=0AgQbrkzdzBU4dG9NbmtXakRpRHJrd19QNFZJM3VmWkE&amp;usp=sharing#gid=8","All Card Data in Spreadsheet Form")</f>
        <v>All Card Data in Spreadsheet Form</v>
      </c>
      <c r="I22" s="681"/>
      <c r="J22" s="681"/>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33" t="str">
        <f>HYPERLINK("http://hearthstonejson.com/","All Card Data in JSON Form")</f>
        <v>All Card Data in JSON Form</v>
      </c>
      <c r="I23" s="681"/>
      <c r="J23" s="681"/>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32" t="str">
        <f>HYPERLINK("https://docs.google.com/spreadsheets/d/1cImiE5AFmVvPdtvzbufIDVGwPbu2YMX9vuz-Kfkkq7Y/edit#gid=1932012075","All 3 Shredders Drop Guide Analysis")</f>
        <v>All 3 Shredders Drop Guide Analysis</v>
      </c>
      <c r="C24" s="681"/>
      <c r="D24" s="681"/>
      <c r="E24" s="681"/>
      <c r="F24" s="681"/>
      <c r="G24" s="681"/>
      <c r="H24" s="681"/>
      <c r="I24" s="681"/>
      <c r="J24" s="681"/>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35" t="str">
        <f>HYPERLINK("https://github.com/Epix37/Hearthstone-Deck-Tracker/releases","Hearthstone Deck Tracker")</f>
        <v>Hearthstone Deck Tracker</v>
      </c>
      <c r="C25" s="681"/>
      <c r="D25" s="681"/>
      <c r="E25" s="681"/>
      <c r="F25" s="681"/>
      <c r="G25" s="681"/>
      <c r="H25" s="681"/>
      <c r="I25" s="681"/>
      <c r="J25" s="681"/>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681"/>
      <c r="B26" s="681"/>
      <c r="C26" s="681"/>
      <c r="D26" s="681"/>
      <c r="E26" s="681"/>
      <c r="F26" s="681"/>
      <c r="G26" s="681"/>
      <c r="H26" s="681"/>
      <c r="I26" s="681"/>
      <c r="J26" s="681"/>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681"/>
      <c r="B27" s="681"/>
      <c r="C27" s="681"/>
      <c r="D27" s="681"/>
      <c r="E27" s="681"/>
      <c r="F27" s="681"/>
      <c r="G27" s="681"/>
      <c r="H27" s="681"/>
      <c r="I27" s="681"/>
      <c r="J27" s="681"/>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681"/>
      <c r="B28" s="410"/>
      <c r="C28" s="681"/>
      <c r="D28" s="681"/>
      <c r="E28" s="681"/>
      <c r="F28" s="681"/>
      <c r="G28" s="681"/>
      <c r="H28" s="681"/>
      <c r="I28" s="681"/>
      <c r="J28" s="681"/>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28"/>
      <c r="B29" s="928"/>
      <c r="C29" s="928"/>
      <c r="D29" s="928"/>
      <c r="E29" s="928"/>
      <c r="F29" s="928"/>
      <c r="G29" s="928"/>
      <c r="H29" s="928"/>
      <c r="I29" s="928"/>
      <c r="J29" s="928"/>
      <c r="K29" s="929"/>
      <c r="L29" s="929"/>
      <c r="M29" s="929"/>
      <c r="N29" s="929"/>
      <c r="O29" s="929"/>
      <c r="P29" s="929"/>
      <c r="Q29" s="929"/>
      <c r="R29" s="929"/>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681"/>
      <c r="B30" s="936"/>
      <c r="C30" s="937"/>
      <c r="D30" s="937"/>
      <c r="E30" s="937"/>
      <c r="F30" s="937"/>
      <c r="G30" s="937"/>
      <c r="H30" s="937"/>
      <c r="I30" s="937"/>
      <c r="J30" s="937"/>
      <c r="K30" s="835"/>
      <c r="L30" s="835"/>
      <c r="M30" s="835"/>
      <c r="N30" s="835"/>
      <c r="O30" s="835"/>
      <c r="P30" s="835"/>
      <c r="Q30" s="835"/>
      <c r="R30" s="681"/>
      <c r="S30" s="681"/>
      <c r="T30" s="681"/>
      <c r="U30" s="681"/>
      <c r="V30" s="681"/>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17"/>
      <c r="B31" s="938" t="str">
        <f>Summary!N4</f>
        <v>To Get A New Card You Should Buy - - - &gt;   </v>
      </c>
      <c r="F31" s="144"/>
      <c r="G31" s="938" t="str">
        <f>Summary!W4</f>
        <v>GvG Card Packs</v>
      </c>
      <c r="K31" s="144"/>
      <c r="L31" s="939" t="s">
        <v>1609</v>
      </c>
      <c r="M31" s="144"/>
      <c r="N31" s="939" t="s">
        <v>1610</v>
      </c>
      <c r="O31" s="144"/>
      <c r="P31" s="939" t="s">
        <v>1611</v>
      </c>
      <c r="Q31" s="144"/>
      <c r="R31" s="681"/>
      <c r="S31" s="681"/>
      <c r="T31" s="681"/>
      <c r="U31" s="681"/>
      <c r="V31" s="681"/>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17"/>
      <c r="B32" s="37"/>
      <c r="C32" s="37"/>
      <c r="D32" s="37"/>
      <c r="E32" s="37"/>
      <c r="F32" s="38"/>
      <c r="G32" s="37"/>
      <c r="H32" s="37"/>
      <c r="I32" s="37"/>
      <c r="J32" s="37"/>
      <c r="K32" s="38"/>
      <c r="L32" s="37"/>
      <c r="M32" s="38"/>
      <c r="N32" s="37"/>
      <c r="O32" s="38"/>
      <c r="P32" s="37"/>
      <c r="Q32" s="38"/>
      <c r="R32" s="681"/>
      <c r="S32" s="681"/>
      <c r="T32" s="681"/>
      <c r="U32" s="681"/>
      <c r="V32" s="681"/>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17"/>
      <c r="B33" s="940" t="str">
        <f>Summary!N6</f>
        <v>Standard Pack Values:</v>
      </c>
      <c r="C33" s="37"/>
      <c r="D33" s="38"/>
      <c r="E33" s="941" t="str">
        <f>Summary!R6</f>
        <v>86.98</v>
      </c>
      <c r="F33" s="942" t="str">
        <f>Summary!T6</f>
        <v>Classic:</v>
      </c>
      <c r="G33" s="38"/>
      <c r="H33" s="943" t="str">
        <f>Summary!W6</f>
        <v>172.8</v>
      </c>
      <c r="I33" s="944" t="str">
        <f>Summary!X6</f>
        <v>GvG:</v>
      </c>
      <c r="J33" s="38"/>
      <c r="K33" s="945" t="str">
        <f>Summary!Z6</f>
        <v>198.3</v>
      </c>
      <c r="L33" s="946" t="s">
        <v>33</v>
      </c>
      <c r="M33" s="947" t="s">
        <v>35</v>
      </c>
      <c r="N33" s="946" t="s">
        <v>33</v>
      </c>
      <c r="O33" s="947" t="s">
        <v>35</v>
      </c>
      <c r="P33" s="948"/>
      <c r="Q33" s="949"/>
      <c r="R33" s="681"/>
      <c r="S33" s="681"/>
      <c r="T33" s="681"/>
      <c r="U33" s="681"/>
      <c r="V33" s="681"/>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17"/>
      <c r="B34" s="950" t="str">
        <f>Summary!N7</f>
        <v/>
      </c>
      <c r="C34" s="950" t="str">
        <f>Summary!O7</f>
        <v>Chance</v>
      </c>
      <c r="D34" s="950" t="str">
        <f>Summary!Q7</f>
        <v>Total Value</v>
      </c>
      <c r="E34" s="950" t="str">
        <f>Summary!R7</f>
        <v>D/E Value</v>
      </c>
      <c r="F34" s="951" t="str">
        <f>Summary!T7</f>
        <v>#</v>
      </c>
      <c r="G34" s="952" t="str">
        <f>Summary!U7</f>
        <v>Missing Cards</v>
      </c>
      <c r="H34" s="38"/>
      <c r="I34" s="953" t="str">
        <f>Summary!X7</f>
        <v>#</v>
      </c>
      <c r="J34" s="954" t="str">
        <f>Summary!Y7</f>
        <v>Missing Cards</v>
      </c>
      <c r="K34" s="38"/>
      <c r="L34" s="38"/>
      <c r="M34" s="38"/>
      <c r="N34" s="38"/>
      <c r="O34" s="38"/>
      <c r="P34" s="38"/>
      <c r="Q34" s="38"/>
      <c r="R34" s="681"/>
      <c r="S34" s="681"/>
      <c r="T34" s="681"/>
      <c r="U34" s="681"/>
      <c r="V34" s="681"/>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17"/>
      <c r="B35" s="950" t="str">
        <f>Summary!N8</f>
        <v>Common</v>
      </c>
      <c r="C35" s="950" t="str">
        <f>Summary!O8</f>
        <v>71.41%</v>
      </c>
      <c r="D35" s="955" t="str">
        <f>Summary!Q8</f>
        <v>40</v>
      </c>
      <c r="E35" s="955" t="str">
        <f>Summary!R8</f>
        <v>5</v>
      </c>
      <c r="F35" s="956" t="str">
        <f>Summary!T8</f>
        <v>188</v>
      </c>
      <c r="G35" s="956" t="str">
        <f>Summary!U8</f>
        <v>3</v>
      </c>
      <c r="H35" s="956" t="str">
        <f>Summary!W8</f>
        <v/>
      </c>
      <c r="I35" s="953" t="str">
        <f>Summary!X8</f>
        <v>8000.00%</v>
      </c>
      <c r="J35" s="953" t="str">
        <f>Summary!Y8</f>
        <v>100.00%</v>
      </c>
      <c r="K35" s="953" t="str">
        <f>Summary!Z8</f>
        <v>388.27%</v>
      </c>
      <c r="L35" s="957" t="str">
        <f t="shared" ref="L35:L38" si="1">G35/F35*C35</f>
        <v>1.14%</v>
      </c>
      <c r="M35" s="958" t="str">
        <f t="shared" ref="M35:M38" si="2">J35/I35*C35</f>
        <v>0.89%</v>
      </c>
      <c r="N35" s="957" t="str">
        <f t="shared" ref="N35:N38" si="3">(G35/F35*C35)*5</f>
        <v>5.70%</v>
      </c>
      <c r="O35" s="958" t="str">
        <f t="shared" ref="O35:O38" si="4">(J35/I35*C35)*5</f>
        <v>4.46%</v>
      </c>
      <c r="P35" s="959"/>
      <c r="Q35" s="960"/>
      <c r="R35" s="681"/>
      <c r="S35" s="681"/>
      <c r="T35" s="681"/>
      <c r="U35" s="681"/>
      <c r="V35" s="681"/>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17"/>
      <c r="B36" s="950" t="str">
        <f>Summary!N9</f>
        <v>Rare</v>
      </c>
      <c r="C36" s="950" t="str">
        <f>Summary!O9</f>
        <v>22.91%</v>
      </c>
      <c r="D36" s="955" t="str">
        <f>Summary!Q9</f>
        <v>100</v>
      </c>
      <c r="E36" s="955" t="str">
        <f>Summary!R9</f>
        <v>20</v>
      </c>
      <c r="F36" s="956" t="str">
        <f>Summary!T9</f>
        <v>162</v>
      </c>
      <c r="G36" s="956" t="str">
        <f>Summary!U9</f>
        <v>23</v>
      </c>
      <c r="H36" s="956" t="str">
        <f>Summary!W9</f>
        <v/>
      </c>
      <c r="I36" s="953" t="str">
        <f>Summary!X9</f>
        <v>7400.00%</v>
      </c>
      <c r="J36" s="953" t="str">
        <f>Summary!Y9</f>
        <v>1500.00%</v>
      </c>
      <c r="K36" s="953" t="str">
        <f>Summary!Z9</f>
        <v>829.74%</v>
      </c>
      <c r="L36" s="957" t="str">
        <f t="shared" si="1"/>
        <v>3.25%</v>
      </c>
      <c r="M36" s="958" t="str">
        <f t="shared" si="2"/>
        <v>4.64%</v>
      </c>
      <c r="N36" s="957" t="str">
        <f t="shared" si="3"/>
        <v>16.26%</v>
      </c>
      <c r="O36" s="958" t="str">
        <f t="shared" si="4"/>
        <v>23.22%</v>
      </c>
      <c r="P36" s="959"/>
      <c r="Q36" s="960"/>
      <c r="R36" s="681"/>
      <c r="S36" s="681"/>
      <c r="T36" s="681"/>
      <c r="U36" s="681"/>
      <c r="V36" s="681"/>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17"/>
      <c r="B37" s="950" t="str">
        <f>Summary!N10</f>
        <v>Epic</v>
      </c>
      <c r="C37" s="950" t="str">
        <f>Summary!O10</f>
        <v>4.49%</v>
      </c>
      <c r="D37" s="955" t="str">
        <f>Summary!Q10</f>
        <v>400</v>
      </c>
      <c r="E37" s="955" t="str">
        <f>Summary!R10</f>
        <v>100</v>
      </c>
      <c r="F37" s="956" t="str">
        <f>Summary!T10</f>
        <v>74</v>
      </c>
      <c r="G37" s="956" t="str">
        <f>Summary!U10</f>
        <v>35</v>
      </c>
      <c r="H37" s="956" t="str">
        <f>Summary!W10</f>
        <v/>
      </c>
      <c r="I37" s="953" t="str">
        <f>Summary!X10</f>
        <v>5200.00%</v>
      </c>
      <c r="J37" s="953" t="str">
        <f>Summary!Y10</f>
        <v>2900.00%</v>
      </c>
      <c r="K37" s="953" t="str">
        <f>Summary!Z10</f>
        <v>1201.51%</v>
      </c>
      <c r="L37" s="957" t="str">
        <f t="shared" si="1"/>
        <v>2.13%</v>
      </c>
      <c r="M37" s="958" t="str">
        <f t="shared" si="2"/>
        <v>2.51%</v>
      </c>
      <c r="N37" s="957" t="str">
        <f t="shared" si="3"/>
        <v>10.63%</v>
      </c>
      <c r="O37" s="958" t="str">
        <f t="shared" si="4"/>
        <v>12.53%</v>
      </c>
      <c r="P37" s="959"/>
      <c r="Q37" s="960"/>
      <c r="R37" s="681"/>
      <c r="S37" s="681"/>
      <c r="T37" s="681"/>
      <c r="U37" s="681"/>
      <c r="V37" s="681"/>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17"/>
      <c r="B38" s="950" t="str">
        <f>Summary!N11</f>
        <v>Legendary</v>
      </c>
      <c r="C38" s="950" t="str">
        <f>Summary!O11</f>
        <v>1.19%</v>
      </c>
      <c r="D38" s="955" t="str">
        <f>Summary!Q11</f>
        <v>1,600</v>
      </c>
      <c r="E38" s="955" t="str">
        <f>Summary!R11</f>
        <v>400</v>
      </c>
      <c r="F38" s="956" t="str">
        <f>Summary!T11</f>
        <v>33</v>
      </c>
      <c r="G38" s="956" t="str">
        <f>Summary!U11</f>
        <v>18</v>
      </c>
      <c r="H38" s="956" t="str">
        <f>Summary!W11</f>
        <v/>
      </c>
      <c r="I38" s="953" t="str">
        <f>Summary!X11</f>
        <v>2000.00%</v>
      </c>
      <c r="J38" s="953" t="str">
        <f>Summary!Y11</f>
        <v>1500.00%</v>
      </c>
      <c r="K38" s="953" t="str">
        <f>Summary!Z11</f>
        <v>1545.76%</v>
      </c>
      <c r="L38" s="957" t="str">
        <f t="shared" si="1"/>
        <v>0.65%</v>
      </c>
      <c r="M38" s="958" t="str">
        <f t="shared" si="2"/>
        <v>0.89%</v>
      </c>
      <c r="N38" s="957" t="str">
        <f t="shared" si="3"/>
        <v>3.24%</v>
      </c>
      <c r="O38" s="958" t="str">
        <f t="shared" si="4"/>
        <v>4.46%</v>
      </c>
      <c r="P38" s="959"/>
      <c r="Q38" s="960"/>
      <c r="R38" s="681"/>
      <c r="S38" s="681"/>
      <c r="T38" s="681"/>
      <c r="U38" s="681"/>
      <c r="V38" s="681"/>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681"/>
      <c r="B39" s="961"/>
      <c r="C39" s="423"/>
      <c r="D39" s="423"/>
      <c r="E39" s="423"/>
      <c r="F39" s="962" t="s">
        <v>1612</v>
      </c>
      <c r="K39" s="144"/>
      <c r="L39" s="957" t="str">
        <f t="shared" ref="L39:O39" si="5">(L37+L38)-(L37*L38)</f>
        <v>2.76%</v>
      </c>
      <c r="M39" s="958" t="str">
        <f t="shared" si="5"/>
        <v>3.38%</v>
      </c>
      <c r="N39" s="957" t="str">
        <f t="shared" si="5"/>
        <v>13.53%</v>
      </c>
      <c r="O39" s="958" t="str">
        <f t="shared" si="5"/>
        <v>16.43%</v>
      </c>
      <c r="P39" s="963" t="str">
        <f t="shared" ref="P39:Q39" si="6">100/(N39*100)</f>
        <v>7.39</v>
      </c>
      <c r="Q39" s="964" t="str">
        <f t="shared" si="6"/>
        <v>6.09</v>
      </c>
      <c r="R39" s="681"/>
      <c r="S39" s="681"/>
      <c r="T39" s="681"/>
      <c r="U39" s="681"/>
      <c r="V39" s="681"/>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681"/>
      <c r="B40" s="965"/>
      <c r="C40" s="423"/>
      <c r="D40" s="423"/>
      <c r="E40" s="423"/>
      <c r="F40" s="423"/>
      <c r="G40" s="423"/>
      <c r="H40" s="423"/>
      <c r="I40" s="423"/>
      <c r="J40" s="423"/>
      <c r="K40" s="681"/>
      <c r="L40" s="681"/>
      <c r="M40" s="681"/>
      <c r="N40" s="681"/>
      <c r="O40" s="681"/>
      <c r="P40" s="681"/>
      <c r="Q40" s="681"/>
      <c r="R40" s="681"/>
      <c r="S40" s="681"/>
      <c r="T40" s="681"/>
      <c r="U40" s="681"/>
      <c r="V40" s="681"/>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28"/>
      <c r="B41" s="966"/>
      <c r="C41" s="967"/>
      <c r="D41" s="967"/>
      <c r="E41" s="967"/>
      <c r="F41" s="967"/>
      <c r="G41" s="967"/>
      <c r="H41" s="967"/>
      <c r="I41" s="967"/>
      <c r="J41" s="967"/>
      <c r="K41" s="928"/>
      <c r="L41" s="928"/>
      <c r="M41" s="928"/>
      <c r="N41" s="928"/>
      <c r="O41" s="928"/>
      <c r="P41" s="928"/>
      <c r="Q41" s="928"/>
      <c r="R41" s="928"/>
      <c r="S41" s="681"/>
      <c r="T41" s="681"/>
      <c r="U41" s="681"/>
      <c r="V41" s="681"/>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681"/>
      <c r="B42" s="936"/>
      <c r="C42" s="937"/>
      <c r="D42" s="937"/>
      <c r="E42" s="937"/>
      <c r="F42" s="937"/>
      <c r="G42" s="937"/>
      <c r="H42" s="937"/>
      <c r="I42" s="423"/>
      <c r="J42" s="423"/>
      <c r="K42" s="681"/>
      <c r="L42" s="681"/>
      <c r="M42" s="681"/>
      <c r="N42" s="681"/>
      <c r="O42" s="681"/>
      <c r="P42" s="681"/>
      <c r="Q42" s="681"/>
      <c r="R42" s="681"/>
      <c r="S42" s="681"/>
      <c r="T42" s="681"/>
      <c r="U42" s="681"/>
      <c r="V42" s="681"/>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17"/>
      <c r="B43" s="968" t="s">
        <v>1613</v>
      </c>
      <c r="C43" s="37"/>
      <c r="D43" s="37"/>
      <c r="E43" s="37"/>
      <c r="F43" s="37"/>
      <c r="G43" s="37"/>
      <c r="H43" s="38"/>
      <c r="I43" s="423"/>
      <c r="J43" s="423"/>
      <c r="K43" s="681"/>
      <c r="L43" s="969" t="str">
        <f>1/0.7777*5</f>
        <v>6.42921435</v>
      </c>
      <c r="M43" s="681"/>
      <c r="N43" s="681"/>
      <c r="O43" s="681"/>
      <c r="P43" s="681"/>
      <c r="Q43" s="681"/>
      <c r="R43" s="681"/>
      <c r="S43" s="681"/>
      <c r="T43" s="681"/>
      <c r="U43" s="681"/>
      <c r="V43" s="681"/>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17"/>
      <c r="B44" s="970" t="str">
        <f>HYPERLINK("http://www.hearthhead.com/quests","Source")</f>
        <v>Source</v>
      </c>
      <c r="C44" s="37"/>
      <c r="D44" s="37"/>
      <c r="E44" s="38"/>
      <c r="F44" s="971" t="s">
        <v>1614</v>
      </c>
      <c r="G44" s="971" t="s">
        <v>1615</v>
      </c>
      <c r="H44" s="972" t="s">
        <v>1616</v>
      </c>
      <c r="I44" s="423"/>
      <c r="J44" s="423"/>
      <c r="K44" s="681"/>
      <c r="L44" s="681"/>
      <c r="M44" s="681"/>
      <c r="N44" s="681"/>
      <c r="O44" s="681"/>
      <c r="P44" s="681"/>
      <c r="Q44" s="681"/>
      <c r="R44" s="681"/>
      <c r="S44" s="681"/>
      <c r="T44" s="681"/>
      <c r="U44" s="681"/>
      <c r="V44" s="681"/>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17"/>
      <c r="B45" s="973" t="s">
        <v>1617</v>
      </c>
      <c r="C45" s="106"/>
      <c r="D45" s="106"/>
      <c r="E45" s="107"/>
      <c r="F45" s="974">
        <v>0.13</v>
      </c>
      <c r="G45" s="975">
        <v>40.0</v>
      </c>
      <c r="H45" s="976" t="str">
        <f t="shared" ref="H45:H70" si="7">F45*G45</f>
        <v>5.2</v>
      </c>
      <c r="I45" s="423"/>
      <c r="J45" s="423"/>
      <c r="K45" s="681"/>
      <c r="L45" s="681"/>
      <c r="M45" s="681"/>
      <c r="N45" s="681"/>
      <c r="O45" s="681"/>
      <c r="P45" s="681"/>
      <c r="Q45" s="681"/>
      <c r="R45" s="681"/>
      <c r="S45" s="681"/>
      <c r="T45" s="681"/>
      <c r="U45" s="681"/>
      <c r="V45" s="681"/>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17"/>
      <c r="B46" s="977" t="s">
        <v>1618</v>
      </c>
      <c r="C46" s="37"/>
      <c r="D46" s="37"/>
      <c r="E46" s="38"/>
      <c r="F46" s="978">
        <v>0.043</v>
      </c>
      <c r="G46" s="979">
        <v>40.0</v>
      </c>
      <c r="H46" s="980" t="str">
        <f t="shared" si="7"/>
        <v>1.72</v>
      </c>
      <c r="I46" s="423"/>
      <c r="J46" s="423"/>
      <c r="K46" s="681"/>
      <c r="L46" s="681"/>
      <c r="M46" s="681"/>
      <c r="N46" s="681"/>
      <c r="O46" s="681"/>
      <c r="P46" s="681"/>
      <c r="Q46" s="681"/>
      <c r="R46" s="681"/>
      <c r="S46" s="681"/>
      <c r="T46" s="681"/>
      <c r="U46" s="681"/>
      <c r="V46" s="681"/>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17"/>
      <c r="B47" s="977" t="s">
        <v>1619</v>
      </c>
      <c r="C47" s="37"/>
      <c r="D47" s="37"/>
      <c r="E47" s="38"/>
      <c r="F47" s="978">
        <v>0.043</v>
      </c>
      <c r="G47" s="979">
        <v>40.0</v>
      </c>
      <c r="H47" s="980" t="str">
        <f t="shared" si="7"/>
        <v>1.72</v>
      </c>
      <c r="I47" s="423"/>
      <c r="J47" s="423"/>
      <c r="K47" s="681"/>
      <c r="L47" s="681"/>
      <c r="M47" s="681"/>
      <c r="N47" s="681"/>
      <c r="O47" s="681"/>
      <c r="P47" s="681"/>
      <c r="Q47" s="681"/>
      <c r="R47" s="681"/>
      <c r="S47" s="681"/>
      <c r="T47" s="681"/>
      <c r="U47" s="681"/>
      <c r="V47" s="681"/>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17"/>
      <c r="B48" s="977" t="s">
        <v>1620</v>
      </c>
      <c r="C48" s="37"/>
      <c r="D48" s="37"/>
      <c r="E48" s="38"/>
      <c r="F48" s="978">
        <v>0.043</v>
      </c>
      <c r="G48" s="979">
        <v>40.0</v>
      </c>
      <c r="H48" s="980" t="str">
        <f t="shared" si="7"/>
        <v>1.72</v>
      </c>
      <c r="I48" s="423"/>
      <c r="J48" s="423"/>
      <c r="K48" s="681"/>
      <c r="L48" s="681"/>
      <c r="M48" s="681"/>
      <c r="N48" s="681"/>
      <c r="O48" s="681"/>
      <c r="P48" s="681"/>
      <c r="Q48" s="681"/>
      <c r="R48" s="681"/>
      <c r="S48" s="681"/>
      <c r="T48" s="681"/>
      <c r="U48" s="681"/>
      <c r="V48" s="681"/>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17"/>
      <c r="B49" s="977" t="s">
        <v>1621</v>
      </c>
      <c r="C49" s="37"/>
      <c r="D49" s="37"/>
      <c r="E49" s="38"/>
      <c r="F49" s="978">
        <v>0.043</v>
      </c>
      <c r="G49" s="979">
        <v>40.0</v>
      </c>
      <c r="H49" s="980" t="str">
        <f t="shared" si="7"/>
        <v>1.72</v>
      </c>
      <c r="I49" s="423"/>
      <c r="J49" s="423"/>
      <c r="K49" s="681"/>
      <c r="L49" s="681"/>
      <c r="M49" s="681"/>
      <c r="N49" s="681"/>
      <c r="O49" s="681"/>
      <c r="P49" s="681"/>
      <c r="Q49" s="681"/>
      <c r="R49" s="681"/>
      <c r="S49" s="681"/>
      <c r="T49" s="681"/>
      <c r="U49" s="681"/>
      <c r="V49" s="681"/>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17"/>
      <c r="B50" s="977" t="s">
        <v>1622</v>
      </c>
      <c r="C50" s="37"/>
      <c r="D50" s="37"/>
      <c r="E50" s="38"/>
      <c r="F50" s="978">
        <v>0.043</v>
      </c>
      <c r="G50" s="979">
        <v>40.0</v>
      </c>
      <c r="H50" s="980" t="str">
        <f t="shared" si="7"/>
        <v>1.72</v>
      </c>
      <c r="I50" s="423"/>
      <c r="J50" s="423"/>
      <c r="K50" s="681"/>
      <c r="L50" s="5"/>
      <c r="M50" s="5"/>
      <c r="N50" s="5"/>
      <c r="O50" s="5"/>
      <c r="P50" s="5"/>
      <c r="Q50" s="5"/>
      <c r="R50" s="5"/>
      <c r="S50" s="681"/>
      <c r="T50" s="681"/>
      <c r="U50" s="681"/>
      <c r="V50" s="681"/>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17"/>
      <c r="B51" s="981" t="s">
        <v>1623</v>
      </c>
      <c r="C51" s="37"/>
      <c r="D51" s="37"/>
      <c r="E51" s="38"/>
      <c r="F51" s="978">
        <v>0.043</v>
      </c>
      <c r="G51" s="982">
        <v>40.0</v>
      </c>
      <c r="H51" s="980"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981" t="s">
        <v>1624</v>
      </c>
      <c r="C52" s="37"/>
      <c r="D52" s="37"/>
      <c r="E52" s="38"/>
      <c r="F52" s="978">
        <v>0.043</v>
      </c>
      <c r="G52" s="983">
        <v>40.0</v>
      </c>
      <c r="H52" s="980"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981" t="s">
        <v>1625</v>
      </c>
      <c r="C53" s="37"/>
      <c r="D53" s="37"/>
      <c r="E53" s="38"/>
      <c r="F53" s="978">
        <v>0.043</v>
      </c>
      <c r="G53" s="983">
        <v>40.0</v>
      </c>
      <c r="H53" s="980"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984" t="s">
        <v>1626</v>
      </c>
      <c r="C54" s="37"/>
      <c r="D54" s="37"/>
      <c r="E54" s="38"/>
      <c r="F54" s="978">
        <v>0.043</v>
      </c>
      <c r="G54" s="985">
        <v>40.0</v>
      </c>
      <c r="H54" s="980" t="str">
        <f t="shared" si="7"/>
        <v>1.72</v>
      </c>
      <c r="I54" s="681"/>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984" t="s">
        <v>1627</v>
      </c>
      <c r="C55" s="37"/>
      <c r="D55" s="37"/>
      <c r="E55" s="38"/>
      <c r="F55" s="978">
        <v>0.043</v>
      </c>
      <c r="G55" s="985">
        <v>40.0</v>
      </c>
      <c r="H55" s="980" t="str">
        <f t="shared" si="7"/>
        <v>1.72</v>
      </c>
      <c r="I55" s="681"/>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981" t="s">
        <v>1628</v>
      </c>
      <c r="C56" s="37"/>
      <c r="D56" s="37"/>
      <c r="E56" s="38"/>
      <c r="F56" s="978">
        <v>0.043</v>
      </c>
      <c r="G56" s="985">
        <v>40.0</v>
      </c>
      <c r="H56" s="980"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981" t="s">
        <v>1629</v>
      </c>
      <c r="C57" s="37"/>
      <c r="D57" s="37"/>
      <c r="E57" s="38"/>
      <c r="F57" s="978">
        <v>0.022</v>
      </c>
      <c r="G57" s="985">
        <v>60.0</v>
      </c>
      <c r="H57" s="980"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981" t="s">
        <v>1630</v>
      </c>
      <c r="C58" s="37"/>
      <c r="D58" s="37"/>
      <c r="E58" s="38"/>
      <c r="F58" s="978">
        <v>0.022</v>
      </c>
      <c r="G58" s="983">
        <v>60.0</v>
      </c>
      <c r="H58" s="980"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981" t="s">
        <v>1631</v>
      </c>
      <c r="C59" s="37"/>
      <c r="D59" s="37"/>
      <c r="E59" s="38"/>
      <c r="F59" s="978">
        <v>0.022</v>
      </c>
      <c r="G59" s="983">
        <v>60.0</v>
      </c>
      <c r="H59" s="980"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981" t="s">
        <v>1632</v>
      </c>
      <c r="C60" s="37"/>
      <c r="D60" s="37"/>
      <c r="E60" s="38"/>
      <c r="F60" s="978">
        <v>0.022</v>
      </c>
      <c r="G60" s="983">
        <v>60.0</v>
      </c>
      <c r="H60" s="980"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981" t="s">
        <v>1633</v>
      </c>
      <c r="C61" s="37"/>
      <c r="D61" s="37"/>
      <c r="E61" s="38"/>
      <c r="F61" s="978">
        <v>0.022</v>
      </c>
      <c r="G61" s="983">
        <v>40.0</v>
      </c>
      <c r="H61" s="980"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17"/>
      <c r="B62" s="984" t="s">
        <v>1634</v>
      </c>
      <c r="C62" s="37"/>
      <c r="D62" s="37"/>
      <c r="E62" s="38"/>
      <c r="F62" s="978">
        <v>0.022</v>
      </c>
      <c r="G62" s="983">
        <v>60.0</v>
      </c>
      <c r="H62" s="980" t="str">
        <f t="shared" si="7"/>
        <v>1.32</v>
      </c>
      <c r="I62" s="681"/>
      <c r="J62" s="681"/>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17"/>
      <c r="B63" s="984" t="s">
        <v>1635</v>
      </c>
      <c r="C63" s="37"/>
      <c r="D63" s="37"/>
      <c r="E63" s="38"/>
      <c r="F63" s="978">
        <v>0.022</v>
      </c>
      <c r="G63" s="983">
        <v>60.0</v>
      </c>
      <c r="H63" s="980" t="str">
        <f t="shared" si="7"/>
        <v>1.32</v>
      </c>
      <c r="I63" s="681"/>
      <c r="J63" s="681"/>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17"/>
      <c r="B64" s="984" t="s">
        <v>1636</v>
      </c>
      <c r="C64" s="37"/>
      <c r="D64" s="37"/>
      <c r="E64" s="38"/>
      <c r="F64" s="978">
        <v>0.022</v>
      </c>
      <c r="G64" s="983">
        <v>60.0</v>
      </c>
      <c r="H64" s="980" t="str">
        <f t="shared" si="7"/>
        <v>1.32</v>
      </c>
      <c r="I64" s="681"/>
      <c r="J64" s="681"/>
      <c r="K64" s="5"/>
      <c r="L64" s="5"/>
      <c r="M64" s="5"/>
      <c r="N64" s="5"/>
      <c r="O64" s="5"/>
      <c r="P64" s="5"/>
      <c r="Q64" s="5"/>
      <c r="R64" s="681"/>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17"/>
      <c r="B65" s="984" t="s">
        <v>1637</v>
      </c>
      <c r="C65" s="37"/>
      <c r="D65" s="37"/>
      <c r="E65" s="38"/>
      <c r="F65" s="978">
        <v>0.022</v>
      </c>
      <c r="G65" s="983">
        <v>60.0</v>
      </c>
      <c r="H65" s="980" t="str">
        <f t="shared" si="7"/>
        <v>1.32</v>
      </c>
      <c r="I65" s="681"/>
      <c r="J65" s="681"/>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17"/>
      <c r="B66" s="984" t="s">
        <v>1638</v>
      </c>
      <c r="C66" s="37"/>
      <c r="D66" s="37"/>
      <c r="E66" s="38"/>
      <c r="F66" s="978">
        <v>0.022</v>
      </c>
      <c r="G66" s="983">
        <v>60.0</v>
      </c>
      <c r="H66" s="980" t="str">
        <f t="shared" si="7"/>
        <v>1.32</v>
      </c>
      <c r="I66" s="681"/>
      <c r="J66" s="681"/>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17"/>
      <c r="B67" s="984" t="s">
        <v>1639</v>
      </c>
      <c r="C67" s="37"/>
      <c r="D67" s="37"/>
      <c r="E67" s="38"/>
      <c r="F67" s="978">
        <v>0.043</v>
      </c>
      <c r="G67" s="983">
        <v>40.0</v>
      </c>
      <c r="H67" s="980" t="str">
        <f t="shared" si="7"/>
        <v>1.72</v>
      </c>
      <c r="I67" s="681"/>
      <c r="J67" s="681"/>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17"/>
      <c r="B68" s="984" t="s">
        <v>1640</v>
      </c>
      <c r="C68" s="37"/>
      <c r="D68" s="37"/>
      <c r="E68" s="38"/>
      <c r="F68" s="978">
        <v>0.043</v>
      </c>
      <c r="G68" s="983">
        <v>40.0</v>
      </c>
      <c r="H68" s="980" t="str">
        <f t="shared" si="7"/>
        <v>1.72</v>
      </c>
      <c r="I68" s="681"/>
      <c r="J68" s="681"/>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17"/>
      <c r="B69" s="984" t="s">
        <v>1641</v>
      </c>
      <c r="C69" s="37"/>
      <c r="D69" s="37"/>
      <c r="E69" s="38"/>
      <c r="F69" s="978">
        <v>0.022</v>
      </c>
      <c r="G69" s="983">
        <v>100.0</v>
      </c>
      <c r="H69" s="980" t="str">
        <f t="shared" si="7"/>
        <v>2.2</v>
      </c>
      <c r="I69" s="681"/>
      <c r="J69" s="681"/>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17"/>
      <c r="B70" s="984" t="s">
        <v>1642</v>
      </c>
      <c r="C70" s="37"/>
      <c r="D70" s="37"/>
      <c r="E70" s="38"/>
      <c r="F70" s="978">
        <v>0.043</v>
      </c>
      <c r="G70" s="983">
        <v>100.0</v>
      </c>
      <c r="H70" s="980" t="str">
        <f t="shared" si="7"/>
        <v>4.3</v>
      </c>
      <c r="I70" s="681"/>
      <c r="J70" s="681"/>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681"/>
      <c r="B71" s="410"/>
      <c r="C71" s="410"/>
      <c r="D71" s="410"/>
      <c r="E71" s="410"/>
      <c r="F71" s="413"/>
      <c r="G71" s="986" t="s">
        <v>1643</v>
      </c>
      <c r="H71" s="980"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681"/>
      <c r="B72" s="681"/>
      <c r="C72" s="681"/>
      <c r="D72" s="681"/>
      <c r="E72" s="681"/>
      <c r="F72" s="681"/>
      <c r="G72" s="5"/>
      <c r="H72" s="681"/>
      <c r="I72" s="681"/>
      <c r="J72" s="681"/>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28"/>
      <c r="B73" s="928"/>
      <c r="C73" s="928"/>
      <c r="D73" s="928"/>
      <c r="E73" s="928"/>
      <c r="F73" s="928"/>
      <c r="G73" s="929"/>
      <c r="H73" s="928"/>
      <c r="I73" s="928"/>
      <c r="J73" s="928"/>
      <c r="K73" s="929"/>
      <c r="L73" s="929"/>
      <c r="M73" s="929"/>
      <c r="N73" s="929"/>
      <c r="O73" s="929"/>
      <c r="P73" s="929"/>
      <c r="Q73" s="929"/>
      <c r="R73" s="929"/>
      <c r="S73" s="929"/>
      <c r="T73" s="929"/>
      <c r="U73" s="929"/>
      <c r="V73" s="929"/>
      <c r="W73" s="929"/>
      <c r="X73" s="929"/>
      <c r="Y73" s="929"/>
      <c r="Z73" s="929"/>
      <c r="AA73" s="929"/>
      <c r="AB73" s="929"/>
      <c r="AC73" s="929"/>
      <c r="AD73" s="929"/>
      <c r="AE73" s="929"/>
      <c r="AF73" s="929"/>
      <c r="AG73" s="929"/>
      <c r="AH73" s="929"/>
      <c r="AI73" s="929"/>
      <c r="AJ73" s="929"/>
      <c r="AK73" s="929"/>
      <c r="AL73" s="929"/>
      <c r="AM73" s="929"/>
      <c r="AN73" s="929"/>
      <c r="AO73" s="929"/>
      <c r="AP73" s="929"/>
      <c r="AQ73" s="929"/>
      <c r="AR73" s="929"/>
      <c r="AS73" s="929"/>
      <c r="AT73" s="929"/>
      <c r="AU73" s="929"/>
      <c r="AV73" s="929"/>
      <c r="AW73" s="929"/>
      <c r="AX73" s="929"/>
      <c r="AY73" s="929"/>
      <c r="AZ73" s="929"/>
      <c r="BA73" s="929"/>
      <c r="BB73" s="929"/>
      <c r="BC73" s="14"/>
    </row>
    <row r="74">
      <c r="A74" s="681"/>
      <c r="B74" s="835"/>
      <c r="C74" s="835"/>
      <c r="D74" s="835"/>
      <c r="E74" s="835"/>
      <c r="F74" s="835"/>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17"/>
      <c r="B75" s="987" t="s">
        <v>1644</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17"/>
      <c r="B76" s="988" t="s">
        <v>1645</v>
      </c>
      <c r="C76" s="988" t="s">
        <v>1646</v>
      </c>
      <c r="D76" s="988" t="s">
        <v>1647</v>
      </c>
      <c r="E76" s="988" t="s">
        <v>38</v>
      </c>
      <c r="F76" s="988" t="s">
        <v>108</v>
      </c>
      <c r="G76" s="989" t="s">
        <v>1648</v>
      </c>
      <c r="H76" s="989" t="s">
        <v>1649</v>
      </c>
      <c r="I76" s="989" t="s">
        <v>1650</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990">
        <v>0.0</v>
      </c>
      <c r="C77" s="991" t="str">
        <f t="shared" ref="C77:C101" si="8">-150+E77+(F77*0.918)+(G77*100)+((H77*115.47)*0.918)+((I77*17.4)*0.918)</f>
        <v>-24.30</v>
      </c>
      <c r="D77" s="992" t="str">
        <f t="shared" ref="D77:D101" si="9">C77-((B77*0.3333)*10)</f>
        <v>-24.30</v>
      </c>
      <c r="E77" s="990">
        <v>14.0</v>
      </c>
      <c r="F77" s="990">
        <v>11.0</v>
      </c>
      <c r="G77" s="990">
        <v>1.0</v>
      </c>
      <c r="H77" s="990">
        <v>0.0</v>
      </c>
      <c r="I77" s="990">
        <v>0.1</v>
      </c>
      <c r="J77" s="681"/>
      <c r="K77" s="681"/>
      <c r="L77" s="681"/>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17"/>
      <c r="B78" s="993">
        <v>0.5</v>
      </c>
      <c r="C78" s="992" t="str">
        <f t="shared" si="8"/>
        <v>-21.89</v>
      </c>
      <c r="D78" s="992" t="str">
        <f t="shared" si="9"/>
        <v>-23.55</v>
      </c>
      <c r="E78" s="994" t="str">
        <f t="shared" ref="E78:I78" si="10">(E77+E79)/2</f>
        <v>$15.50</v>
      </c>
      <c r="F78" s="994" t="str">
        <f t="shared" si="10"/>
        <v>$12.00</v>
      </c>
      <c r="G78" s="993" t="str">
        <f t="shared" si="10"/>
        <v>1</v>
      </c>
      <c r="H78" s="993" t="str">
        <f t="shared" si="10"/>
        <v>0</v>
      </c>
      <c r="I78" s="993" t="str">
        <f t="shared" si="10"/>
        <v>0.1</v>
      </c>
      <c r="J78" s="681"/>
      <c r="K78" s="681"/>
      <c r="L78" s="681"/>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17"/>
      <c r="B79" s="990">
        <v>1.0</v>
      </c>
      <c r="C79" s="992" t="str">
        <f t="shared" si="8"/>
        <v>-19.47</v>
      </c>
      <c r="D79" s="992" t="str">
        <f t="shared" si="9"/>
        <v>-22.80</v>
      </c>
      <c r="E79" s="994">
        <v>17.0</v>
      </c>
      <c r="F79" s="994">
        <v>13.0</v>
      </c>
      <c r="G79" s="993">
        <v>1.0</v>
      </c>
      <c r="H79" s="993">
        <v>0.0</v>
      </c>
      <c r="I79" s="990">
        <v>0.1</v>
      </c>
      <c r="J79" s="681"/>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990">
        <v>1.5</v>
      </c>
      <c r="C80" s="992" t="str">
        <f t="shared" si="8"/>
        <v>-15.55</v>
      </c>
      <c r="D80" s="992" t="str">
        <f t="shared" si="9"/>
        <v>-20.55</v>
      </c>
      <c r="E80" s="994" t="str">
        <f t="shared" ref="E80:I80" si="11">(E79+E81)/2</f>
        <v>$20.00</v>
      </c>
      <c r="F80" s="994" t="str">
        <f t="shared" si="11"/>
        <v>$14.00</v>
      </c>
      <c r="G80" s="993" t="str">
        <f t="shared" si="11"/>
        <v>1</v>
      </c>
      <c r="H80" s="993" t="str">
        <f t="shared" si="11"/>
        <v>0</v>
      </c>
      <c r="I80" s="993" t="str">
        <f t="shared" si="11"/>
        <v>0.1</v>
      </c>
      <c r="J80" s="681"/>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990">
        <v>2.0</v>
      </c>
      <c r="C81" s="992" t="str">
        <f t="shared" si="8"/>
        <v>-11.63</v>
      </c>
      <c r="D81" s="992" t="str">
        <f t="shared" si="9"/>
        <v>-18.30</v>
      </c>
      <c r="E81" s="994">
        <v>23.0</v>
      </c>
      <c r="F81" s="994">
        <v>15.0</v>
      </c>
      <c r="G81" s="993">
        <v>1.0</v>
      </c>
      <c r="H81" s="993">
        <v>0.0</v>
      </c>
      <c r="I81" s="990">
        <v>0.1</v>
      </c>
      <c r="J81" s="681"/>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990">
        <v>2.5</v>
      </c>
      <c r="C82" s="992" t="str">
        <f t="shared" si="8"/>
        <v>-5.97</v>
      </c>
      <c r="D82" s="992" t="str">
        <f t="shared" si="9"/>
        <v>-14.30</v>
      </c>
      <c r="E82" s="994" t="str">
        <f t="shared" ref="E82:I82" si="12">(E81+E83)/2</f>
        <v>$32.00</v>
      </c>
      <c r="F82" s="994" t="str">
        <f t="shared" si="12"/>
        <v>$10.50</v>
      </c>
      <c r="G82" s="993" t="str">
        <f t="shared" si="12"/>
        <v>1</v>
      </c>
      <c r="H82" s="993" t="str">
        <f t="shared" si="12"/>
        <v>0</v>
      </c>
      <c r="I82" s="993" t="str">
        <f t="shared" si="12"/>
        <v>0.15</v>
      </c>
      <c r="J82" s="681"/>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990">
        <v>3.0</v>
      </c>
      <c r="C83" s="992" t="str">
        <f t="shared" si="8"/>
        <v>-0.30</v>
      </c>
      <c r="D83" s="992" t="str">
        <f t="shared" si="9"/>
        <v>-10.30</v>
      </c>
      <c r="E83" s="994">
        <v>41.0</v>
      </c>
      <c r="F83" s="994">
        <v>6.0</v>
      </c>
      <c r="G83" s="993">
        <v>1.0</v>
      </c>
      <c r="H83" s="993">
        <v>0.0</v>
      </c>
      <c r="I83" s="990">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990">
        <v>3.5</v>
      </c>
      <c r="C84" s="992" t="str">
        <f t="shared" si="8"/>
        <v>12.20</v>
      </c>
      <c r="D84" s="992" t="str">
        <f t="shared" si="9"/>
        <v>0.54</v>
      </c>
      <c r="E84" s="994" t="str">
        <f t="shared" ref="E84:I84" si="13">(E83+E85)/2</f>
        <v>$53.50</v>
      </c>
      <c r="F84" s="994" t="str">
        <f t="shared" si="13"/>
        <v>$6.00</v>
      </c>
      <c r="G84" s="993" t="str">
        <f t="shared" si="13"/>
        <v>1</v>
      </c>
      <c r="H84" s="993" t="str">
        <f t="shared" si="13"/>
        <v>0</v>
      </c>
      <c r="I84" s="993"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17"/>
      <c r="B85" s="993">
        <v>4.0</v>
      </c>
      <c r="C85" s="992" t="str">
        <f t="shared" si="8"/>
        <v>24.70</v>
      </c>
      <c r="D85" s="992" t="str">
        <f t="shared" si="9"/>
        <v>11.37</v>
      </c>
      <c r="E85" s="993">
        <v>66.0</v>
      </c>
      <c r="F85" s="993">
        <v>6.0</v>
      </c>
      <c r="G85" s="993">
        <v>1.0</v>
      </c>
      <c r="H85" s="993">
        <v>0.0</v>
      </c>
      <c r="I85" s="993">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993">
        <v>4.5</v>
      </c>
      <c r="C86" s="992" t="str">
        <f t="shared" si="8"/>
        <v>36.79</v>
      </c>
      <c r="D86" s="992" t="str">
        <f t="shared" si="9"/>
        <v>21.79</v>
      </c>
      <c r="E86" s="993" t="str">
        <f t="shared" ref="E86:I86" si="14">(E85+E87)/2</f>
        <v>73.5</v>
      </c>
      <c r="F86" s="993" t="str">
        <f t="shared" si="14"/>
        <v>11</v>
      </c>
      <c r="G86" s="993" t="str">
        <f t="shared" si="14"/>
        <v>1</v>
      </c>
      <c r="H86" s="993" t="str">
        <f t="shared" si="14"/>
        <v>0</v>
      </c>
      <c r="I86" s="993"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995"/>
      <c r="B87" s="996">
        <v>5.0</v>
      </c>
      <c r="C87" s="992" t="str">
        <f t="shared" si="8"/>
        <v>48.88</v>
      </c>
      <c r="D87" s="992" t="str">
        <f t="shared" si="9"/>
        <v>32.22</v>
      </c>
      <c r="E87" s="996">
        <v>81.0</v>
      </c>
      <c r="F87" s="996">
        <v>16.0</v>
      </c>
      <c r="G87" s="996">
        <v>1.0</v>
      </c>
      <c r="H87" s="996">
        <v>0.0</v>
      </c>
      <c r="I87" s="996">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995"/>
      <c r="B88" s="996">
        <v>5.5</v>
      </c>
      <c r="C88" s="992" t="str">
        <f t="shared" si="8"/>
        <v>61.38</v>
      </c>
      <c r="D88" s="992" t="str">
        <f t="shared" si="9"/>
        <v>43.05</v>
      </c>
      <c r="E88" s="993" t="str">
        <f t="shared" ref="E88:I88" si="15">(E87+E89)/2</f>
        <v>93.5</v>
      </c>
      <c r="F88" s="993" t="str">
        <f t="shared" si="15"/>
        <v>16</v>
      </c>
      <c r="G88" s="993" t="str">
        <f t="shared" si="15"/>
        <v>1</v>
      </c>
      <c r="H88" s="993" t="str">
        <f t="shared" si="15"/>
        <v>0</v>
      </c>
      <c r="I88" s="993"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995"/>
      <c r="B89" s="996">
        <v>6.0</v>
      </c>
      <c r="C89" s="992" t="str">
        <f t="shared" si="8"/>
        <v>73.88</v>
      </c>
      <c r="D89" s="992" t="str">
        <f t="shared" si="9"/>
        <v>53.88</v>
      </c>
      <c r="E89" s="996">
        <v>106.0</v>
      </c>
      <c r="F89" s="996">
        <v>16.0</v>
      </c>
      <c r="G89" s="996">
        <v>1.0</v>
      </c>
      <c r="H89" s="996">
        <v>0.0</v>
      </c>
      <c r="I89" s="996">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995"/>
      <c r="B90" s="996">
        <v>6.5</v>
      </c>
      <c r="C90" s="992" t="str">
        <f t="shared" si="8"/>
        <v>99.29</v>
      </c>
      <c r="D90" s="992" t="str">
        <f t="shared" si="9"/>
        <v>77.63</v>
      </c>
      <c r="E90" s="993" t="str">
        <f t="shared" ref="E90:I90" si="16">(E89+E91)/2</f>
        <v>136</v>
      </c>
      <c r="F90" s="993" t="str">
        <f t="shared" si="16"/>
        <v>11</v>
      </c>
      <c r="G90" s="993" t="str">
        <f t="shared" si="16"/>
        <v>1</v>
      </c>
      <c r="H90" s="993" t="str">
        <f t="shared" si="16"/>
        <v>0</v>
      </c>
      <c r="I90" s="993"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990">
        <v>7.0</v>
      </c>
      <c r="C91" s="992" t="str">
        <f t="shared" si="8"/>
        <v>124.70</v>
      </c>
      <c r="D91" s="992" t="str">
        <f t="shared" si="9"/>
        <v>101.37</v>
      </c>
      <c r="E91" s="990">
        <v>166.0</v>
      </c>
      <c r="F91" s="990">
        <v>6.0</v>
      </c>
      <c r="G91" s="990">
        <v>1.0</v>
      </c>
      <c r="H91" s="990">
        <v>0.0</v>
      </c>
      <c r="I91" s="990">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990">
        <v>7.5</v>
      </c>
      <c r="C92" s="992" t="str">
        <f t="shared" si="8"/>
        <v>161.00</v>
      </c>
      <c r="D92" s="992" t="str">
        <f t="shared" si="9"/>
        <v>136.00</v>
      </c>
      <c r="E92" s="993" t="str">
        <f t="shared" ref="E92:I92" si="17">(E91+E93)/2</f>
        <v>175</v>
      </c>
      <c r="F92" s="993" t="str">
        <f t="shared" si="17"/>
        <v>6</v>
      </c>
      <c r="G92" s="993" t="str">
        <f t="shared" si="17"/>
        <v>1</v>
      </c>
      <c r="H92" s="993" t="str">
        <f t="shared" si="17"/>
        <v>0.25</v>
      </c>
      <c r="I92" s="993"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17"/>
      <c r="B93" s="993">
        <v>8.0</v>
      </c>
      <c r="C93" s="992" t="str">
        <f t="shared" si="8"/>
        <v>197.30</v>
      </c>
      <c r="D93" s="992" t="str">
        <f t="shared" si="9"/>
        <v>170.64</v>
      </c>
      <c r="E93" s="993">
        <v>184.0</v>
      </c>
      <c r="F93" s="993">
        <v>6.0</v>
      </c>
      <c r="G93" s="993">
        <v>1.0</v>
      </c>
      <c r="H93" s="990">
        <v>0.5</v>
      </c>
      <c r="I93" s="990">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993">
        <v>8.5</v>
      </c>
      <c r="C94" s="992" t="str">
        <f t="shared" si="8"/>
        <v>210.30</v>
      </c>
      <c r="D94" s="992" t="str">
        <f t="shared" si="9"/>
        <v>181.97</v>
      </c>
      <c r="E94" s="993" t="str">
        <f t="shared" ref="E94:I94" si="18">(E93+E95)/2</f>
        <v>197</v>
      </c>
      <c r="F94" s="993" t="str">
        <f t="shared" si="18"/>
        <v>6</v>
      </c>
      <c r="G94" s="993" t="str">
        <f t="shared" si="18"/>
        <v>1</v>
      </c>
      <c r="H94" s="993" t="str">
        <f t="shared" si="18"/>
        <v>0.5</v>
      </c>
      <c r="I94" s="993"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17"/>
      <c r="B95" s="993">
        <v>9.0</v>
      </c>
      <c r="C95" s="992" t="str">
        <f t="shared" si="8"/>
        <v>223.30</v>
      </c>
      <c r="D95" s="992" t="str">
        <f t="shared" si="9"/>
        <v>193.30</v>
      </c>
      <c r="E95" s="993">
        <v>210.0</v>
      </c>
      <c r="F95" s="993">
        <v>6.0</v>
      </c>
      <c r="G95" s="993">
        <v>1.0</v>
      </c>
      <c r="H95" s="993">
        <v>0.5</v>
      </c>
      <c r="I95" s="993">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17"/>
      <c r="B96" s="993">
        <v>9.5</v>
      </c>
      <c r="C96" s="992" t="str">
        <f t="shared" si="8"/>
        <v>258.68</v>
      </c>
      <c r="D96" s="992" t="str">
        <f t="shared" si="9"/>
        <v>227.01</v>
      </c>
      <c r="E96" s="993" t="str">
        <f t="shared" ref="E96:I96" si="19">(E95+E97)/2</f>
        <v>235.5</v>
      </c>
      <c r="F96" s="993" t="str">
        <f t="shared" si="19"/>
        <v>18.5</v>
      </c>
      <c r="G96" s="993" t="str">
        <f t="shared" si="19"/>
        <v>1</v>
      </c>
      <c r="H96" s="993" t="str">
        <f t="shared" si="19"/>
        <v>0.5</v>
      </c>
      <c r="I96" s="993"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17"/>
      <c r="B97" s="993">
        <v>10.0</v>
      </c>
      <c r="C97" s="992" t="str">
        <f t="shared" si="8"/>
        <v>294.06</v>
      </c>
      <c r="D97" s="992" t="str">
        <f t="shared" si="9"/>
        <v>260.73</v>
      </c>
      <c r="E97" s="990">
        <v>261.0</v>
      </c>
      <c r="F97" s="990">
        <v>31.0</v>
      </c>
      <c r="G97" s="990">
        <v>1.0</v>
      </c>
      <c r="H97" s="990">
        <v>0.5</v>
      </c>
      <c r="I97" s="990">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17"/>
      <c r="B98" s="993">
        <v>10.5</v>
      </c>
      <c r="C98" s="992" t="str">
        <f t="shared" si="8"/>
        <v>316.35</v>
      </c>
      <c r="D98" s="992" t="str">
        <f t="shared" si="9"/>
        <v>281.36</v>
      </c>
      <c r="E98" s="993" t="str">
        <f t="shared" ref="E98:I98" si="20">(E97+E99)/2</f>
        <v>282.5</v>
      </c>
      <c r="F98" s="993" t="str">
        <f t="shared" si="20"/>
        <v>31</v>
      </c>
      <c r="G98" s="993" t="str">
        <f t="shared" si="20"/>
        <v>1</v>
      </c>
      <c r="H98" s="993" t="str">
        <f t="shared" si="20"/>
        <v>0.5</v>
      </c>
      <c r="I98" s="993"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17"/>
      <c r="B99" s="993">
        <v>11.0</v>
      </c>
      <c r="C99" s="992" t="str">
        <f t="shared" si="8"/>
        <v>338.65</v>
      </c>
      <c r="D99" s="992" t="str">
        <f t="shared" si="9"/>
        <v>301.99</v>
      </c>
      <c r="E99" s="990">
        <v>304.0</v>
      </c>
      <c r="F99" s="990">
        <v>31.0</v>
      </c>
      <c r="G99" s="990">
        <v>1.0</v>
      </c>
      <c r="H99" s="990">
        <v>0.5</v>
      </c>
      <c r="I99" s="990">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17"/>
      <c r="B100" s="993">
        <v>11.5</v>
      </c>
      <c r="C100" s="992" t="str">
        <f t="shared" si="8"/>
        <v>357.03</v>
      </c>
      <c r="D100" s="992" t="str">
        <f t="shared" si="9"/>
        <v>318.70</v>
      </c>
      <c r="E100" s="993" t="str">
        <f t="shared" ref="E100:I100" si="21">(E99+E101)/2</f>
        <v>321.5</v>
      </c>
      <c r="F100" s="993" t="str">
        <f t="shared" si="21"/>
        <v>15.5</v>
      </c>
      <c r="G100" s="993" t="str">
        <f t="shared" si="21"/>
        <v>1</v>
      </c>
      <c r="H100" s="993" t="str">
        <f t="shared" si="21"/>
        <v>0.65</v>
      </c>
      <c r="I100" s="993"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17"/>
      <c r="B101" s="993">
        <v>12.0</v>
      </c>
      <c r="C101" s="992" t="str">
        <f t="shared" si="8"/>
        <v>375.40</v>
      </c>
      <c r="D101" s="992" t="str">
        <f t="shared" si="9"/>
        <v>335.40</v>
      </c>
      <c r="E101" s="990">
        <v>339.0</v>
      </c>
      <c r="F101" s="990">
        <v>0.0</v>
      </c>
      <c r="G101" s="990">
        <v>1.0</v>
      </c>
      <c r="H101" s="990">
        <v>0.8</v>
      </c>
      <c r="I101" s="990">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681"/>
      <c r="B102" s="681"/>
      <c r="C102" s="681"/>
      <c r="D102" s="681"/>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28"/>
      <c r="B103" s="928"/>
      <c r="C103" s="928"/>
      <c r="D103" s="928"/>
      <c r="E103" s="929"/>
      <c r="F103" s="929"/>
      <c r="G103" s="929"/>
      <c r="H103" s="929"/>
      <c r="I103" s="929"/>
      <c r="J103" s="929"/>
      <c r="K103" s="929"/>
      <c r="L103" s="929"/>
      <c r="M103" s="929"/>
      <c r="N103" s="929"/>
      <c r="O103" s="929"/>
      <c r="P103" s="929"/>
      <c r="Q103" s="929"/>
      <c r="R103" s="929"/>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681"/>
      <c r="B104" s="835"/>
      <c r="C104" s="835"/>
      <c r="D104" s="835"/>
      <c r="E104" s="835"/>
      <c r="F104" s="835"/>
      <c r="G104" s="835"/>
      <c r="H104" s="835"/>
      <c r="I104" s="835"/>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17"/>
      <c r="B105" s="997" t="s">
        <v>1651</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998" t="s">
        <v>1652</v>
      </c>
      <c r="C106" s="999" t="s">
        <v>1653</v>
      </c>
      <c r="D106" s="998" t="s">
        <v>15</v>
      </c>
      <c r="E106" s="1000" t="s">
        <v>1654</v>
      </c>
      <c r="F106" s="998" t="s">
        <v>21</v>
      </c>
      <c r="G106" s="1000" t="s">
        <v>1654</v>
      </c>
      <c r="H106" s="998" t="s">
        <v>22</v>
      </c>
      <c r="I106" s="1000" t="s">
        <v>1654</v>
      </c>
      <c r="J106" s="998" t="s">
        <v>23</v>
      </c>
      <c r="K106" s="1000" t="s">
        <v>1654</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17"/>
      <c r="B107" s="1001">
        <v>1.0</v>
      </c>
      <c r="C107" s="1002" t="str">
        <f t="shared" ref="C107:C127" si="22">sum(D107:K107)/5</f>
        <v>77</v>
      </c>
      <c r="D107" s="1003">
        <v>272.0</v>
      </c>
      <c r="E107" s="1004">
        <v>6.0</v>
      </c>
      <c r="F107" s="1003">
        <v>82.0</v>
      </c>
      <c r="G107" s="1004">
        <v>5.0</v>
      </c>
      <c r="H107" s="1003">
        <v>14.0</v>
      </c>
      <c r="I107" s="1004">
        <v>2.0</v>
      </c>
      <c r="J107" s="1003">
        <v>4.0</v>
      </c>
      <c r="K107" s="1004">
        <v>0.0</v>
      </c>
      <c r="L107" s="1005" t="s">
        <v>1655</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17"/>
      <c r="B108" s="1001">
        <v>2.0</v>
      </c>
      <c r="C108" s="1002" t="str">
        <f t="shared" si="22"/>
        <v>39</v>
      </c>
      <c r="D108" s="1003">
        <v>138.0</v>
      </c>
      <c r="E108" s="1004">
        <v>4.0</v>
      </c>
      <c r="F108" s="1003">
        <v>41.0</v>
      </c>
      <c r="G108" s="1004">
        <v>3.0</v>
      </c>
      <c r="H108" s="1003">
        <v>8.0</v>
      </c>
      <c r="I108" s="1004">
        <v>0.0</v>
      </c>
      <c r="J108" s="1003">
        <v>1.0</v>
      </c>
      <c r="K108" s="1004">
        <v>0.0</v>
      </c>
      <c r="L108" s="1006" t="s">
        <v>1656</v>
      </c>
      <c r="M108" s="681"/>
      <c r="N108" s="681"/>
      <c r="O108" s="681"/>
      <c r="P108" s="681"/>
      <c r="Q108" s="681"/>
      <c r="R108" s="681"/>
      <c r="S108" s="681"/>
      <c r="T108" s="681"/>
      <c r="U108" s="681"/>
      <c r="V108" s="681"/>
      <c r="W108" s="681"/>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17"/>
      <c r="B109" s="1001">
        <v>3.0</v>
      </c>
      <c r="C109" s="1002" t="str">
        <f t="shared" si="22"/>
        <v>80</v>
      </c>
      <c r="D109" s="1003">
        <v>275.0</v>
      </c>
      <c r="E109" s="1004">
        <v>5.0</v>
      </c>
      <c r="F109" s="1003">
        <v>91.0</v>
      </c>
      <c r="G109" s="1004">
        <v>6.0</v>
      </c>
      <c r="H109" s="1003">
        <v>17.0</v>
      </c>
      <c r="I109" s="1004">
        <v>2.0</v>
      </c>
      <c r="J109" s="1003">
        <v>4.0</v>
      </c>
      <c r="K109" s="1004">
        <v>0.0</v>
      </c>
      <c r="L109" s="1005" t="s">
        <v>1657</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17"/>
      <c r="B110" s="1001">
        <v>4.0</v>
      </c>
      <c r="C110" s="1002" t="str">
        <f t="shared" si="22"/>
        <v>80</v>
      </c>
      <c r="D110" s="1003">
        <v>283.0</v>
      </c>
      <c r="E110" s="1004">
        <v>6.0</v>
      </c>
      <c r="F110" s="1003">
        <v>85.0</v>
      </c>
      <c r="G110" s="1004">
        <v>4.0</v>
      </c>
      <c r="H110" s="1003">
        <v>16.0</v>
      </c>
      <c r="I110" s="1004">
        <v>1.0</v>
      </c>
      <c r="J110" s="1003">
        <v>5.0</v>
      </c>
      <c r="K110" s="1004">
        <v>0.0</v>
      </c>
      <c r="L110" s="1005" t="s">
        <v>1658</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17"/>
      <c r="B111" s="1001">
        <v>5.0</v>
      </c>
      <c r="C111" s="1002" t="str">
        <f t="shared" si="22"/>
        <v>40</v>
      </c>
      <c r="D111" s="1003">
        <v>138.0</v>
      </c>
      <c r="E111" s="1004">
        <v>3.0</v>
      </c>
      <c r="F111" s="1003">
        <v>44.0</v>
      </c>
      <c r="G111" s="1004">
        <v>2.0</v>
      </c>
      <c r="H111" s="1003">
        <v>10.0</v>
      </c>
      <c r="I111" s="1004">
        <v>0.0</v>
      </c>
      <c r="J111" s="1003">
        <v>3.0</v>
      </c>
      <c r="K111" s="1004">
        <v>0.0</v>
      </c>
      <c r="L111" s="1005" t="s">
        <v>1659</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17"/>
      <c r="B112" s="1001">
        <v>6.0</v>
      </c>
      <c r="C112" s="1002" t="str">
        <f t="shared" si="22"/>
        <v>40</v>
      </c>
      <c r="D112" s="1003">
        <v>136.0</v>
      </c>
      <c r="E112" s="1004">
        <v>3.0</v>
      </c>
      <c r="F112" s="1003">
        <v>42.0</v>
      </c>
      <c r="G112" s="1004">
        <v>4.0</v>
      </c>
      <c r="H112" s="1003">
        <v>11.0</v>
      </c>
      <c r="I112" s="1004">
        <v>1.0</v>
      </c>
      <c r="J112" s="1003">
        <v>2.0</v>
      </c>
      <c r="K112" s="1004">
        <v>1.0</v>
      </c>
      <c r="L112" s="1005" t="s">
        <v>1660</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17"/>
      <c r="B113" s="1001">
        <v>7.0</v>
      </c>
      <c r="C113" s="1002" t="str">
        <f t="shared" si="22"/>
        <v>40</v>
      </c>
      <c r="D113" s="1003">
        <v>141.0</v>
      </c>
      <c r="E113" s="1004">
        <v>4.0</v>
      </c>
      <c r="F113" s="1003">
        <v>41.0</v>
      </c>
      <c r="G113" s="1004">
        <v>2.0</v>
      </c>
      <c r="H113" s="1003">
        <v>10.0</v>
      </c>
      <c r="I113" s="1004">
        <v>0.0</v>
      </c>
      <c r="J113" s="1003">
        <v>1.0</v>
      </c>
      <c r="K113" s="1004">
        <v>1.0</v>
      </c>
      <c r="L113" s="1005" t="s">
        <v>1661</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17"/>
      <c r="B114" s="1001">
        <v>8.0</v>
      </c>
      <c r="C114" s="1002" t="str">
        <f t="shared" si="22"/>
        <v>240</v>
      </c>
      <c r="D114" s="1003">
        <v>844.0</v>
      </c>
      <c r="E114" s="1004">
        <v>12.0</v>
      </c>
      <c r="F114" s="1003">
        <v>262.0</v>
      </c>
      <c r="G114" s="1004">
        <v>19.0</v>
      </c>
      <c r="H114" s="1003">
        <v>48.0</v>
      </c>
      <c r="I114" s="1004">
        <v>3.0</v>
      </c>
      <c r="J114" s="1003">
        <v>10.0</v>
      </c>
      <c r="K114" s="1004">
        <v>2.0</v>
      </c>
      <c r="L114" s="1005" t="s">
        <v>1662</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17"/>
      <c r="B115" s="1001">
        <v>9.0</v>
      </c>
      <c r="C115" s="1002" t="str">
        <f t="shared" si="22"/>
        <v>323</v>
      </c>
      <c r="D115" s="1003">
        <v>1124.0</v>
      </c>
      <c r="E115" s="1004">
        <v>29.0</v>
      </c>
      <c r="F115" s="1003">
        <v>349.0</v>
      </c>
      <c r="G115" s="1004">
        <v>24.0</v>
      </c>
      <c r="H115" s="1003">
        <v>64.0</v>
      </c>
      <c r="I115" s="1004">
        <v>4.0</v>
      </c>
      <c r="J115" s="1003">
        <v>20.0</v>
      </c>
      <c r="K115" s="1004">
        <v>1.0</v>
      </c>
      <c r="L115" s="1005" t="s">
        <v>1663</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17"/>
      <c r="B116" s="1001">
        <v>10.0</v>
      </c>
      <c r="C116" s="1002" t="str">
        <f t="shared" si="22"/>
        <v>11,359</v>
      </c>
      <c r="D116" s="1002">
        <v>39746.0</v>
      </c>
      <c r="E116" s="1007">
        <v>835.0</v>
      </c>
      <c r="F116" s="1002">
        <v>12148.0</v>
      </c>
      <c r="G116" s="1007">
        <v>780.0</v>
      </c>
      <c r="H116" s="1002">
        <v>2433.0</v>
      </c>
      <c r="I116" s="1007">
        <v>175.0</v>
      </c>
      <c r="J116" s="1002">
        <v>615.0</v>
      </c>
      <c r="K116" s="1007">
        <v>63.0</v>
      </c>
      <c r="L116" s="1008" t="s">
        <v>1664</v>
      </c>
      <c r="M116" s="681"/>
      <c r="N116" s="681"/>
      <c r="O116" s="681"/>
      <c r="P116" s="681"/>
      <c r="Q116" s="681"/>
      <c r="R116" s="681"/>
      <c r="S116" s="681"/>
      <c r="T116" s="681"/>
      <c r="U116" s="681"/>
      <c r="V116" s="681"/>
      <c r="W116" s="681"/>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17"/>
      <c r="B117" s="1001">
        <v>11.0</v>
      </c>
      <c r="C117" s="1002" t="str">
        <f t="shared" si="22"/>
        <v>250</v>
      </c>
      <c r="D117" s="1002">
        <v>870.0</v>
      </c>
      <c r="E117" s="1007">
        <v>20.0</v>
      </c>
      <c r="F117" s="1002">
        <v>276.0</v>
      </c>
      <c r="G117" s="1007">
        <v>14.0</v>
      </c>
      <c r="H117" s="1002">
        <v>53.0</v>
      </c>
      <c r="I117" s="1007">
        <v>3.0</v>
      </c>
      <c r="J117" s="1002">
        <v>13.0</v>
      </c>
      <c r="K117" s="1007">
        <v>1.0</v>
      </c>
      <c r="L117" s="1008" t="s">
        <v>1665</v>
      </c>
      <c r="M117" s="681"/>
      <c r="N117" s="681"/>
      <c r="O117" s="681"/>
      <c r="P117" s="681"/>
      <c r="Q117" s="681"/>
      <c r="R117" s="681"/>
      <c r="S117" s="681"/>
      <c r="T117" s="681"/>
      <c r="U117" s="681"/>
      <c r="V117" s="681"/>
      <c r="W117" s="681"/>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09">
        <v>12.0</v>
      </c>
      <c r="C118" s="1002" t="str">
        <f t="shared" si="22"/>
        <v>40</v>
      </c>
      <c r="D118" s="1002">
        <v>138.0</v>
      </c>
      <c r="E118" s="1007">
        <v>3.0</v>
      </c>
      <c r="F118" s="1002">
        <v>45.0</v>
      </c>
      <c r="G118" s="1007">
        <v>5.0</v>
      </c>
      <c r="H118" s="1002">
        <v>7.0</v>
      </c>
      <c r="I118" s="1007">
        <v>1.0</v>
      </c>
      <c r="J118" s="1002">
        <v>1.0</v>
      </c>
      <c r="K118" s="1007">
        <v>0.0</v>
      </c>
      <c r="L118" s="1010" t="s">
        <v>1666</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17"/>
      <c r="B119" s="1001">
        <v>13.0</v>
      </c>
      <c r="C119" s="1002" t="str">
        <f t="shared" si="22"/>
        <v>400</v>
      </c>
      <c r="D119" s="1002">
        <v>1390.0</v>
      </c>
      <c r="E119" s="1007">
        <v>29.0</v>
      </c>
      <c r="F119" s="1002">
        <v>432.0</v>
      </c>
      <c r="G119" s="1007">
        <v>30.0</v>
      </c>
      <c r="H119" s="1002">
        <v>92.0</v>
      </c>
      <c r="I119" s="1007">
        <v>5.0</v>
      </c>
      <c r="J119" s="1003">
        <v>20.0</v>
      </c>
      <c r="K119" s="1004">
        <v>2.0</v>
      </c>
      <c r="L119" s="1010" t="s">
        <v>1667</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17"/>
      <c r="B120" s="1001">
        <v>14.0</v>
      </c>
      <c r="C120" s="1002" t="str">
        <f t="shared" si="22"/>
        <v>66</v>
      </c>
      <c r="D120" s="1002">
        <v>231.0</v>
      </c>
      <c r="E120" s="1007">
        <v>8.0</v>
      </c>
      <c r="F120" s="1002">
        <v>71.0</v>
      </c>
      <c r="G120" s="1007">
        <v>17.0</v>
      </c>
      <c r="H120" s="1002">
        <v>0.0</v>
      </c>
      <c r="I120" s="1007">
        <v>0.0</v>
      </c>
      <c r="J120" s="1003">
        <v>2.0</v>
      </c>
      <c r="K120" s="1004">
        <v>1.0</v>
      </c>
      <c r="L120" s="1008" t="s">
        <v>1668</v>
      </c>
      <c r="M120" s="681"/>
      <c r="N120" s="681"/>
      <c r="O120" s="681"/>
      <c r="P120" s="681"/>
      <c r="Q120" s="681"/>
      <c r="R120" s="681"/>
      <c r="S120" s="681"/>
      <c r="T120" s="681"/>
      <c r="U120" s="681"/>
      <c r="V120" s="681"/>
      <c r="W120" s="681"/>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17"/>
      <c r="B121" s="1001">
        <v>15.0</v>
      </c>
      <c r="C121" s="1002" t="str">
        <f t="shared" si="22"/>
        <v>40</v>
      </c>
      <c r="D121" s="1002">
        <v>140.0</v>
      </c>
      <c r="E121" s="1007">
        <v>3.0</v>
      </c>
      <c r="F121" s="1002">
        <v>45.0</v>
      </c>
      <c r="G121" s="1007">
        <v>3.0</v>
      </c>
      <c r="H121" s="1002">
        <v>8.0</v>
      </c>
      <c r="I121" s="1007">
        <v>0.0</v>
      </c>
      <c r="J121" s="1003">
        <v>1.0</v>
      </c>
      <c r="K121" s="1004">
        <v>0.0</v>
      </c>
      <c r="L121" s="1010" t="s">
        <v>1669</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17"/>
      <c r="B122" s="1001">
        <v>16.0</v>
      </c>
      <c r="C122" s="1002" t="str">
        <f t="shared" si="22"/>
        <v>40</v>
      </c>
      <c r="D122" s="1002">
        <v>137.0</v>
      </c>
      <c r="E122" s="1007">
        <v>4.0</v>
      </c>
      <c r="F122" s="1002">
        <v>47.0</v>
      </c>
      <c r="G122" s="1007">
        <v>3.0</v>
      </c>
      <c r="H122" s="1002">
        <v>7.0</v>
      </c>
      <c r="I122" s="1007">
        <v>0.0</v>
      </c>
      <c r="J122" s="1003">
        <v>2.0</v>
      </c>
      <c r="K122" s="1004">
        <v>0.0</v>
      </c>
      <c r="L122" s="1010" t="s">
        <v>1670</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17"/>
      <c r="B123" s="1001">
        <v>17.0</v>
      </c>
      <c r="C123" s="1002" t="str">
        <f t="shared" si="22"/>
        <v>421</v>
      </c>
      <c r="D123" s="1002">
        <v>1479.0</v>
      </c>
      <c r="E123" s="1007">
        <v>28.0</v>
      </c>
      <c r="F123" s="1002">
        <v>467.0</v>
      </c>
      <c r="G123" s="1007">
        <v>30.0</v>
      </c>
      <c r="H123" s="1002">
        <v>77.0</v>
      </c>
      <c r="I123" s="1007">
        <v>4.0</v>
      </c>
      <c r="J123" s="1003">
        <v>19.0</v>
      </c>
      <c r="K123" s="1004">
        <v>1.0</v>
      </c>
      <c r="L123" s="1010" t="s">
        <v>1671</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17"/>
      <c r="B124" s="1001">
        <v>18.0</v>
      </c>
      <c r="C124" s="1002" t="str">
        <f t="shared" si="22"/>
        <v>172</v>
      </c>
      <c r="D124" s="1002">
        <v>600.0</v>
      </c>
      <c r="E124" s="1007">
        <v>15.0</v>
      </c>
      <c r="F124" s="1002">
        <v>187.0</v>
      </c>
      <c r="G124" s="1007">
        <v>11.0</v>
      </c>
      <c r="H124" s="1002">
        <v>34.0</v>
      </c>
      <c r="I124" s="1007">
        <v>3.0</v>
      </c>
      <c r="J124" s="1003">
        <v>9.0</v>
      </c>
      <c r="K124" s="1004">
        <v>1.0</v>
      </c>
      <c r="L124" s="1010" t="s">
        <v>1672</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17"/>
      <c r="B125" s="1001">
        <v>19.0</v>
      </c>
      <c r="C125" s="1002" t="str">
        <f t="shared" si="22"/>
        <v>250</v>
      </c>
      <c r="D125" s="1002">
        <v>870.0</v>
      </c>
      <c r="E125" s="1007">
        <v>20.0</v>
      </c>
      <c r="F125" s="1002">
        <v>276.0</v>
      </c>
      <c r="G125" s="1007">
        <v>14.0</v>
      </c>
      <c r="H125" s="1002">
        <v>53.0</v>
      </c>
      <c r="I125" s="1007">
        <v>3.0</v>
      </c>
      <c r="J125" s="1003">
        <v>13.0</v>
      </c>
      <c r="K125" s="1004">
        <v>1.0</v>
      </c>
      <c r="L125" s="1010" t="s">
        <v>1673</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17"/>
      <c r="B126" s="1001">
        <v>20.0</v>
      </c>
      <c r="C126" s="1002" t="str">
        <f t="shared" si="22"/>
        <v>665</v>
      </c>
      <c r="D126" s="1002">
        <v>2310.0</v>
      </c>
      <c r="E126" s="1007">
        <v>58.0</v>
      </c>
      <c r="F126" s="1002">
        <v>730.0</v>
      </c>
      <c r="G126" s="1007">
        <v>45.0</v>
      </c>
      <c r="H126" s="1002">
        <v>140.0</v>
      </c>
      <c r="I126" s="1007">
        <v>6.0</v>
      </c>
      <c r="J126" s="1003">
        <v>34.0</v>
      </c>
      <c r="K126" s="1004">
        <v>2.0</v>
      </c>
      <c r="L126" s="1010" t="s">
        <v>1674</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17"/>
      <c r="B127" s="1001">
        <v>21.0</v>
      </c>
      <c r="C127" s="1002" t="str">
        <f t="shared" si="22"/>
        <v>1,334</v>
      </c>
      <c r="D127" s="1002">
        <v>4641.0</v>
      </c>
      <c r="E127" s="1007">
        <v>112.0</v>
      </c>
      <c r="F127" s="1002">
        <v>1433.0</v>
      </c>
      <c r="G127" s="1007">
        <v>109.0</v>
      </c>
      <c r="H127" s="1002">
        <v>263.0</v>
      </c>
      <c r="I127" s="1007">
        <v>17.0</v>
      </c>
      <c r="J127" s="1003">
        <v>86.0</v>
      </c>
      <c r="K127" s="1004">
        <v>9.0</v>
      </c>
      <c r="L127" s="410" t="s">
        <v>1675</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17"/>
      <c r="B128" s="1011" t="s">
        <v>1676</v>
      </c>
      <c r="C128" s="1012" t="str">
        <f t="shared" ref="C128:K128" si="23">sum(C107:C127)</f>
        <v>15,996</v>
      </c>
      <c r="D128" s="1012" t="str">
        <f t="shared" si="23"/>
        <v>55,903</v>
      </c>
      <c r="E128" s="1013" t="str">
        <f t="shared" si="23"/>
        <v>1,207</v>
      </c>
      <c r="F128" s="1012" t="str">
        <f t="shared" si="23"/>
        <v>17,194</v>
      </c>
      <c r="G128" s="1013" t="str">
        <f t="shared" si="23"/>
        <v>1,130</v>
      </c>
      <c r="H128" s="1012" t="str">
        <f t="shared" si="23"/>
        <v>3,365</v>
      </c>
      <c r="I128" s="1013" t="str">
        <f t="shared" si="23"/>
        <v>230</v>
      </c>
      <c r="J128" s="1012" t="str">
        <f t="shared" si="23"/>
        <v>865</v>
      </c>
      <c r="K128" s="1013" t="str">
        <f t="shared" si="23"/>
        <v>86</v>
      </c>
      <c r="L128" s="681"/>
      <c r="M128" s="681"/>
      <c r="N128" s="681"/>
      <c r="O128" s="681"/>
      <c r="P128" s="681"/>
      <c r="Q128" s="681"/>
      <c r="R128" s="681"/>
      <c r="S128" s="681"/>
      <c r="T128" s="681"/>
      <c r="U128" s="681"/>
      <c r="V128" s="681"/>
      <c r="W128" s="681"/>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35"/>
      <c r="F129" s="835"/>
      <c r="G129" s="410"/>
      <c r="H129" s="835"/>
      <c r="I129" s="835"/>
      <c r="J129" s="835"/>
      <c r="K129" s="681"/>
      <c r="L129" s="681"/>
      <c r="M129" s="681"/>
      <c r="N129" s="681"/>
      <c r="O129" s="681"/>
      <c r="P129" s="681"/>
      <c r="Q129" s="681"/>
      <c r="R129" s="681"/>
      <c r="S129" s="681"/>
      <c r="T129" s="681"/>
      <c r="U129" s="681"/>
      <c r="V129" s="681"/>
      <c r="W129" s="681"/>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14" t="s">
        <v>28</v>
      </c>
      <c r="D130" s="37"/>
      <c r="E130" s="37"/>
      <c r="F130" s="38"/>
      <c r="G130" s="917"/>
      <c r="H130" s="1014" t="s">
        <v>1677</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681"/>
      <c r="B131" s="917"/>
      <c r="C131" s="1015"/>
      <c r="D131" s="1001" t="s">
        <v>31</v>
      </c>
      <c r="E131" s="1016" t="s">
        <v>32</v>
      </c>
      <c r="F131" s="1001" t="s">
        <v>24</v>
      </c>
      <c r="G131" s="917"/>
      <c r="H131" s="1017" t="s">
        <v>1678</v>
      </c>
      <c r="I131" s="38"/>
      <c r="J131" s="1003" t="str">
        <f>sum(D128:K128)</f>
        <v>79,980</v>
      </c>
      <c r="K131" s="681"/>
      <c r="L131" s="681"/>
      <c r="M131" s="681"/>
      <c r="N131" s="681"/>
      <c r="O131" s="681"/>
      <c r="P131" s="681"/>
      <c r="Q131" s="681"/>
      <c r="R131" s="681"/>
      <c r="S131" s="681"/>
      <c r="T131" s="681"/>
      <c r="U131" s="681"/>
      <c r="V131" s="681"/>
      <c r="W131" s="681"/>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09" t="s">
        <v>15</v>
      </c>
      <c r="D132" s="1018" t="str">
        <f>D128/J131</f>
        <v>69.90%</v>
      </c>
      <c r="E132" s="1019" t="str">
        <f>E128/J131</f>
        <v>1.51%</v>
      </c>
      <c r="F132" s="1020" t="str">
        <f t="shared" ref="F132:F136" si="24">sum(D132:E132)</f>
        <v>71.41%</v>
      </c>
      <c r="G132" s="413"/>
      <c r="H132" s="1021" t="s">
        <v>1593</v>
      </c>
      <c r="I132" s="38"/>
      <c r="J132" s="1003"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681"/>
      <c r="B133" s="917"/>
      <c r="C133" s="1001" t="s">
        <v>21</v>
      </c>
      <c r="D133" s="1018" t="str">
        <f>F128/J131</f>
        <v>21.50%</v>
      </c>
      <c r="E133" s="1019" t="str">
        <f>G128/J131</f>
        <v>1.41%</v>
      </c>
      <c r="F133" s="1020" t="str">
        <f t="shared" si="24"/>
        <v>22.91%</v>
      </c>
      <c r="G133" s="917"/>
      <c r="H133" s="1017" t="s">
        <v>1679</v>
      </c>
      <c r="I133" s="38"/>
      <c r="J133" s="1022"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681"/>
      <c r="B134" s="917"/>
      <c r="C134" s="1001" t="s">
        <v>22</v>
      </c>
      <c r="D134" s="1018" t="str">
        <f>H128/J131</f>
        <v>4.21%</v>
      </c>
      <c r="E134" s="1019" t="str">
        <f>I128/J131</f>
        <v>0.29%</v>
      </c>
      <c r="F134" s="1020" t="str">
        <f t="shared" si="24"/>
        <v>4.49%</v>
      </c>
      <c r="G134" s="681"/>
      <c r="H134" s="681"/>
      <c r="I134" s="681"/>
      <c r="J134" s="681"/>
      <c r="K134" s="681"/>
      <c r="L134" s="681"/>
      <c r="M134" s="681"/>
      <c r="N134" s="681"/>
      <c r="O134" s="681"/>
      <c r="P134" s="681"/>
      <c r="Q134" s="681"/>
      <c r="R134" s="681"/>
      <c r="S134" s="681"/>
      <c r="T134" s="681"/>
      <c r="U134" s="681"/>
      <c r="V134" s="681"/>
      <c r="W134" s="681"/>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681"/>
      <c r="B135" s="917"/>
      <c r="C135" s="1001" t="s">
        <v>23</v>
      </c>
      <c r="D135" s="1018" t="str">
        <f>J128/J131</f>
        <v>1.08%</v>
      </c>
      <c r="E135" s="1019" t="str">
        <f>K128/J131</f>
        <v>0.11%</v>
      </c>
      <c r="F135" s="1020"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681"/>
      <c r="B136" s="917"/>
      <c r="C136" s="1015"/>
      <c r="D136" s="1018" t="str">
        <f t="shared" ref="D136:E136" si="25">sum(D132:D135)</f>
        <v>96.68%</v>
      </c>
      <c r="E136" s="1019" t="str">
        <f t="shared" si="25"/>
        <v>3.32%</v>
      </c>
      <c r="F136" s="1020"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681"/>
      <c r="B137" s="681"/>
      <c r="C137" s="681"/>
      <c r="D137" s="681"/>
      <c r="E137" s="681"/>
      <c r="F137" s="681"/>
      <c r="G137" s="681"/>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28"/>
      <c r="B138" s="928"/>
      <c r="C138" s="928"/>
      <c r="D138" s="928"/>
      <c r="E138" s="928"/>
      <c r="F138" s="928"/>
      <c r="G138" s="928"/>
      <c r="H138" s="928"/>
      <c r="I138" s="928"/>
      <c r="J138" s="928"/>
      <c r="K138" s="928"/>
      <c r="L138" s="929"/>
      <c r="M138" s="929"/>
      <c r="N138" s="929"/>
      <c r="O138" s="929"/>
      <c r="P138" s="929"/>
      <c r="Q138" s="929"/>
      <c r="R138" s="929"/>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681"/>
      <c r="B139" s="835"/>
      <c r="C139" s="1023"/>
      <c r="F139" s="835"/>
      <c r="G139" s="835"/>
      <c r="H139" s="681"/>
      <c r="I139" s="835"/>
      <c r="J139" s="835"/>
      <c r="K139" s="835"/>
      <c r="L139" s="681"/>
      <c r="M139" s="681"/>
      <c r="N139" s="681"/>
      <c r="O139" s="681"/>
      <c r="P139" s="681"/>
      <c r="Q139" s="681"/>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17"/>
      <c r="B140" s="1024" t="s">
        <v>1680</v>
      </c>
      <c r="C140" s="37"/>
      <c r="D140" s="37"/>
      <c r="E140" s="1025" t="s">
        <v>1681</v>
      </c>
      <c r="F140" s="37"/>
      <c r="G140" s="38"/>
      <c r="H140" s="917"/>
      <c r="I140" s="1026" t="s">
        <v>5</v>
      </c>
      <c r="J140" s="38"/>
      <c r="K140" s="1027" t="s">
        <v>1682</v>
      </c>
      <c r="L140" s="681"/>
      <c r="M140" s="681"/>
      <c r="N140" s="681"/>
      <c r="O140" s="681"/>
      <c r="P140" s="681"/>
      <c r="Q140" s="681"/>
      <c r="R140" s="681"/>
      <c r="S140" s="681"/>
      <c r="T140" s="681"/>
      <c r="U140" s="681"/>
      <c r="V140" s="681"/>
      <c r="W140" s="681"/>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17"/>
      <c r="B141" s="1028" t="s">
        <v>1645</v>
      </c>
      <c r="C141" s="1028" t="s">
        <v>1593</v>
      </c>
      <c r="D141" s="1028" t="s">
        <v>38</v>
      </c>
      <c r="E141" s="1028" t="s">
        <v>108</v>
      </c>
      <c r="F141" s="1015" t="s">
        <v>1683</v>
      </c>
      <c r="G141" s="1015" t="s">
        <v>1684</v>
      </c>
      <c r="H141" s="917"/>
      <c r="I141" s="1029" t="s">
        <v>15</v>
      </c>
      <c r="K141" s="1030">
        <v>5.0</v>
      </c>
      <c r="L141" s="681"/>
      <c r="M141" s="681"/>
      <c r="N141" s="681"/>
      <c r="O141" s="681"/>
      <c r="P141" s="681"/>
      <c r="Q141" s="681"/>
      <c r="R141" s="681"/>
      <c r="S141" s="681"/>
      <c r="T141" s="681"/>
      <c r="U141" s="681"/>
      <c r="V141" s="681"/>
      <c r="W141" s="681"/>
      <c r="X141" s="681"/>
      <c r="Y141" s="681"/>
      <c r="Z141" s="681"/>
      <c r="AA141" s="681"/>
      <c r="AB141" s="681"/>
      <c r="AC141" s="681"/>
      <c r="AD141" s="681"/>
      <c r="AE141" s="681"/>
      <c r="AF141" s="681"/>
      <c r="AG141" s="681"/>
      <c r="AH141" s="681"/>
      <c r="AI141" s="681"/>
      <c r="AJ141" s="681"/>
      <c r="AK141" s="681"/>
      <c r="AL141" s="681"/>
      <c r="AM141" s="5"/>
      <c r="AN141" s="5"/>
      <c r="AO141" s="5"/>
      <c r="AP141" s="5"/>
      <c r="AQ141" s="5"/>
      <c r="AR141" s="5"/>
      <c r="AS141" s="5"/>
      <c r="AT141" s="5"/>
      <c r="AU141" s="5"/>
      <c r="AV141" s="5"/>
      <c r="AW141" s="5"/>
      <c r="AX141" s="5"/>
      <c r="AY141" s="5"/>
      <c r="AZ141" s="5"/>
      <c r="BA141" s="5"/>
      <c r="BB141" s="5"/>
      <c r="BC141" s="5"/>
    </row>
    <row r="142">
      <c r="A142" s="917"/>
      <c r="B142" s="1031">
        <v>0.0</v>
      </c>
      <c r="C142" s="1031">
        <v>1.0</v>
      </c>
      <c r="D142" s="1031">
        <v>14.0</v>
      </c>
      <c r="E142" s="1031">
        <v>11.0</v>
      </c>
      <c r="F142" s="522">
        <v>0.1</v>
      </c>
      <c r="G142" s="917"/>
      <c r="H142" s="917"/>
      <c r="I142" s="1029" t="s">
        <v>21</v>
      </c>
      <c r="K142" s="1030">
        <v>20.0</v>
      </c>
      <c r="L142" s="681"/>
      <c r="M142" s="681"/>
      <c r="N142" s="681"/>
      <c r="O142" s="681"/>
      <c r="P142" s="410"/>
      <c r="Q142" s="410"/>
      <c r="R142" s="410"/>
      <c r="S142" s="681"/>
      <c r="T142" s="681"/>
      <c r="U142" s="681"/>
      <c r="V142" s="681"/>
      <c r="W142" s="681"/>
      <c r="X142" s="681"/>
      <c r="Y142" s="681"/>
      <c r="Z142" s="681"/>
      <c r="AA142" s="681"/>
      <c r="AB142" s="681"/>
      <c r="AC142" s="681"/>
      <c r="AD142" s="681"/>
      <c r="AE142" s="681"/>
      <c r="AF142" s="681"/>
      <c r="AG142" s="681"/>
      <c r="AH142" s="681"/>
      <c r="AI142" s="681"/>
      <c r="AJ142" s="681"/>
      <c r="AK142" s="681"/>
      <c r="AL142" s="681"/>
      <c r="AM142" s="681"/>
      <c r="AN142" s="681"/>
      <c r="AO142" s="681"/>
      <c r="AP142" s="681"/>
      <c r="AQ142" s="681"/>
      <c r="AR142" s="681"/>
      <c r="AS142" s="681"/>
      <c r="AT142" s="681"/>
      <c r="AU142" s="681"/>
      <c r="AV142" s="681"/>
      <c r="AW142" s="681"/>
      <c r="AX142" s="681"/>
      <c r="AY142" s="681"/>
      <c r="AZ142" s="681"/>
      <c r="BA142" s="681"/>
      <c r="BB142" s="681"/>
      <c r="BC142" s="681"/>
    </row>
    <row r="143">
      <c r="A143" s="413"/>
      <c r="B143" s="1032">
        <v>1.0</v>
      </c>
      <c r="C143" s="1032">
        <v>1.0</v>
      </c>
      <c r="D143" s="1032">
        <v>17.0</v>
      </c>
      <c r="E143" s="1031">
        <v>13.0</v>
      </c>
      <c r="F143" s="522">
        <v>0.1</v>
      </c>
      <c r="G143" s="917"/>
      <c r="H143" s="917"/>
      <c r="I143" s="1029" t="s">
        <v>22</v>
      </c>
      <c r="K143" s="1030">
        <v>100.0</v>
      </c>
      <c r="L143" s="681"/>
      <c r="M143" s="681"/>
      <c r="N143" s="681"/>
      <c r="O143" s="410"/>
      <c r="P143" s="410"/>
      <c r="Q143" s="410"/>
      <c r="R143" s="410"/>
      <c r="S143" s="681"/>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c r="BC143" s="681"/>
    </row>
    <row r="144">
      <c r="A144" s="413"/>
      <c r="B144" s="1032">
        <v>2.0</v>
      </c>
      <c r="C144" s="1032">
        <v>1.0</v>
      </c>
      <c r="D144" s="1032">
        <v>23.0</v>
      </c>
      <c r="E144" s="1031">
        <v>16.0</v>
      </c>
      <c r="F144" s="522">
        <v>0.1</v>
      </c>
      <c r="G144" s="917"/>
      <c r="H144" s="917"/>
      <c r="I144" s="1029" t="s">
        <v>23</v>
      </c>
      <c r="K144" s="1030">
        <v>400.0</v>
      </c>
      <c r="L144" s="681"/>
      <c r="M144" s="681"/>
      <c r="N144" s="681"/>
      <c r="O144" s="410"/>
      <c r="P144" s="410"/>
      <c r="Q144" s="410"/>
      <c r="R144" s="410"/>
      <c r="S144" s="681"/>
      <c r="T144" s="681"/>
      <c r="U144" s="681"/>
      <c r="V144" s="681"/>
      <c r="W144" s="681"/>
      <c r="X144" s="681"/>
      <c r="Y144" s="681"/>
      <c r="Z144" s="681"/>
      <c r="AA144" s="681"/>
      <c r="AB144" s="681"/>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c r="BC144" s="681"/>
    </row>
    <row r="145">
      <c r="A145" s="413"/>
      <c r="B145" s="1032">
        <v>3.0</v>
      </c>
      <c r="C145" s="1032">
        <v>1.0</v>
      </c>
      <c r="D145" s="1032">
        <v>42.0</v>
      </c>
      <c r="E145" s="1031">
        <v>6.0</v>
      </c>
      <c r="F145" s="522">
        <v>0.2</v>
      </c>
      <c r="G145" s="917"/>
      <c r="H145" s="917"/>
      <c r="I145" s="1033" t="s">
        <v>91</v>
      </c>
      <c r="K145" s="1034">
        <v>50.0</v>
      </c>
      <c r="L145" s="681"/>
      <c r="M145" s="681"/>
      <c r="N145" s="681"/>
      <c r="O145" s="410"/>
      <c r="P145" s="410"/>
      <c r="Q145" s="410"/>
      <c r="R145" s="410"/>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c r="BC145" s="681"/>
    </row>
    <row r="146">
      <c r="A146" s="413"/>
      <c r="B146" s="1032">
        <v>4.0</v>
      </c>
      <c r="C146" s="1032">
        <v>1.0</v>
      </c>
      <c r="D146" s="1032">
        <v>66.0</v>
      </c>
      <c r="E146" s="1031">
        <v>6.0</v>
      </c>
      <c r="F146" s="522">
        <v>0.2</v>
      </c>
      <c r="G146" s="917"/>
      <c r="H146" s="917"/>
      <c r="I146" s="1033" t="s">
        <v>92</v>
      </c>
      <c r="K146" s="1034">
        <v>100.0</v>
      </c>
      <c r="L146" s="681"/>
      <c r="M146" s="681"/>
      <c r="N146" s="681"/>
      <c r="O146" s="410"/>
      <c r="P146" s="410"/>
      <c r="Q146" s="410"/>
      <c r="R146" s="410"/>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c r="BC146" s="681"/>
    </row>
    <row r="147">
      <c r="A147" s="413"/>
      <c r="B147" s="1032">
        <v>5.0</v>
      </c>
      <c r="C147" s="1032">
        <v>1.0</v>
      </c>
      <c r="D147" s="1032">
        <v>81.0</v>
      </c>
      <c r="E147" s="1031">
        <v>15.0</v>
      </c>
      <c r="F147" s="522">
        <v>0.2</v>
      </c>
      <c r="G147" s="917"/>
      <c r="H147" s="917"/>
      <c r="I147" s="1033" t="s">
        <v>93</v>
      </c>
      <c r="K147" s="1034">
        <v>400.0</v>
      </c>
      <c r="L147" s="681"/>
      <c r="M147" s="681"/>
      <c r="N147" s="681"/>
      <c r="O147" s="410"/>
      <c r="P147" s="410"/>
      <c r="Q147" s="410"/>
      <c r="R147" s="410"/>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5"/>
      <c r="AP147" s="5"/>
      <c r="AQ147" s="5"/>
      <c r="AR147" s="5"/>
      <c r="AS147" s="5"/>
      <c r="AT147" s="5"/>
      <c r="AU147" s="5"/>
      <c r="AV147" s="5"/>
      <c r="AW147" s="5"/>
      <c r="AX147" s="5"/>
      <c r="AY147" s="5"/>
      <c r="AZ147" s="5"/>
      <c r="BA147" s="5"/>
      <c r="BB147" s="5"/>
      <c r="BC147" s="5"/>
    </row>
    <row r="148">
      <c r="A148" s="917"/>
      <c r="B148" s="1031">
        <v>6.0</v>
      </c>
      <c r="C148" s="1031">
        <v>1.0</v>
      </c>
      <c r="D148" s="1031">
        <v>106.0</v>
      </c>
      <c r="E148" s="1031">
        <v>16.0</v>
      </c>
      <c r="F148" s="522">
        <v>0.2</v>
      </c>
      <c r="G148" s="917"/>
      <c r="H148" s="917"/>
      <c r="I148" s="1035" t="s">
        <v>94</v>
      </c>
      <c r="J148" s="37"/>
      <c r="K148" s="1036">
        <v>1600.0</v>
      </c>
      <c r="L148" s="681"/>
      <c r="M148" s="681"/>
      <c r="N148" s="681"/>
      <c r="O148" s="410"/>
      <c r="P148" s="410"/>
      <c r="Q148" s="410"/>
      <c r="R148" s="410"/>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c r="BC148" s="681"/>
    </row>
    <row r="149">
      <c r="A149" s="413"/>
      <c r="B149" s="1032">
        <v>7.0</v>
      </c>
      <c r="C149" s="1032">
        <v>1.0</v>
      </c>
      <c r="D149" s="1032">
        <v>165.0</v>
      </c>
      <c r="E149" s="1032">
        <v>6.0</v>
      </c>
      <c r="F149" s="499">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32">
        <v>8.0</v>
      </c>
      <c r="C150" s="1032">
        <v>1.0</v>
      </c>
      <c r="D150" s="1032">
        <v>184.0</v>
      </c>
      <c r="E150" s="1032">
        <v>6.0</v>
      </c>
      <c r="F150" s="499">
        <v>0.3</v>
      </c>
      <c r="G150" s="588">
        <v>0.5</v>
      </c>
      <c r="H150" s="413"/>
      <c r="I150" s="1037" t="s">
        <v>1685</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17"/>
      <c r="B151" s="1032">
        <v>9.0</v>
      </c>
      <c r="C151" s="1032">
        <v>1.0</v>
      </c>
      <c r="D151" s="1032">
        <v>208.0</v>
      </c>
      <c r="E151" s="1032">
        <v>6.0</v>
      </c>
      <c r="F151" s="499">
        <v>0.3</v>
      </c>
      <c r="G151" s="588">
        <v>0.5</v>
      </c>
      <c r="H151" s="413"/>
      <c r="I151" s="1038" t="s">
        <v>1686</v>
      </c>
      <c r="J151" s="37"/>
      <c r="K151" s="1039">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17"/>
      <c r="B152" s="1031">
        <v>10.0</v>
      </c>
      <c r="C152" s="1032">
        <v>1.0</v>
      </c>
      <c r="D152" s="1032">
        <v>261.0</v>
      </c>
      <c r="E152" s="1032">
        <v>31.0</v>
      </c>
      <c r="F152" s="499">
        <v>0.1</v>
      </c>
      <c r="G152" s="588">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17"/>
      <c r="B153" s="1031">
        <v>11.0</v>
      </c>
      <c r="C153" s="1031">
        <v>1.0</v>
      </c>
      <c r="D153" s="1031">
        <v>303.0</v>
      </c>
      <c r="E153" s="1032">
        <v>29.0</v>
      </c>
      <c r="F153" s="1032">
        <v>0.1</v>
      </c>
      <c r="G153" s="588">
        <v>0.5</v>
      </c>
      <c r="H153" s="5"/>
      <c r="I153" s="5"/>
      <c r="J153" s="681"/>
      <c r="K153" s="681"/>
      <c r="L153" s="681"/>
      <c r="M153" s="681"/>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17"/>
      <c r="B154" s="1017">
        <v>12.0</v>
      </c>
      <c r="C154" s="1017">
        <v>1.3</v>
      </c>
      <c r="D154" s="1017">
        <v>340.0</v>
      </c>
      <c r="E154" s="1017">
        <v>0.0</v>
      </c>
      <c r="F154" s="1021">
        <v>0.1</v>
      </c>
      <c r="G154" s="1009">
        <v>0.8</v>
      </c>
      <c r="H154" s="5"/>
      <c r="I154" s="5"/>
      <c r="J154" s="681"/>
      <c r="K154" s="835"/>
      <c r="L154" s="835"/>
      <c r="M154" s="835"/>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681"/>
      <c r="B155" s="835"/>
      <c r="C155" s="365"/>
      <c r="D155" s="835"/>
      <c r="E155" s="365"/>
      <c r="F155" s="365"/>
      <c r="G155" s="365"/>
      <c r="H155" s="365"/>
      <c r="I155" s="365"/>
      <c r="J155" s="917"/>
      <c r="K155" s="1040"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17"/>
      <c r="B156" s="1041" t="s">
        <v>1687</v>
      </c>
      <c r="C156" s="37"/>
      <c r="D156" s="37"/>
      <c r="E156" s="38"/>
      <c r="F156" s="1042" t="s">
        <v>1688</v>
      </c>
      <c r="G156" s="1042" t="s">
        <v>1689</v>
      </c>
      <c r="H156" s="1041" t="s">
        <v>1690</v>
      </c>
      <c r="I156" s="38"/>
      <c r="J156" s="917"/>
      <c r="K156" s="1040" t="s">
        <v>31</v>
      </c>
      <c r="L156" s="38"/>
      <c r="M156" s="1043"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17"/>
      <c r="B157" s="1001" t="s">
        <v>1691</v>
      </c>
      <c r="C157" s="1015"/>
      <c r="D157" s="1044" t="s">
        <v>1692</v>
      </c>
      <c r="E157" s="1045">
        <v>1.99</v>
      </c>
      <c r="F157" s="1045">
        <v>1.99</v>
      </c>
      <c r="G157" s="1045">
        <v>0.4</v>
      </c>
      <c r="H157" s="1021">
        <v>1.0</v>
      </c>
      <c r="I157" s="38"/>
      <c r="J157" s="413"/>
      <c r="K157" s="1046" t="s">
        <v>15</v>
      </c>
      <c r="L157" s="1047">
        <v>0.6994</v>
      </c>
      <c r="M157" s="1047">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17"/>
      <c r="B158" s="681"/>
      <c r="C158" s="917"/>
      <c r="D158" s="1044" t="s">
        <v>1693</v>
      </c>
      <c r="E158" s="1045">
        <v>2.99</v>
      </c>
      <c r="F158" s="1045">
        <v>1.5</v>
      </c>
      <c r="G158" s="1045">
        <v>0.3</v>
      </c>
      <c r="H158" s="1021">
        <v>1.5</v>
      </c>
      <c r="I158" s="38"/>
      <c r="J158" s="917"/>
      <c r="K158" s="1048" t="s">
        <v>21</v>
      </c>
      <c r="L158" s="1047">
        <v>0.2144</v>
      </c>
      <c r="M158" s="1047">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17"/>
      <c r="B159" s="681"/>
      <c r="C159" s="413"/>
      <c r="D159" s="1044" t="s">
        <v>1694</v>
      </c>
      <c r="E159" s="1045">
        <v>9.99</v>
      </c>
      <c r="F159" s="1045">
        <v>1.43</v>
      </c>
      <c r="G159" s="1045">
        <v>0.29</v>
      </c>
      <c r="H159" s="1021">
        <v>5.0</v>
      </c>
      <c r="I159" s="38"/>
      <c r="J159" s="917"/>
      <c r="K159" s="1048" t="s">
        <v>22</v>
      </c>
      <c r="L159" s="1047">
        <v>0.0426</v>
      </c>
      <c r="M159" s="1047">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17"/>
      <c r="B160" s="681"/>
      <c r="C160" s="413"/>
      <c r="D160" s="1044" t="s">
        <v>1695</v>
      </c>
      <c r="E160" s="1045">
        <v>19.99</v>
      </c>
      <c r="F160" s="1045">
        <v>1.33</v>
      </c>
      <c r="G160" s="1045">
        <v>0.27</v>
      </c>
      <c r="H160" s="1021">
        <v>10.0</v>
      </c>
      <c r="I160" s="38"/>
      <c r="J160" s="917"/>
      <c r="K160" s="1048" t="s">
        <v>23</v>
      </c>
      <c r="L160" s="1047">
        <v>0.0102</v>
      </c>
      <c r="M160" s="1047">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17"/>
      <c r="B161" s="835"/>
      <c r="C161" s="901"/>
      <c r="D161" s="1044" t="s">
        <v>1696</v>
      </c>
      <c r="E161" s="1045">
        <v>49.99</v>
      </c>
      <c r="F161" s="1045">
        <v>1.25</v>
      </c>
      <c r="G161" s="1045">
        <v>0.25</v>
      </c>
      <c r="H161" s="1021">
        <v>25.1</v>
      </c>
      <c r="I161" s="38"/>
      <c r="J161" s="917"/>
      <c r="K161" s="1015"/>
      <c r="L161" s="1047">
        <v>0.9667</v>
      </c>
      <c r="M161" s="1047">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681"/>
      <c r="B162" s="835"/>
      <c r="C162" s="365"/>
      <c r="D162" s="835"/>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17"/>
      <c r="B163" s="1049" t="s">
        <v>1697</v>
      </c>
      <c r="C163" s="37"/>
      <c r="D163" s="37"/>
      <c r="E163" s="38"/>
      <c r="F163" s="1050" t="s">
        <v>1698</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17"/>
      <c r="B164" s="1051"/>
      <c r="C164" s="1052">
        <v>0.0</v>
      </c>
      <c r="D164" s="1052">
        <v>1.0</v>
      </c>
      <c r="E164" s="1053">
        <v>2.0</v>
      </c>
      <c r="F164" s="1053">
        <v>3.0</v>
      </c>
      <c r="G164" s="1053">
        <v>4.0</v>
      </c>
      <c r="H164" s="1053">
        <v>5.0</v>
      </c>
      <c r="I164" s="1053">
        <v>6.0</v>
      </c>
      <c r="J164" s="1053">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995"/>
      <c r="B165" s="1054">
        <v>2.99</v>
      </c>
      <c r="C165" s="1055">
        <v>0.81</v>
      </c>
      <c r="D165" s="1055">
        <v>0.822</v>
      </c>
      <c r="E165" s="1055">
        <v>0.847</v>
      </c>
      <c r="F165" s="1055">
        <v>0.847</v>
      </c>
      <c r="G165" s="1056">
        <v>1.027</v>
      </c>
      <c r="H165" s="1056">
        <v>1.089</v>
      </c>
      <c r="I165" s="1056">
        <v>1.194</v>
      </c>
      <c r="J165" s="1056">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995"/>
      <c r="B166" s="1054">
        <v>9.99</v>
      </c>
      <c r="C166" s="1055">
        <v>0.773</v>
      </c>
      <c r="D166" s="1055">
        <v>0.785</v>
      </c>
      <c r="E166" s="1055">
        <v>0.809</v>
      </c>
      <c r="F166" s="1055">
        <v>0.913</v>
      </c>
      <c r="G166" s="1056">
        <v>1.085</v>
      </c>
      <c r="H166" s="1056">
        <v>1.233</v>
      </c>
      <c r="I166" s="1056">
        <v>1.56</v>
      </c>
      <c r="J166" s="1056">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995"/>
      <c r="B167" s="1054">
        <v>19.99</v>
      </c>
      <c r="C167" s="1055">
        <v>0.722</v>
      </c>
      <c r="D167" s="1055">
        <v>0.733</v>
      </c>
      <c r="E167" s="1055">
        <v>0.755</v>
      </c>
      <c r="F167" s="1055">
        <v>0.853</v>
      </c>
      <c r="G167" s="1056">
        <v>1.037</v>
      </c>
      <c r="H167" s="1056">
        <v>1.448</v>
      </c>
      <c r="I167" s="1056">
        <v>1.535</v>
      </c>
      <c r="J167" s="1056">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995"/>
      <c r="B168" s="1054">
        <v>49.99</v>
      </c>
      <c r="C168" s="1055">
        <v>0.681</v>
      </c>
      <c r="D168" s="1055">
        <v>0.692</v>
      </c>
      <c r="E168" s="1055">
        <v>0.718</v>
      </c>
      <c r="F168" s="1055">
        <v>0.811</v>
      </c>
      <c r="G168" s="1055">
        <v>0.977</v>
      </c>
      <c r="H168" s="1056">
        <v>1.124</v>
      </c>
      <c r="I168" s="1056">
        <v>1.498</v>
      </c>
      <c r="J168" s="1056">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681"/>
      <c r="B169" s="681"/>
      <c r="C169" s="5"/>
      <c r="D169" s="681"/>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681"/>
      <c r="B170" s="835"/>
      <c r="C170" s="365"/>
      <c r="D170" s="835"/>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17"/>
      <c r="B171" s="1057" t="s">
        <v>1699</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681"/>
      <c r="B172" s="365"/>
      <c r="C172" s="1058" t="s">
        <v>1700</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57" t="s">
        <v>1701</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32" t="s">
        <v>1645</v>
      </c>
      <c r="C174" s="1059" t="s">
        <v>1702</v>
      </c>
      <c r="D174" s="1060" t="s">
        <v>1593</v>
      </c>
      <c r="E174" s="1060" t="s">
        <v>38</v>
      </c>
      <c r="F174" s="1032" t="s">
        <v>1703</v>
      </c>
      <c r="G174" s="1032" t="s">
        <v>1704</v>
      </c>
      <c r="H174" s="1032" t="s">
        <v>1705</v>
      </c>
      <c r="I174" s="1032" t="s">
        <v>1706</v>
      </c>
      <c r="J174" s="1061" t="s">
        <v>1707</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32" t="s">
        <v>1708</v>
      </c>
      <c r="C175" s="1059">
        <v>1.62</v>
      </c>
      <c r="D175" s="1060">
        <v>1.5</v>
      </c>
      <c r="E175" s="1060">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32" t="s">
        <v>1709</v>
      </c>
      <c r="C176" s="1059">
        <v>1.64</v>
      </c>
      <c r="D176" s="1060">
        <v>1.5</v>
      </c>
      <c r="E176" s="1060">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32" t="s">
        <v>1710</v>
      </c>
      <c r="C177" s="1059">
        <v>1.69</v>
      </c>
      <c r="D177" s="1060">
        <v>1.5</v>
      </c>
      <c r="E177" s="1060">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32" t="s">
        <v>1711</v>
      </c>
      <c r="C178" s="1059">
        <v>1.84</v>
      </c>
      <c r="D178" s="1060">
        <v>1.5</v>
      </c>
      <c r="E178" s="1060">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32" t="s">
        <v>1712</v>
      </c>
      <c r="C179" s="1059">
        <v>2.05</v>
      </c>
      <c r="D179" s="1060">
        <v>1.5</v>
      </c>
      <c r="E179" s="1060">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32" t="s">
        <v>1713</v>
      </c>
      <c r="C180" s="1059">
        <v>2.18</v>
      </c>
      <c r="D180" s="1060">
        <v>1.5</v>
      </c>
      <c r="E180" s="1060">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32" t="s">
        <v>1714</v>
      </c>
      <c r="C181" s="1059">
        <v>2.39</v>
      </c>
      <c r="D181" s="1060">
        <v>1.5</v>
      </c>
      <c r="E181" s="1060">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32" t="s">
        <v>1715</v>
      </c>
      <c r="C182" s="1059">
        <v>7.89</v>
      </c>
      <c r="D182" s="1060">
        <v>1.5</v>
      </c>
      <c r="E182" s="1060">
        <v>249.4</v>
      </c>
      <c r="F182" s="1032">
        <v>235.4</v>
      </c>
      <c r="G182" s="1032">
        <v>221.4</v>
      </c>
      <c r="H182" s="1032">
        <v>207.4</v>
      </c>
      <c r="I182" s="1032">
        <v>193.4</v>
      </c>
      <c r="J182" s="1061">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21" t="s">
        <v>1716</v>
      </c>
      <c r="C183" s="1062" t="s">
        <v>1717</v>
      </c>
      <c r="D183" s="1063">
        <v>1.5</v>
      </c>
      <c r="E183" s="1063">
        <v>276.5</v>
      </c>
      <c r="F183" s="1021">
        <v>280.5</v>
      </c>
      <c r="G183" s="1021">
        <v>284.5</v>
      </c>
      <c r="H183" s="1021">
        <v>288.5</v>
      </c>
      <c r="I183" s="1021">
        <v>292.5</v>
      </c>
      <c r="J183" s="1009">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57" t="s">
        <v>1718</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32" t="s">
        <v>1645</v>
      </c>
      <c r="C186" s="1059" t="s">
        <v>1702</v>
      </c>
      <c r="D186" s="1060" t="s">
        <v>1593</v>
      </c>
      <c r="E186" s="1060" t="s">
        <v>38</v>
      </c>
      <c r="F186" s="1032" t="s">
        <v>1703</v>
      </c>
      <c r="G186" s="1032" t="s">
        <v>1704</v>
      </c>
      <c r="H186" s="1032" t="s">
        <v>1705</v>
      </c>
      <c r="I186" s="1032" t="s">
        <v>1706</v>
      </c>
      <c r="J186" s="1032" t="s">
        <v>1707</v>
      </c>
      <c r="K186" s="1032" t="s">
        <v>1719</v>
      </c>
      <c r="L186" s="1032" t="s">
        <v>1720</v>
      </c>
      <c r="M186" s="1032" t="s">
        <v>1721</v>
      </c>
      <c r="N186" s="1032" t="s">
        <v>1722</v>
      </c>
      <c r="O186" s="1032" t="s">
        <v>1723</v>
      </c>
      <c r="P186" s="1032" t="s">
        <v>1724</v>
      </c>
      <c r="Q186" s="1032" t="s">
        <v>1725</v>
      </c>
      <c r="R186" s="1032" t="s">
        <v>1726</v>
      </c>
      <c r="S186" s="1032" t="s">
        <v>1727</v>
      </c>
      <c r="T186" s="1032" t="s">
        <v>1728</v>
      </c>
      <c r="U186" s="1032" t="s">
        <v>1729</v>
      </c>
      <c r="V186" s="1032" t="s">
        <v>1730</v>
      </c>
      <c r="W186" s="1032" t="s">
        <v>1731</v>
      </c>
      <c r="X186" s="1032" t="s">
        <v>1732</v>
      </c>
      <c r="Y186" s="1032" t="s">
        <v>1733</v>
      </c>
      <c r="Z186" s="1032" t="s">
        <v>1734</v>
      </c>
      <c r="AA186" s="1032" t="s">
        <v>1735</v>
      </c>
      <c r="AB186" s="1032" t="s">
        <v>1736</v>
      </c>
      <c r="AC186" s="1032" t="s">
        <v>1737</v>
      </c>
      <c r="AD186" s="1032" t="s">
        <v>1738</v>
      </c>
      <c r="AE186" s="1032" t="s">
        <v>1739</v>
      </c>
      <c r="AF186" s="1032" t="s">
        <v>1740</v>
      </c>
      <c r="AG186" s="1032" t="s">
        <v>1741</v>
      </c>
      <c r="AH186" s="1032" t="s">
        <v>1742</v>
      </c>
      <c r="AI186" s="1032" t="s">
        <v>1743</v>
      </c>
      <c r="AJ186" s="1032" t="s">
        <v>1744</v>
      </c>
      <c r="AK186" s="1032" t="s">
        <v>1745</v>
      </c>
      <c r="AL186" s="1032" t="s">
        <v>1746</v>
      </c>
      <c r="AM186" s="1032" t="s">
        <v>1747</v>
      </c>
      <c r="AN186" s="1032" t="s">
        <v>1748</v>
      </c>
      <c r="AO186" s="1032" t="s">
        <v>1749</v>
      </c>
      <c r="AP186" s="1032" t="s">
        <v>1750</v>
      </c>
      <c r="AQ186" s="1032" t="s">
        <v>1751</v>
      </c>
      <c r="AR186" s="1032" t="s">
        <v>1752</v>
      </c>
      <c r="AS186" s="1032" t="s">
        <v>1753</v>
      </c>
      <c r="AT186" s="1032" t="s">
        <v>1754</v>
      </c>
      <c r="AU186" s="1032" t="s">
        <v>1755</v>
      </c>
      <c r="AV186" s="1032" t="s">
        <v>1756</v>
      </c>
      <c r="AW186" s="1032" t="s">
        <v>1757</v>
      </c>
      <c r="AX186" s="1032" t="s">
        <v>1758</v>
      </c>
      <c r="AY186" s="1032" t="s">
        <v>1759</v>
      </c>
      <c r="AZ186" s="1032" t="s">
        <v>1760</v>
      </c>
      <c r="BA186" s="1032" t="s">
        <v>1761</v>
      </c>
      <c r="BB186" s="1032" t="s">
        <v>1762</v>
      </c>
      <c r="BC186" s="1061" t="s">
        <v>1763</v>
      </c>
    </row>
    <row r="187">
      <c r="A187" s="413"/>
      <c r="B187" s="1032" t="s">
        <v>1708</v>
      </c>
      <c r="C187" s="1059">
        <v>5.41</v>
      </c>
      <c r="D187" s="1060">
        <v>5.0</v>
      </c>
      <c r="E187" s="1060">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32" t="s">
        <v>1709</v>
      </c>
      <c r="C188" s="1059">
        <v>5.49</v>
      </c>
      <c r="D188" s="1060">
        <v>5.0</v>
      </c>
      <c r="E188" s="1060">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32" t="s">
        <v>1710</v>
      </c>
      <c r="C189" s="1059">
        <v>5.66</v>
      </c>
      <c r="D189" s="1060">
        <v>5.0</v>
      </c>
      <c r="E189" s="1060">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32" t="s">
        <v>1711</v>
      </c>
      <c r="C190" s="1059">
        <v>6.39</v>
      </c>
      <c r="D190" s="1060">
        <v>5.0</v>
      </c>
      <c r="E190" s="1060">
        <v>205.8</v>
      </c>
      <c r="F190" s="1032">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32" t="s">
        <v>1712</v>
      </c>
      <c r="C191" s="1059">
        <v>7.59</v>
      </c>
      <c r="D191" s="1060">
        <v>5.0</v>
      </c>
      <c r="E191" s="1060">
        <v>331.3</v>
      </c>
      <c r="F191" s="1032">
        <v>217.3</v>
      </c>
      <c r="G191" s="1032">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32" t="s">
        <v>1713</v>
      </c>
      <c r="C192" s="1059">
        <v>8.63</v>
      </c>
      <c r="D192" s="1060">
        <v>5.0</v>
      </c>
      <c r="E192" s="1060">
        <v>406.6</v>
      </c>
      <c r="F192" s="1032">
        <v>307.6</v>
      </c>
      <c r="G192" s="1032">
        <v>208.6</v>
      </c>
      <c r="H192" s="1032">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32" t="s">
        <v>1714</v>
      </c>
      <c r="C193" s="1059">
        <v>10.92</v>
      </c>
      <c r="D193" s="1060">
        <v>5.0</v>
      </c>
      <c r="E193" s="1060">
        <v>532.1</v>
      </c>
      <c r="F193" s="1032">
        <v>458.1</v>
      </c>
      <c r="G193" s="1032">
        <v>384.1</v>
      </c>
      <c r="H193" s="1032">
        <v>310.1</v>
      </c>
      <c r="I193" s="1032">
        <v>236.1</v>
      </c>
      <c r="J193" s="1032">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32" t="s">
        <v>1715</v>
      </c>
      <c r="C194" s="1059">
        <v>52.99</v>
      </c>
      <c r="D194" s="1060">
        <v>5.0</v>
      </c>
      <c r="E194" s="1060">
        <v>833.3</v>
      </c>
      <c r="F194" s="1032">
        <v>819.3</v>
      </c>
      <c r="G194" s="1032">
        <v>805.3</v>
      </c>
      <c r="H194" s="1032">
        <v>791.3</v>
      </c>
      <c r="I194" s="1032">
        <v>777.3</v>
      </c>
      <c r="J194" s="1032">
        <v>763.3</v>
      </c>
      <c r="K194" s="1032">
        <v>749.3</v>
      </c>
      <c r="L194" s="1032">
        <v>735.3</v>
      </c>
      <c r="M194" s="1032">
        <v>721.3</v>
      </c>
      <c r="N194" s="1032">
        <v>707.3</v>
      </c>
      <c r="O194" s="1032">
        <v>693.3</v>
      </c>
      <c r="P194" s="1032">
        <v>679.3</v>
      </c>
      <c r="Q194" s="1032">
        <v>665.3</v>
      </c>
      <c r="R194" s="1032">
        <v>651.3</v>
      </c>
      <c r="S194" s="1032">
        <v>637.3</v>
      </c>
      <c r="T194" s="1032">
        <v>623.3</v>
      </c>
      <c r="U194" s="1032">
        <v>609.3</v>
      </c>
      <c r="V194" s="1032">
        <v>595.3</v>
      </c>
      <c r="W194" s="1032">
        <v>581.3</v>
      </c>
      <c r="X194" s="1032">
        <v>567.3</v>
      </c>
      <c r="Y194" s="1032">
        <v>553.3</v>
      </c>
      <c r="Z194" s="1032">
        <v>539.3</v>
      </c>
      <c r="AA194" s="1032">
        <v>525.3</v>
      </c>
      <c r="AB194" s="1032">
        <v>511.3</v>
      </c>
      <c r="AC194" s="1032">
        <v>497.3</v>
      </c>
      <c r="AD194" s="1032">
        <v>483.3</v>
      </c>
      <c r="AE194" s="1032">
        <v>469.3</v>
      </c>
      <c r="AF194" s="1032">
        <v>455.3</v>
      </c>
      <c r="AG194" s="1032">
        <v>441.3</v>
      </c>
      <c r="AH194" s="1032">
        <v>427.3</v>
      </c>
      <c r="AI194" s="1032">
        <v>413.3</v>
      </c>
      <c r="AJ194" s="1032">
        <v>399.3</v>
      </c>
      <c r="AK194" s="1032">
        <v>385.3</v>
      </c>
      <c r="AL194" s="1032">
        <v>371.3</v>
      </c>
      <c r="AM194" s="1032">
        <v>357.3</v>
      </c>
      <c r="AN194" s="1032">
        <v>343.3</v>
      </c>
      <c r="AO194" s="1032">
        <v>329.3</v>
      </c>
      <c r="AP194" s="1032">
        <v>315.3</v>
      </c>
      <c r="AQ194" s="1032">
        <v>301.3</v>
      </c>
      <c r="AR194" s="1032">
        <v>287.3</v>
      </c>
      <c r="AS194" s="1032">
        <v>273.3</v>
      </c>
      <c r="AT194" s="1032">
        <v>259.3</v>
      </c>
      <c r="AU194" s="1032">
        <v>245.3</v>
      </c>
      <c r="AV194" s="1032">
        <v>231.3</v>
      </c>
      <c r="AW194" s="1032">
        <v>217.3</v>
      </c>
      <c r="AX194" s="1032">
        <v>203.3</v>
      </c>
      <c r="AY194" s="1032">
        <v>189.3</v>
      </c>
      <c r="AZ194" s="1032">
        <v>175.3</v>
      </c>
      <c r="BA194" s="5"/>
      <c r="BB194" s="5"/>
      <c r="BC194" s="413"/>
    </row>
    <row r="195">
      <c r="A195" s="413"/>
      <c r="B195" s="1021" t="s">
        <v>1716</v>
      </c>
      <c r="C195" s="1062" t="s">
        <v>1717</v>
      </c>
      <c r="D195" s="1063">
        <v>5.0</v>
      </c>
      <c r="E195" s="1063">
        <v>923.7</v>
      </c>
      <c r="F195" s="1021">
        <v>927.7</v>
      </c>
      <c r="G195" s="1021">
        <v>931.7</v>
      </c>
      <c r="H195" s="1021">
        <v>935.7</v>
      </c>
      <c r="I195" s="1021">
        <v>939.7</v>
      </c>
      <c r="J195" s="1021">
        <v>943.7</v>
      </c>
      <c r="K195" s="1021">
        <v>947.7</v>
      </c>
      <c r="L195" s="1021">
        <v>951.7</v>
      </c>
      <c r="M195" s="1021">
        <v>955.7</v>
      </c>
      <c r="N195" s="1021">
        <v>959.7</v>
      </c>
      <c r="O195" s="1021">
        <v>963.7</v>
      </c>
      <c r="P195" s="1021">
        <v>967.7</v>
      </c>
      <c r="Q195" s="1021">
        <v>971.7</v>
      </c>
      <c r="R195" s="1021">
        <v>975.7</v>
      </c>
      <c r="S195" s="1021">
        <v>979.7</v>
      </c>
      <c r="T195" s="1021">
        <v>983.7</v>
      </c>
      <c r="U195" s="1021">
        <v>987.7</v>
      </c>
      <c r="V195" s="1021">
        <v>991.7</v>
      </c>
      <c r="W195" s="1021">
        <v>995.7</v>
      </c>
      <c r="X195" s="1021">
        <v>999.7</v>
      </c>
      <c r="Y195" s="1021">
        <v>1003.7</v>
      </c>
      <c r="Z195" s="1021">
        <v>1007.7</v>
      </c>
      <c r="AA195" s="1021">
        <v>1011.7</v>
      </c>
      <c r="AB195" s="1021">
        <v>1015.7</v>
      </c>
      <c r="AC195" s="1021">
        <v>1019.7</v>
      </c>
      <c r="AD195" s="1021">
        <v>1023.7</v>
      </c>
      <c r="AE195" s="1021">
        <v>1027.7</v>
      </c>
      <c r="AF195" s="1021">
        <v>1031.7</v>
      </c>
      <c r="AG195" s="1021">
        <v>1035.7</v>
      </c>
      <c r="AH195" s="1021">
        <v>1039.7</v>
      </c>
      <c r="AI195" s="1021">
        <v>1043.7</v>
      </c>
      <c r="AJ195" s="1021">
        <v>1047.7</v>
      </c>
      <c r="AK195" s="1021">
        <v>1051.7</v>
      </c>
      <c r="AL195" s="1021">
        <v>1055.7</v>
      </c>
      <c r="AM195" s="1021">
        <v>1059.7</v>
      </c>
      <c r="AN195" s="1021">
        <v>1063.7</v>
      </c>
      <c r="AO195" s="1021">
        <v>1067.7</v>
      </c>
      <c r="AP195" s="1021">
        <v>1071.7</v>
      </c>
      <c r="AQ195" s="1021">
        <v>1075.7</v>
      </c>
      <c r="AR195" s="1021">
        <v>1079.7</v>
      </c>
      <c r="AS195" s="1021">
        <v>1083.7</v>
      </c>
      <c r="AT195" s="1021">
        <v>1087.7</v>
      </c>
      <c r="AU195" s="1021">
        <v>1091.7</v>
      </c>
      <c r="AV195" s="1021">
        <v>1095.7</v>
      </c>
      <c r="AW195" s="1021">
        <v>1099.7</v>
      </c>
      <c r="AX195" s="1021">
        <v>1103.7</v>
      </c>
      <c r="AY195" s="1021">
        <v>1107.7</v>
      </c>
      <c r="AZ195" s="1021">
        <v>1111.7</v>
      </c>
      <c r="BA195" s="1021">
        <v>1115.7</v>
      </c>
      <c r="BB195" s="1021">
        <v>1119.7</v>
      </c>
      <c r="BC195" s="1009">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57" t="s">
        <v>1764</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32" t="s">
        <v>1645</v>
      </c>
      <c r="C198" s="1059" t="s">
        <v>1702</v>
      </c>
      <c r="D198" s="1060" t="s">
        <v>1593</v>
      </c>
      <c r="E198" s="1060" t="s">
        <v>38</v>
      </c>
      <c r="F198" s="1032" t="s">
        <v>1703</v>
      </c>
      <c r="G198" s="1032" t="s">
        <v>1704</v>
      </c>
      <c r="H198" s="1032" t="s">
        <v>1705</v>
      </c>
      <c r="I198" s="1032" t="s">
        <v>1706</v>
      </c>
      <c r="J198" s="1032" t="s">
        <v>1707</v>
      </c>
      <c r="K198" s="1032" t="s">
        <v>1719</v>
      </c>
      <c r="L198" s="1032" t="s">
        <v>1720</v>
      </c>
      <c r="M198" s="1032" t="s">
        <v>1721</v>
      </c>
      <c r="N198" s="1032" t="s">
        <v>1722</v>
      </c>
      <c r="O198" s="1032" t="s">
        <v>1723</v>
      </c>
      <c r="P198" s="1032" t="s">
        <v>1724</v>
      </c>
      <c r="Q198" s="1032" t="s">
        <v>1725</v>
      </c>
      <c r="R198" s="1032" t="s">
        <v>1726</v>
      </c>
      <c r="S198" s="1032" t="s">
        <v>1727</v>
      </c>
      <c r="T198" s="1032" t="s">
        <v>1728</v>
      </c>
      <c r="U198" s="1032" t="s">
        <v>1729</v>
      </c>
      <c r="V198" s="1032" t="s">
        <v>1730</v>
      </c>
      <c r="W198" s="1032" t="s">
        <v>1731</v>
      </c>
      <c r="X198" s="1032" t="s">
        <v>1732</v>
      </c>
      <c r="Y198" s="1032" t="s">
        <v>1733</v>
      </c>
      <c r="Z198" s="1032" t="s">
        <v>1734</v>
      </c>
      <c r="AA198" s="1032" t="s">
        <v>1735</v>
      </c>
      <c r="AB198" s="1032" t="s">
        <v>1736</v>
      </c>
      <c r="AC198" s="1032" t="s">
        <v>1737</v>
      </c>
      <c r="AD198" s="1032" t="s">
        <v>1738</v>
      </c>
      <c r="AE198" s="1032" t="s">
        <v>1739</v>
      </c>
      <c r="AF198" s="1032" t="s">
        <v>1740</v>
      </c>
      <c r="AG198" s="1032" t="s">
        <v>1741</v>
      </c>
      <c r="AH198" s="1032" t="s">
        <v>1742</v>
      </c>
      <c r="AI198" s="1032" t="s">
        <v>1743</v>
      </c>
      <c r="AJ198" s="1032" t="s">
        <v>1744</v>
      </c>
      <c r="AK198" s="1032" t="s">
        <v>1745</v>
      </c>
      <c r="AL198" s="1032" t="s">
        <v>1746</v>
      </c>
      <c r="AM198" s="1032" t="s">
        <v>1747</v>
      </c>
      <c r="AN198" s="1032" t="s">
        <v>1748</v>
      </c>
      <c r="AO198" s="1032" t="s">
        <v>1749</v>
      </c>
      <c r="AP198" s="1032" t="s">
        <v>1750</v>
      </c>
      <c r="AQ198" s="1032" t="s">
        <v>1751</v>
      </c>
      <c r="AR198" s="1032" t="s">
        <v>1752</v>
      </c>
      <c r="AS198" s="1032" t="s">
        <v>1753</v>
      </c>
      <c r="AT198" s="1032" t="s">
        <v>1754</v>
      </c>
      <c r="AU198" s="1032" t="s">
        <v>1755</v>
      </c>
      <c r="AV198" s="1032" t="s">
        <v>1756</v>
      </c>
      <c r="AW198" s="1032" t="s">
        <v>1757</v>
      </c>
      <c r="AX198" s="1032" t="s">
        <v>1758</v>
      </c>
      <c r="AY198" s="1032" t="s">
        <v>1759</v>
      </c>
      <c r="AZ198" s="1032" t="s">
        <v>1760</v>
      </c>
      <c r="BA198" s="1032" t="s">
        <v>1761</v>
      </c>
      <c r="BB198" s="1032" t="s">
        <v>1762</v>
      </c>
      <c r="BC198" s="1061" t="s">
        <v>1763</v>
      </c>
    </row>
    <row r="199">
      <c r="A199" s="413"/>
      <c r="B199" s="1032" t="s">
        <v>1708</v>
      </c>
      <c r="C199" s="1059">
        <v>10.83</v>
      </c>
      <c r="D199" s="1060">
        <v>10.0</v>
      </c>
      <c r="E199" s="1060">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32" t="s">
        <v>1709</v>
      </c>
      <c r="C200" s="1059">
        <v>10.99</v>
      </c>
      <c r="D200" s="1060">
        <v>10.0</v>
      </c>
      <c r="E200" s="1060">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B46:E46"/>
    <mergeCell ref="B47:E47"/>
    <mergeCell ref="B48:E48"/>
    <mergeCell ref="B49:E49"/>
    <mergeCell ref="B44:E44"/>
    <mergeCell ref="B43:H43"/>
    <mergeCell ref="B51:E51"/>
    <mergeCell ref="B52:E52"/>
    <mergeCell ref="J34:K34"/>
    <mergeCell ref="F39:K39"/>
    <mergeCell ref="B55:E55"/>
    <mergeCell ref="B53:E53"/>
    <mergeCell ref="B54:E54"/>
    <mergeCell ref="B45:E45"/>
    <mergeCell ref="B50:E50"/>
    <mergeCell ref="B65:E65"/>
    <mergeCell ref="B64:E64"/>
    <mergeCell ref="B59:E59"/>
    <mergeCell ref="B58:E58"/>
    <mergeCell ref="B57:E57"/>
    <mergeCell ref="B56:E56"/>
    <mergeCell ref="B63:E63"/>
    <mergeCell ref="B62:E62"/>
    <mergeCell ref="B61:E61"/>
    <mergeCell ref="B60:E60"/>
    <mergeCell ref="B66:E66"/>
    <mergeCell ref="H131:I131"/>
    <mergeCell ref="H132:I132"/>
    <mergeCell ref="H130:J130"/>
    <mergeCell ref="H133:I133"/>
    <mergeCell ref="E140:G140"/>
    <mergeCell ref="B140:D140"/>
    <mergeCell ref="I143:J143"/>
    <mergeCell ref="I145:J145"/>
    <mergeCell ref="I144:J144"/>
    <mergeCell ref="C130:F130"/>
    <mergeCell ref="B105:K105"/>
    <mergeCell ref="I140:J140"/>
    <mergeCell ref="C139:E139"/>
    <mergeCell ref="B11:K11"/>
    <mergeCell ref="B10:K10"/>
    <mergeCell ref="B22:H22"/>
    <mergeCell ref="B23:H23"/>
    <mergeCell ref="B21:H21"/>
    <mergeCell ref="B16:H16"/>
    <mergeCell ref="B9:K9"/>
    <mergeCell ref="B8:K8"/>
    <mergeCell ref="B7:M7"/>
    <mergeCell ref="I142:J142"/>
    <mergeCell ref="I141:J141"/>
    <mergeCell ref="I146:J146"/>
    <mergeCell ref="I150:K150"/>
    <mergeCell ref="I151:J151"/>
    <mergeCell ref="I148:J148"/>
    <mergeCell ref="I147:J147"/>
    <mergeCell ref="H161:I161"/>
    <mergeCell ref="K156:L156"/>
    <mergeCell ref="P31:Q32"/>
    <mergeCell ref="Q33:Q34"/>
    <mergeCell ref="P33:P34"/>
    <mergeCell ref="N31:O32"/>
    <mergeCell ref="L31:M32"/>
    <mergeCell ref="B6:K6"/>
    <mergeCell ref="B4:K4"/>
    <mergeCell ref="B1:K1"/>
    <mergeCell ref="B2:M2"/>
    <mergeCell ref="B3:K3"/>
    <mergeCell ref="B5:K5"/>
    <mergeCell ref="F163:J163"/>
    <mergeCell ref="B173:J173"/>
    <mergeCell ref="B171:H171"/>
    <mergeCell ref="B185:J185"/>
    <mergeCell ref="B197:J197"/>
    <mergeCell ref="H157:I157"/>
    <mergeCell ref="H156:I156"/>
    <mergeCell ref="B156:E156"/>
    <mergeCell ref="B163:E163"/>
    <mergeCell ref="H160:I160"/>
    <mergeCell ref="H158:I158"/>
    <mergeCell ref="H159:I159"/>
    <mergeCell ref="K155:M155"/>
    <mergeCell ref="P155:Q155"/>
    <mergeCell ref="N33:N34"/>
    <mergeCell ref="L33:L34"/>
    <mergeCell ref="M33:M34"/>
    <mergeCell ref="B68:E68"/>
    <mergeCell ref="B69:E69"/>
    <mergeCell ref="B70:E70"/>
    <mergeCell ref="B75:I75"/>
    <mergeCell ref="B67:E67"/>
    <mergeCell ref="O33:O34"/>
    <mergeCell ref="F33:G33"/>
    <mergeCell ref="B31:F32"/>
    <mergeCell ref="G34:H34"/>
    <mergeCell ref="I33:J33"/>
    <mergeCell ref="G31:K32"/>
    <mergeCell ref="B33:D33"/>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137</v>
      </c>
      <c r="D1" t="s">
        <v>59</v>
      </c>
      <c r="E1" t="s">
        <v>5</v>
      </c>
      <c r="F1" t="s">
        <v>136</v>
      </c>
      <c r="G1" t="s">
        <v>141</v>
      </c>
      <c r="H1" t="s">
        <v>1765</v>
      </c>
    </row>
    <row r="2">
      <c r="A2" t="str">
        <f t="shared" ref="A2:A699" si="1">D2&amp;COUNTIF($D$2:D2,D2)</f>
        <v>Warrior1</v>
      </c>
      <c r="B2" t="s">
        <v>47</v>
      </c>
      <c r="C2" t="s">
        <v>947</v>
      </c>
      <c r="D2" t="s">
        <v>75</v>
      </c>
      <c r="E2" t="s">
        <v>15</v>
      </c>
      <c r="F2">
        <v>4.0</v>
      </c>
      <c r="G2" t="s">
        <v>188</v>
      </c>
    </row>
    <row r="3">
      <c r="A3" t="str">
        <f t="shared" si="1"/>
        <v>Neutral1</v>
      </c>
      <c r="B3" t="s">
        <v>47</v>
      </c>
      <c r="C3" t="s">
        <v>1191</v>
      </c>
      <c r="D3" t="s">
        <v>77</v>
      </c>
      <c r="E3" t="s">
        <v>15</v>
      </c>
      <c r="F3">
        <v>5.0</v>
      </c>
      <c r="G3" t="s">
        <v>188</v>
      </c>
    </row>
    <row r="4">
      <c r="A4" t="str">
        <f t="shared" si="1"/>
        <v>Neutral2</v>
      </c>
      <c r="B4" t="s">
        <v>47</v>
      </c>
      <c r="C4" t="s">
        <v>1127</v>
      </c>
      <c r="D4" t="s">
        <v>77</v>
      </c>
      <c r="E4" t="s">
        <v>15</v>
      </c>
      <c r="F4">
        <v>3.0</v>
      </c>
      <c r="G4" t="s">
        <v>188</v>
      </c>
    </row>
    <row r="5">
      <c r="A5" t="str">
        <f t="shared" si="1"/>
        <v>Neutral3</v>
      </c>
      <c r="B5" t="s">
        <v>47</v>
      </c>
      <c r="C5" t="s">
        <v>1486</v>
      </c>
      <c r="D5" t="s">
        <v>77</v>
      </c>
      <c r="E5" t="s">
        <v>23</v>
      </c>
      <c r="F5">
        <v>8.0</v>
      </c>
      <c r="G5" t="s">
        <v>188</v>
      </c>
      <c r="H5" t="s">
        <v>446</v>
      </c>
    </row>
    <row r="6">
      <c r="A6" t="str">
        <f t="shared" si="1"/>
        <v>Hunter1</v>
      </c>
      <c r="B6" t="s">
        <v>47</v>
      </c>
      <c r="C6" t="s">
        <v>332</v>
      </c>
      <c r="D6" t="s">
        <v>63</v>
      </c>
      <c r="E6" t="s">
        <v>21</v>
      </c>
      <c r="F6">
        <v>4.0</v>
      </c>
      <c r="G6" t="s">
        <v>188</v>
      </c>
      <c r="H6" t="s">
        <v>238</v>
      </c>
    </row>
    <row r="7">
      <c r="A7" t="str">
        <f t="shared" si="1"/>
        <v>Rogue1</v>
      </c>
      <c r="B7" t="s">
        <v>47</v>
      </c>
      <c r="C7" t="s">
        <v>704</v>
      </c>
      <c r="D7" t="s">
        <v>70</v>
      </c>
      <c r="E7" t="s">
        <v>21</v>
      </c>
      <c r="F7">
        <v>5.0</v>
      </c>
      <c r="G7" t="s">
        <v>188</v>
      </c>
    </row>
    <row r="8">
      <c r="A8" t="str">
        <f t="shared" si="1"/>
        <v>Warlock1</v>
      </c>
      <c r="B8" t="s">
        <v>47</v>
      </c>
      <c r="C8" t="s">
        <v>868</v>
      </c>
      <c r="D8" t="s">
        <v>73</v>
      </c>
      <c r="E8" t="s">
        <v>21</v>
      </c>
      <c r="F8">
        <v>3.0</v>
      </c>
      <c r="G8" t="s">
        <v>162</v>
      </c>
    </row>
    <row r="9">
      <c r="A9" t="str">
        <f t="shared" si="1"/>
        <v>Paladin1</v>
      </c>
      <c r="B9" t="s">
        <v>47</v>
      </c>
      <c r="C9" t="s">
        <v>520</v>
      </c>
      <c r="D9" t="s">
        <v>68</v>
      </c>
      <c r="E9" t="s">
        <v>21</v>
      </c>
      <c r="F9">
        <v>5.0</v>
      </c>
      <c r="G9" t="s">
        <v>188</v>
      </c>
      <c r="H9" t="s">
        <v>446</v>
      </c>
    </row>
    <row r="10">
      <c r="A10" t="str">
        <f t="shared" si="1"/>
        <v>Neutral4</v>
      </c>
      <c r="B10" t="s">
        <v>47</v>
      </c>
      <c r="C10" t="s">
        <v>1229</v>
      </c>
      <c r="D10" t="s">
        <v>77</v>
      </c>
      <c r="E10" t="s">
        <v>21</v>
      </c>
      <c r="F10">
        <v>1.0</v>
      </c>
      <c r="G10" t="s">
        <v>188</v>
      </c>
    </row>
    <row r="11">
      <c r="A11" t="str">
        <f t="shared" si="1"/>
        <v>Mage1</v>
      </c>
      <c r="B11" t="s">
        <v>47</v>
      </c>
      <c r="C11" t="s">
        <v>407</v>
      </c>
      <c r="D11" t="s">
        <v>65</v>
      </c>
      <c r="E11" t="s">
        <v>15</v>
      </c>
      <c r="F11">
        <v>5.0</v>
      </c>
      <c r="G11" t="s">
        <v>162</v>
      </c>
    </row>
    <row r="12">
      <c r="A12" t="str">
        <f t="shared" si="1"/>
        <v>Neutral5</v>
      </c>
      <c r="B12" t="s">
        <v>47</v>
      </c>
      <c r="C12" t="s">
        <v>1166</v>
      </c>
      <c r="D12" t="s">
        <v>77</v>
      </c>
      <c r="E12" t="s">
        <v>15</v>
      </c>
      <c r="F12">
        <v>4.0</v>
      </c>
      <c r="G12" t="s">
        <v>188</v>
      </c>
      <c r="H12" t="s">
        <v>446</v>
      </c>
    </row>
    <row r="13">
      <c r="A13" t="str">
        <f t="shared" si="1"/>
        <v>Neutral6</v>
      </c>
      <c r="B13" t="s">
        <v>47</v>
      </c>
      <c r="C13" t="s">
        <v>1211</v>
      </c>
      <c r="D13" t="s">
        <v>77</v>
      </c>
      <c r="E13" t="s">
        <v>15</v>
      </c>
      <c r="F13">
        <v>6.0</v>
      </c>
      <c r="G13" t="s">
        <v>188</v>
      </c>
      <c r="H13" t="s">
        <v>446</v>
      </c>
    </row>
    <row r="14">
      <c r="A14" t="str">
        <f t="shared" si="1"/>
        <v>Druid1</v>
      </c>
      <c r="B14" t="s">
        <v>47</v>
      </c>
      <c r="C14" t="s">
        <v>208</v>
      </c>
      <c r="D14" t="s">
        <v>60</v>
      </c>
      <c r="E14" t="s">
        <v>15</v>
      </c>
      <c r="F14">
        <v>3.0</v>
      </c>
      <c r="G14" t="s">
        <v>188</v>
      </c>
    </row>
    <row r="15">
      <c r="A15" t="str">
        <f t="shared" si="1"/>
        <v>Neutral7</v>
      </c>
      <c r="B15" t="s">
        <v>47</v>
      </c>
      <c r="C15" t="s">
        <v>1449</v>
      </c>
      <c r="D15" t="s">
        <v>77</v>
      </c>
      <c r="E15" t="s">
        <v>23</v>
      </c>
      <c r="F15">
        <v>6.0</v>
      </c>
      <c r="G15" t="s">
        <v>188</v>
      </c>
    </row>
    <row r="16">
      <c r="A16" t="str">
        <f t="shared" si="1"/>
        <v>Shaman1</v>
      </c>
      <c r="B16" t="s">
        <v>47</v>
      </c>
      <c r="C16" t="s">
        <v>773</v>
      </c>
      <c r="D16" t="s">
        <v>72</v>
      </c>
      <c r="E16" t="s">
        <v>15</v>
      </c>
      <c r="F16">
        <v>4.0</v>
      </c>
      <c r="G16" t="s">
        <v>188</v>
      </c>
    </row>
    <row r="17">
      <c r="A17" t="str">
        <f t="shared" si="1"/>
        <v>Mage2</v>
      </c>
      <c r="B17" t="s">
        <v>47</v>
      </c>
      <c r="C17" t="s">
        <v>419</v>
      </c>
      <c r="D17" t="s">
        <v>65</v>
      </c>
      <c r="E17" t="s">
        <v>21</v>
      </c>
      <c r="F17">
        <v>3.0</v>
      </c>
      <c r="G17" t="s">
        <v>188</v>
      </c>
    </row>
    <row r="18">
      <c r="A18" t="str">
        <f t="shared" si="1"/>
        <v>Rogue2</v>
      </c>
      <c r="B18" t="s">
        <v>47</v>
      </c>
      <c r="C18" t="s">
        <v>672</v>
      </c>
      <c r="D18" t="s">
        <v>70</v>
      </c>
      <c r="E18" t="s">
        <v>15</v>
      </c>
      <c r="F18">
        <v>2.0</v>
      </c>
      <c r="G18" t="s">
        <v>162</v>
      </c>
    </row>
    <row r="19">
      <c r="A19" t="str">
        <f t="shared" si="1"/>
        <v>Neutral8</v>
      </c>
      <c r="B19" t="s">
        <v>47</v>
      </c>
      <c r="C19" t="s">
        <v>1325</v>
      </c>
      <c r="D19" t="s">
        <v>77</v>
      </c>
      <c r="E19" t="s">
        <v>21</v>
      </c>
      <c r="F19">
        <v>5.0</v>
      </c>
      <c r="G19" t="s">
        <v>188</v>
      </c>
    </row>
    <row r="20">
      <c r="A20" t="str">
        <f t="shared" si="1"/>
        <v>Neutral9</v>
      </c>
      <c r="B20" t="s">
        <v>47</v>
      </c>
      <c r="C20" t="s">
        <v>1173</v>
      </c>
      <c r="D20" t="s">
        <v>77</v>
      </c>
      <c r="E20" t="s">
        <v>15</v>
      </c>
      <c r="F20">
        <v>4.0</v>
      </c>
      <c r="G20" t="s">
        <v>188</v>
      </c>
      <c r="H20" t="s">
        <v>446</v>
      </c>
    </row>
    <row r="21">
      <c r="A21" t="str">
        <f t="shared" si="1"/>
        <v>Warlock2</v>
      </c>
      <c r="B21" t="s">
        <v>47</v>
      </c>
      <c r="C21" t="s">
        <v>853</v>
      </c>
      <c r="D21" t="s">
        <v>73</v>
      </c>
      <c r="E21" t="s">
        <v>15</v>
      </c>
      <c r="F21">
        <v>3.0</v>
      </c>
      <c r="G21" t="s">
        <v>188</v>
      </c>
      <c r="H21" t="s">
        <v>828</v>
      </c>
    </row>
    <row r="22">
      <c r="A22" t="str">
        <f t="shared" si="1"/>
        <v>Shaman2</v>
      </c>
      <c r="B22" t="s">
        <v>47</v>
      </c>
      <c r="C22" t="s">
        <v>777</v>
      </c>
      <c r="D22" t="s">
        <v>72</v>
      </c>
      <c r="E22" t="s">
        <v>21</v>
      </c>
      <c r="F22">
        <v>2.0</v>
      </c>
      <c r="G22" t="s">
        <v>162</v>
      </c>
    </row>
    <row r="23">
      <c r="A23" t="str">
        <f t="shared" si="1"/>
        <v>Neutral10</v>
      </c>
      <c r="B23" t="s">
        <v>47</v>
      </c>
      <c r="C23" t="s">
        <v>1501</v>
      </c>
      <c r="D23" t="s">
        <v>77</v>
      </c>
      <c r="E23" t="s">
        <v>23</v>
      </c>
      <c r="F23">
        <v>9.0</v>
      </c>
      <c r="G23" t="s">
        <v>188</v>
      </c>
    </row>
    <row r="24">
      <c r="A24" t="str">
        <f t="shared" si="1"/>
        <v>Neutral11</v>
      </c>
      <c r="B24" t="s">
        <v>47</v>
      </c>
      <c r="C24" t="s">
        <v>1507</v>
      </c>
      <c r="D24" t="s">
        <v>77</v>
      </c>
      <c r="E24" t="s">
        <v>23</v>
      </c>
      <c r="F24">
        <v>9.0</v>
      </c>
      <c r="G24" t="s">
        <v>188</v>
      </c>
      <c r="H24" t="s">
        <v>446</v>
      </c>
    </row>
    <row r="25">
      <c r="A25" t="str">
        <f t="shared" si="1"/>
        <v>Hunter2</v>
      </c>
      <c r="B25" t="s">
        <v>47</v>
      </c>
      <c r="C25" t="s">
        <v>308</v>
      </c>
      <c r="D25" t="s">
        <v>63</v>
      </c>
      <c r="E25" t="s">
        <v>15</v>
      </c>
      <c r="F25">
        <v>2.0</v>
      </c>
      <c r="G25" t="s">
        <v>162</v>
      </c>
    </row>
    <row r="26">
      <c r="A26" t="str">
        <f t="shared" si="1"/>
        <v>Neutral12</v>
      </c>
      <c r="B26" t="s">
        <v>47</v>
      </c>
      <c r="C26" t="s">
        <v>1480</v>
      </c>
      <c r="D26" t="s">
        <v>77</v>
      </c>
      <c r="E26" t="s">
        <v>23</v>
      </c>
      <c r="F26">
        <v>7.0</v>
      </c>
      <c r="G26" t="s">
        <v>188</v>
      </c>
    </row>
    <row r="27">
      <c r="A27" t="str">
        <f t="shared" si="1"/>
        <v>Priest1</v>
      </c>
      <c r="B27" t="s">
        <v>47</v>
      </c>
      <c r="C27" t="s">
        <v>598</v>
      </c>
      <c r="D27" t="s">
        <v>69</v>
      </c>
      <c r="E27" t="s">
        <v>21</v>
      </c>
      <c r="F27">
        <v>2.0</v>
      </c>
      <c r="G27" t="s">
        <v>162</v>
      </c>
    </row>
    <row r="28">
      <c r="A28" t="str">
        <f t="shared" si="1"/>
        <v>Warrior2</v>
      </c>
      <c r="B28" t="s">
        <v>47</v>
      </c>
      <c r="C28" t="s">
        <v>959</v>
      </c>
      <c r="D28" t="s">
        <v>75</v>
      </c>
      <c r="E28" t="s">
        <v>21</v>
      </c>
      <c r="F28">
        <v>2.0</v>
      </c>
      <c r="G28" t="s">
        <v>162</v>
      </c>
    </row>
    <row r="29">
      <c r="A29" t="str">
        <f t="shared" si="1"/>
        <v>Paladin2</v>
      </c>
      <c r="B29" t="s">
        <v>47</v>
      </c>
      <c r="C29" t="s">
        <v>500</v>
      </c>
      <c r="D29" t="s">
        <v>68</v>
      </c>
      <c r="E29" t="s">
        <v>15</v>
      </c>
      <c r="F29">
        <v>5.0</v>
      </c>
      <c r="G29" t="s">
        <v>162</v>
      </c>
    </row>
    <row r="30">
      <c r="A30" t="str">
        <f t="shared" si="1"/>
        <v>Priest2</v>
      </c>
      <c r="B30" t="s">
        <v>47</v>
      </c>
      <c r="C30" t="s">
        <v>575</v>
      </c>
      <c r="D30" t="s">
        <v>69</v>
      </c>
      <c r="E30" t="s">
        <v>15</v>
      </c>
      <c r="F30">
        <v>1.0</v>
      </c>
      <c r="G30" t="s">
        <v>188</v>
      </c>
      <c r="H30" t="s">
        <v>446</v>
      </c>
    </row>
    <row r="31">
      <c r="A31" t="str">
        <f t="shared" si="1"/>
        <v>Neutral13</v>
      </c>
      <c r="B31" t="s">
        <v>47</v>
      </c>
      <c r="C31" t="s">
        <v>1217</v>
      </c>
      <c r="D31" t="s">
        <v>77</v>
      </c>
      <c r="E31" t="s">
        <v>15</v>
      </c>
      <c r="F31">
        <v>6.0</v>
      </c>
      <c r="G31" t="s">
        <v>188</v>
      </c>
      <c r="H31" t="s">
        <v>446</v>
      </c>
    </row>
    <row r="32">
      <c r="A32" t="str">
        <f t="shared" si="1"/>
        <v>Druid2</v>
      </c>
      <c r="B32" t="s">
        <v>47</v>
      </c>
      <c r="C32" t="s">
        <v>250</v>
      </c>
      <c r="D32" t="s">
        <v>60</v>
      </c>
      <c r="E32" t="s">
        <v>21</v>
      </c>
      <c r="F32">
        <v>9.0</v>
      </c>
      <c r="G32" t="s">
        <v>188</v>
      </c>
    </row>
    <row r="33">
      <c r="A33" t="str">
        <f t="shared" si="1"/>
        <v>Neutral14</v>
      </c>
      <c r="B33" t="s">
        <v>33</v>
      </c>
      <c r="C33" t="s">
        <v>1319</v>
      </c>
      <c r="D33" t="s">
        <v>77</v>
      </c>
      <c r="E33" t="s">
        <v>21</v>
      </c>
      <c r="F33">
        <v>5.0</v>
      </c>
      <c r="G33" t="s">
        <v>188</v>
      </c>
    </row>
    <row r="34">
      <c r="A34" t="str">
        <f t="shared" si="1"/>
        <v>Neutral15</v>
      </c>
      <c r="B34" t="s">
        <v>33</v>
      </c>
      <c r="C34" t="s">
        <v>1055</v>
      </c>
      <c r="D34" t="s">
        <v>77</v>
      </c>
      <c r="E34" t="s">
        <v>15</v>
      </c>
      <c r="F34">
        <v>1.0</v>
      </c>
      <c r="G34" t="s">
        <v>188</v>
      </c>
    </row>
    <row r="35">
      <c r="A35" t="str">
        <f t="shared" si="1"/>
        <v>Neutral16</v>
      </c>
      <c r="B35" t="s">
        <v>33</v>
      </c>
      <c r="C35" t="s">
        <v>1004</v>
      </c>
      <c r="D35" t="s">
        <v>77</v>
      </c>
      <c r="E35" t="s">
        <v>10</v>
      </c>
      <c r="F35">
        <v>2.0</v>
      </c>
      <c r="G35" t="s">
        <v>188</v>
      </c>
    </row>
    <row r="36">
      <c r="A36" t="str">
        <f t="shared" si="1"/>
        <v>Neutral17</v>
      </c>
      <c r="B36" t="s">
        <v>33</v>
      </c>
      <c r="C36" t="s">
        <v>1123</v>
      </c>
      <c r="D36" t="s">
        <v>77</v>
      </c>
      <c r="E36" t="s">
        <v>15</v>
      </c>
      <c r="F36">
        <v>3.0</v>
      </c>
      <c r="G36" t="s">
        <v>188</v>
      </c>
    </row>
    <row r="37">
      <c r="A37" t="str">
        <f t="shared" si="1"/>
        <v>Shaman3</v>
      </c>
      <c r="B37" t="s">
        <v>33</v>
      </c>
      <c r="C37" t="s">
        <v>817</v>
      </c>
      <c r="D37" t="s">
        <v>72</v>
      </c>
      <c r="E37" t="s">
        <v>23</v>
      </c>
      <c r="F37">
        <v>8.0</v>
      </c>
      <c r="G37" t="s">
        <v>188</v>
      </c>
    </row>
    <row r="38">
      <c r="A38" t="str">
        <f t="shared" si="1"/>
        <v>Neutral18</v>
      </c>
      <c r="B38" t="s">
        <v>33</v>
      </c>
      <c r="C38" t="s">
        <v>1262</v>
      </c>
      <c r="D38" t="s">
        <v>77</v>
      </c>
      <c r="E38" t="s">
        <v>21</v>
      </c>
      <c r="F38">
        <v>3.0</v>
      </c>
      <c r="G38" t="s">
        <v>188</v>
      </c>
      <c r="H38" t="s">
        <v>198</v>
      </c>
    </row>
    <row r="39">
      <c r="A39" t="str">
        <f t="shared" si="1"/>
        <v>Paladin3</v>
      </c>
      <c r="B39" t="s">
        <v>33</v>
      </c>
      <c r="C39" t="s">
        <v>508</v>
      </c>
      <c r="D39" t="s">
        <v>68</v>
      </c>
      <c r="E39" t="s">
        <v>21</v>
      </c>
      <c r="F39">
        <v>3.0</v>
      </c>
      <c r="G39" t="s">
        <v>188</v>
      </c>
    </row>
    <row r="40">
      <c r="A40" t="str">
        <f t="shared" si="1"/>
        <v>Neutral19</v>
      </c>
      <c r="B40" t="s">
        <v>33</v>
      </c>
      <c r="C40" t="s">
        <v>1497</v>
      </c>
      <c r="D40" t="s">
        <v>77</v>
      </c>
      <c r="E40" t="s">
        <v>23</v>
      </c>
      <c r="F40">
        <v>9.0</v>
      </c>
      <c r="G40" t="s">
        <v>188</v>
      </c>
      <c r="H40" t="s">
        <v>446</v>
      </c>
    </row>
    <row r="41">
      <c r="A41" t="str">
        <f t="shared" si="1"/>
        <v>Neutral20</v>
      </c>
      <c r="B41" t="s">
        <v>33</v>
      </c>
      <c r="C41" t="s">
        <v>1080</v>
      </c>
      <c r="D41" t="s">
        <v>77</v>
      </c>
      <c r="E41" t="s">
        <v>15</v>
      </c>
      <c r="F41">
        <v>2.0</v>
      </c>
      <c r="G41" t="s">
        <v>188</v>
      </c>
    </row>
    <row r="42">
      <c r="A42" t="str">
        <f t="shared" si="1"/>
        <v>Shaman4</v>
      </c>
      <c r="B42" t="s">
        <v>33</v>
      </c>
      <c r="C42" t="s">
        <v>728</v>
      </c>
      <c r="D42" t="s">
        <v>72</v>
      </c>
      <c r="E42" t="s">
        <v>10</v>
      </c>
      <c r="F42">
        <v>0.0</v>
      </c>
      <c r="G42" t="s">
        <v>162</v>
      </c>
    </row>
    <row r="43">
      <c r="A43" t="str">
        <f t="shared" si="1"/>
        <v>Shaman5</v>
      </c>
      <c r="B43" t="s">
        <v>33</v>
      </c>
      <c r="C43" t="s">
        <v>775</v>
      </c>
      <c r="D43" t="s">
        <v>72</v>
      </c>
      <c r="E43" t="s">
        <v>21</v>
      </c>
      <c r="F43">
        <v>2.0</v>
      </c>
      <c r="G43" t="s">
        <v>162</v>
      </c>
    </row>
    <row r="44">
      <c r="A44" t="str">
        <f t="shared" si="1"/>
        <v>Neutral21</v>
      </c>
      <c r="B44" t="s">
        <v>33</v>
      </c>
      <c r="C44" t="s">
        <v>1160</v>
      </c>
      <c r="D44" t="s">
        <v>77</v>
      </c>
      <c r="E44" t="s">
        <v>15</v>
      </c>
      <c r="F44">
        <v>4.0</v>
      </c>
      <c r="G44" t="s">
        <v>188</v>
      </c>
    </row>
    <row r="45">
      <c r="A45" t="str">
        <f t="shared" si="1"/>
        <v>Neutral22</v>
      </c>
      <c r="B45" t="s">
        <v>33</v>
      </c>
      <c r="C45" t="s">
        <v>1300</v>
      </c>
      <c r="D45" t="s">
        <v>77</v>
      </c>
      <c r="E45" t="s">
        <v>21</v>
      </c>
      <c r="F45">
        <v>4.0</v>
      </c>
      <c r="G45" t="s">
        <v>188</v>
      </c>
    </row>
    <row r="46">
      <c r="A46" t="str">
        <f t="shared" si="1"/>
        <v>Druid3</v>
      </c>
      <c r="B46" t="s">
        <v>33</v>
      </c>
      <c r="C46" t="s">
        <v>260</v>
      </c>
      <c r="D46" t="s">
        <v>60</v>
      </c>
      <c r="E46" t="s">
        <v>22</v>
      </c>
      <c r="F46">
        <v>7.0</v>
      </c>
      <c r="G46" t="s">
        <v>188</v>
      </c>
    </row>
    <row r="47">
      <c r="A47" t="str">
        <f t="shared" si="1"/>
        <v>Druid4</v>
      </c>
      <c r="B47" t="s">
        <v>33</v>
      </c>
      <c r="C47" t="s">
        <v>262</v>
      </c>
      <c r="D47" t="s">
        <v>60</v>
      </c>
      <c r="E47" t="s">
        <v>22</v>
      </c>
      <c r="F47">
        <v>7.0</v>
      </c>
      <c r="G47" t="s">
        <v>188</v>
      </c>
    </row>
    <row r="48">
      <c r="A48" t="str">
        <f t="shared" si="1"/>
        <v>Neutral23</v>
      </c>
      <c r="B48" t="s">
        <v>33</v>
      </c>
      <c r="C48" t="s">
        <v>1240</v>
      </c>
      <c r="D48" t="s">
        <v>77</v>
      </c>
      <c r="E48" t="s">
        <v>21</v>
      </c>
      <c r="F48">
        <v>2.0</v>
      </c>
      <c r="G48" t="s">
        <v>188</v>
      </c>
    </row>
    <row r="49">
      <c r="A49" t="str">
        <f t="shared" si="1"/>
        <v>Neutral24</v>
      </c>
      <c r="B49" t="s">
        <v>33</v>
      </c>
      <c r="C49" t="s">
        <v>1225</v>
      </c>
      <c r="D49" t="s">
        <v>77</v>
      </c>
      <c r="E49" t="s">
        <v>21</v>
      </c>
      <c r="F49">
        <v>1.0</v>
      </c>
      <c r="G49" t="s">
        <v>188</v>
      </c>
      <c r="H49" t="s">
        <v>238</v>
      </c>
    </row>
    <row r="50">
      <c r="A50" t="str">
        <f t="shared" si="1"/>
        <v>Hunter3</v>
      </c>
      <c r="B50" t="s">
        <v>33</v>
      </c>
      <c r="C50" t="s">
        <v>280</v>
      </c>
      <c r="D50" t="s">
        <v>63</v>
      </c>
      <c r="E50" t="s">
        <v>10</v>
      </c>
      <c r="F50">
        <v>3.0</v>
      </c>
      <c r="G50" t="s">
        <v>162</v>
      </c>
    </row>
    <row r="51">
      <c r="A51" t="str">
        <f t="shared" si="1"/>
        <v>Warrior3</v>
      </c>
      <c r="B51" t="s">
        <v>33</v>
      </c>
      <c r="C51" t="s">
        <v>945</v>
      </c>
      <c r="D51" t="s">
        <v>75</v>
      </c>
      <c r="E51" t="s">
        <v>15</v>
      </c>
      <c r="F51">
        <v>4.0</v>
      </c>
      <c r="G51" t="s">
        <v>188</v>
      </c>
    </row>
    <row r="52">
      <c r="A52" t="str">
        <f t="shared" si="1"/>
        <v>Mage3</v>
      </c>
      <c r="B52" t="s">
        <v>33</v>
      </c>
      <c r="C52" t="s">
        <v>370</v>
      </c>
      <c r="D52" t="s">
        <v>65</v>
      </c>
      <c r="E52" t="s">
        <v>10</v>
      </c>
      <c r="F52">
        <v>2.0</v>
      </c>
      <c r="G52" t="s">
        <v>162</v>
      </c>
    </row>
    <row r="53">
      <c r="A53" t="str">
        <f t="shared" si="1"/>
        <v>Neutral25</v>
      </c>
      <c r="B53" t="s">
        <v>33</v>
      </c>
      <c r="C53" t="s">
        <v>1264</v>
      </c>
      <c r="D53" t="s">
        <v>77</v>
      </c>
      <c r="E53" t="s">
        <v>21</v>
      </c>
      <c r="F53">
        <v>3.0</v>
      </c>
      <c r="G53" t="s">
        <v>188</v>
      </c>
    </row>
    <row r="54">
      <c r="A54" t="str">
        <f t="shared" si="1"/>
        <v>Mage4</v>
      </c>
      <c r="B54" t="s">
        <v>33</v>
      </c>
      <c r="C54" t="s">
        <v>374</v>
      </c>
      <c r="D54" t="s">
        <v>65</v>
      </c>
      <c r="E54" t="s">
        <v>10</v>
      </c>
      <c r="F54">
        <v>3.0</v>
      </c>
      <c r="G54" t="s">
        <v>162</v>
      </c>
    </row>
    <row r="55">
      <c r="A55" t="str">
        <f t="shared" si="1"/>
        <v>Mage5</v>
      </c>
      <c r="B55" t="s">
        <v>33</v>
      </c>
      <c r="C55" t="s">
        <v>366</v>
      </c>
      <c r="D55" t="s">
        <v>65</v>
      </c>
      <c r="E55" t="s">
        <v>10</v>
      </c>
      <c r="F55">
        <v>1.0</v>
      </c>
      <c r="G55" t="s">
        <v>162</v>
      </c>
    </row>
    <row r="56">
      <c r="A56" t="str">
        <f t="shared" si="1"/>
        <v>Hunter4</v>
      </c>
      <c r="B56" t="s">
        <v>33</v>
      </c>
      <c r="C56" t="s">
        <v>274</v>
      </c>
      <c r="D56" t="s">
        <v>63</v>
      </c>
      <c r="E56" t="s">
        <v>10</v>
      </c>
      <c r="F56">
        <v>1.0</v>
      </c>
      <c r="G56" t="s">
        <v>162</v>
      </c>
    </row>
    <row r="57">
      <c r="A57" t="str">
        <f t="shared" si="1"/>
        <v>Warrior4</v>
      </c>
      <c r="B57" t="s">
        <v>33</v>
      </c>
      <c r="C57" t="s">
        <v>924</v>
      </c>
      <c r="D57" t="s">
        <v>75</v>
      </c>
      <c r="E57" t="s">
        <v>10</v>
      </c>
      <c r="F57">
        <v>5.0</v>
      </c>
      <c r="G57" t="s">
        <v>304</v>
      </c>
    </row>
    <row r="58">
      <c r="A58" t="str">
        <f t="shared" si="1"/>
        <v>Neutral26</v>
      </c>
      <c r="B58" t="s">
        <v>33</v>
      </c>
      <c r="C58" t="s">
        <v>1046</v>
      </c>
      <c r="D58" t="s">
        <v>77</v>
      </c>
      <c r="E58" t="s">
        <v>10</v>
      </c>
      <c r="F58">
        <v>6.0</v>
      </c>
      <c r="G58" t="s">
        <v>188</v>
      </c>
    </row>
    <row r="59">
      <c r="A59" t="str">
        <f t="shared" si="1"/>
        <v>Mage6</v>
      </c>
      <c r="B59" t="s">
        <v>33</v>
      </c>
      <c r="C59" t="s">
        <v>450</v>
      </c>
      <c r="D59" t="s">
        <v>65</v>
      </c>
      <c r="E59" t="s">
        <v>23</v>
      </c>
      <c r="F59">
        <v>7.0</v>
      </c>
      <c r="G59" t="s">
        <v>188</v>
      </c>
    </row>
    <row r="60">
      <c r="A60" t="str">
        <f t="shared" si="1"/>
        <v>Neutral27</v>
      </c>
      <c r="B60" t="s">
        <v>33</v>
      </c>
      <c r="C60" t="s">
        <v>1333</v>
      </c>
      <c r="D60" t="s">
        <v>77</v>
      </c>
      <c r="E60" t="s">
        <v>21</v>
      </c>
      <c r="F60">
        <v>6.0</v>
      </c>
      <c r="G60" t="s">
        <v>188</v>
      </c>
    </row>
    <row r="61">
      <c r="A61" t="str">
        <f t="shared" si="1"/>
        <v>Paladin4</v>
      </c>
      <c r="B61" t="s">
        <v>33</v>
      </c>
      <c r="C61" t="s">
        <v>487</v>
      </c>
      <c r="D61" t="s">
        <v>68</v>
      </c>
      <c r="E61" t="s">
        <v>15</v>
      </c>
      <c r="F61">
        <v>2.0</v>
      </c>
      <c r="G61" t="s">
        <v>188</v>
      </c>
    </row>
    <row r="62">
      <c r="A62" t="str">
        <f t="shared" si="1"/>
        <v>Neutral28</v>
      </c>
      <c r="B62" t="s">
        <v>33</v>
      </c>
      <c r="C62" t="s">
        <v>1057</v>
      </c>
      <c r="D62" t="s">
        <v>77</v>
      </c>
      <c r="E62" t="s">
        <v>15</v>
      </c>
      <c r="F62">
        <v>1.0</v>
      </c>
      <c r="G62" t="s">
        <v>188</v>
      </c>
    </row>
    <row r="63">
      <c r="A63" t="str">
        <f t="shared" si="1"/>
        <v>Warrior5</v>
      </c>
      <c r="B63" t="s">
        <v>33</v>
      </c>
      <c r="C63" t="s">
        <v>955</v>
      </c>
      <c r="D63" t="s">
        <v>75</v>
      </c>
      <c r="E63" t="s">
        <v>21</v>
      </c>
      <c r="F63">
        <v>2.0</v>
      </c>
      <c r="G63" t="s">
        <v>188</v>
      </c>
    </row>
    <row r="64">
      <c r="A64" t="str">
        <f t="shared" si="1"/>
        <v>Rogue3</v>
      </c>
      <c r="B64" t="s">
        <v>33</v>
      </c>
      <c r="C64" t="s">
        <v>650</v>
      </c>
      <c r="D64" t="s">
        <v>70</v>
      </c>
      <c r="E64" t="s">
        <v>10</v>
      </c>
      <c r="F64">
        <v>5.0</v>
      </c>
      <c r="G64" t="s">
        <v>304</v>
      </c>
    </row>
    <row r="65">
      <c r="A65" t="str">
        <f t="shared" si="1"/>
        <v>Rogue4</v>
      </c>
      <c r="B65" t="s">
        <v>33</v>
      </c>
      <c r="C65" t="s">
        <v>651</v>
      </c>
      <c r="D65" t="s">
        <v>70</v>
      </c>
      <c r="E65" t="s">
        <v>10</v>
      </c>
      <c r="F65">
        <v>5.0</v>
      </c>
      <c r="G65" t="s">
        <v>162</v>
      </c>
    </row>
    <row r="66">
      <c r="A66" t="str">
        <f t="shared" si="1"/>
        <v>Priest3</v>
      </c>
      <c r="B66" t="s">
        <v>33</v>
      </c>
      <c r="C66" t="s">
        <v>604</v>
      </c>
      <c r="D66" t="s">
        <v>69</v>
      </c>
      <c r="E66" t="s">
        <v>21</v>
      </c>
      <c r="F66">
        <v>4.0</v>
      </c>
      <c r="G66" t="s">
        <v>188</v>
      </c>
    </row>
    <row r="67">
      <c r="A67" t="str">
        <f t="shared" si="1"/>
        <v>Paladin5</v>
      </c>
      <c r="B67" t="s">
        <v>33</v>
      </c>
      <c r="C67" t="s">
        <v>532</v>
      </c>
      <c r="D67" t="s">
        <v>68</v>
      </c>
      <c r="E67" t="s">
        <v>22</v>
      </c>
      <c r="F67">
        <v>6.0</v>
      </c>
      <c r="G67" t="s">
        <v>162</v>
      </c>
    </row>
    <row r="68">
      <c r="A68" t="str">
        <f t="shared" si="1"/>
        <v>Neutral29</v>
      </c>
      <c r="B68" t="s">
        <v>33</v>
      </c>
      <c r="C68" t="s">
        <v>1321</v>
      </c>
      <c r="D68" t="s">
        <v>77</v>
      </c>
      <c r="E68" t="s">
        <v>21</v>
      </c>
      <c r="F68">
        <v>5.0</v>
      </c>
      <c r="G68" t="s">
        <v>188</v>
      </c>
      <c r="H68" t="s">
        <v>446</v>
      </c>
    </row>
    <row r="69">
      <c r="A69" t="str">
        <f t="shared" si="1"/>
        <v>Rogue5</v>
      </c>
      <c r="B69" t="s">
        <v>33</v>
      </c>
      <c r="C69" t="s">
        <v>636</v>
      </c>
      <c r="D69" t="s">
        <v>70</v>
      </c>
      <c r="E69" t="s">
        <v>10</v>
      </c>
      <c r="F69">
        <v>0.0</v>
      </c>
      <c r="G69" t="s">
        <v>162</v>
      </c>
    </row>
    <row r="70">
      <c r="A70" t="str">
        <f t="shared" si="1"/>
        <v>Warlock3</v>
      </c>
      <c r="B70" t="s">
        <v>33</v>
      </c>
      <c r="C70" t="s">
        <v>892</v>
      </c>
      <c r="D70" t="s">
        <v>73</v>
      </c>
      <c r="E70" t="s">
        <v>22</v>
      </c>
      <c r="F70">
        <v>5.0</v>
      </c>
      <c r="G70" t="s">
        <v>162</v>
      </c>
    </row>
    <row r="71">
      <c r="A71" t="str">
        <f t="shared" si="1"/>
        <v>Neutral30</v>
      </c>
      <c r="B71" t="s">
        <v>33</v>
      </c>
      <c r="C71" t="s">
        <v>1474</v>
      </c>
      <c r="D71" t="s">
        <v>77</v>
      </c>
      <c r="E71" t="s">
        <v>23</v>
      </c>
      <c r="F71">
        <v>7.0</v>
      </c>
      <c r="G71" t="s">
        <v>188</v>
      </c>
    </row>
    <row r="72">
      <c r="A72" t="str">
        <f t="shared" si="1"/>
        <v>Warrior6</v>
      </c>
      <c r="B72" t="s">
        <v>33</v>
      </c>
      <c r="C72" t="s">
        <v>929</v>
      </c>
      <c r="D72" t="s">
        <v>75</v>
      </c>
      <c r="E72" t="s">
        <v>15</v>
      </c>
      <c r="F72">
        <v>2.0</v>
      </c>
      <c r="G72" t="s">
        <v>162</v>
      </c>
    </row>
    <row r="73">
      <c r="A73" t="str">
        <f t="shared" si="1"/>
        <v>Hunter5</v>
      </c>
      <c r="B73" t="s">
        <v>33</v>
      </c>
      <c r="C73" t="s">
        <v>344</v>
      </c>
      <c r="D73" t="s">
        <v>63</v>
      </c>
      <c r="E73" t="s">
        <v>22</v>
      </c>
      <c r="F73">
        <v>1.0</v>
      </c>
      <c r="G73" t="s">
        <v>162</v>
      </c>
    </row>
    <row r="74">
      <c r="A74" t="str">
        <f t="shared" si="1"/>
        <v>Rogue6</v>
      </c>
      <c r="B74" t="s">
        <v>33</v>
      </c>
      <c r="C74" t="s">
        <v>666</v>
      </c>
      <c r="D74" t="s">
        <v>70</v>
      </c>
      <c r="E74" t="s">
        <v>15</v>
      </c>
      <c r="F74">
        <v>2.0</v>
      </c>
      <c r="G74" t="s">
        <v>162</v>
      </c>
    </row>
    <row r="75">
      <c r="A75" t="str">
        <f t="shared" si="1"/>
        <v>Neutral31</v>
      </c>
      <c r="B75" t="s">
        <v>33</v>
      </c>
      <c r="C75" t="s">
        <v>1354</v>
      </c>
      <c r="D75" t="s">
        <v>77</v>
      </c>
      <c r="E75" t="s">
        <v>22</v>
      </c>
      <c r="F75">
        <v>3.0</v>
      </c>
      <c r="G75" t="s">
        <v>188</v>
      </c>
    </row>
    <row r="76">
      <c r="A76" t="str">
        <f t="shared" si="1"/>
        <v>Druid5</v>
      </c>
      <c r="B76" t="s">
        <v>33</v>
      </c>
      <c r="C76" t="s">
        <v>232</v>
      </c>
      <c r="D76" t="s">
        <v>60</v>
      </c>
      <c r="E76" t="s">
        <v>21</v>
      </c>
      <c r="F76">
        <v>4.0</v>
      </c>
      <c r="G76" t="s">
        <v>162</v>
      </c>
    </row>
    <row r="77">
      <c r="A77" t="str">
        <f t="shared" si="1"/>
        <v>Rogue7</v>
      </c>
      <c r="B77" t="s">
        <v>33</v>
      </c>
      <c r="C77" t="s">
        <v>684</v>
      </c>
      <c r="D77" t="s">
        <v>70</v>
      </c>
      <c r="E77" t="s">
        <v>21</v>
      </c>
      <c r="F77">
        <v>2.0</v>
      </c>
      <c r="G77" t="s">
        <v>162</v>
      </c>
    </row>
    <row r="78">
      <c r="A78" t="str">
        <f t="shared" si="1"/>
        <v>Paladin6</v>
      </c>
      <c r="B78" t="s">
        <v>33</v>
      </c>
      <c r="C78" t="s">
        <v>516</v>
      </c>
      <c r="D78" t="s">
        <v>68</v>
      </c>
      <c r="E78" t="s">
        <v>21</v>
      </c>
      <c r="F78">
        <v>5.0</v>
      </c>
      <c r="G78" t="s">
        <v>162</v>
      </c>
    </row>
    <row r="79">
      <c r="A79" t="str">
        <f t="shared" si="1"/>
        <v>Paladin7</v>
      </c>
      <c r="B79" t="s">
        <v>33</v>
      </c>
      <c r="C79" t="s">
        <v>465</v>
      </c>
      <c r="D79" t="s">
        <v>68</v>
      </c>
      <c r="E79" t="s">
        <v>10</v>
      </c>
      <c r="F79">
        <v>4.0</v>
      </c>
      <c r="G79" t="s">
        <v>162</v>
      </c>
    </row>
    <row r="80">
      <c r="A80" t="str">
        <f t="shared" si="1"/>
        <v>Paladin8</v>
      </c>
      <c r="B80" t="s">
        <v>33</v>
      </c>
      <c r="C80" t="s">
        <v>456</v>
      </c>
      <c r="D80" t="s">
        <v>68</v>
      </c>
      <c r="E80" t="s">
        <v>10</v>
      </c>
      <c r="F80">
        <v>1.0</v>
      </c>
      <c r="G80" t="s">
        <v>162</v>
      </c>
    </row>
    <row r="81">
      <c r="A81" t="str">
        <f t="shared" si="1"/>
        <v>Paladin9</v>
      </c>
      <c r="B81" t="s">
        <v>33</v>
      </c>
      <c r="C81" t="s">
        <v>477</v>
      </c>
      <c r="D81" t="s">
        <v>68</v>
      </c>
      <c r="E81" t="s">
        <v>15</v>
      </c>
      <c r="F81">
        <v>1.0</v>
      </c>
      <c r="G81" t="s">
        <v>162</v>
      </c>
    </row>
    <row r="82">
      <c r="A82" t="str">
        <f t="shared" si="1"/>
        <v>Mage7</v>
      </c>
      <c r="B82" t="s">
        <v>33</v>
      </c>
      <c r="C82" t="s">
        <v>433</v>
      </c>
      <c r="D82" t="s">
        <v>65</v>
      </c>
      <c r="E82" t="s">
        <v>21</v>
      </c>
      <c r="F82">
        <v>6.0</v>
      </c>
      <c r="G82" t="s">
        <v>162</v>
      </c>
    </row>
    <row r="83">
      <c r="A83" t="str">
        <f t="shared" si="1"/>
        <v>Warlock4</v>
      </c>
      <c r="B83" t="s">
        <v>33</v>
      </c>
      <c r="C83" t="s">
        <v>839</v>
      </c>
      <c r="D83" t="s">
        <v>73</v>
      </c>
      <c r="E83" t="s">
        <v>15</v>
      </c>
      <c r="F83">
        <v>1.0</v>
      </c>
      <c r="G83" t="s">
        <v>188</v>
      </c>
      <c r="H83" t="s">
        <v>828</v>
      </c>
    </row>
    <row r="84">
      <c r="A84" t="str">
        <f t="shared" si="1"/>
        <v>Neutral32</v>
      </c>
      <c r="B84" t="s">
        <v>33</v>
      </c>
      <c r="C84" t="s">
        <v>1356</v>
      </c>
      <c r="D84" t="s">
        <v>77</v>
      </c>
      <c r="E84" t="s">
        <v>22</v>
      </c>
      <c r="F84">
        <v>3.0</v>
      </c>
      <c r="G84" t="s">
        <v>188</v>
      </c>
    </row>
    <row r="85">
      <c r="A85" t="str">
        <f t="shared" si="1"/>
        <v>Neutral33</v>
      </c>
      <c r="B85" t="s">
        <v>33</v>
      </c>
      <c r="C85" t="s">
        <v>1006</v>
      </c>
      <c r="D85" t="s">
        <v>77</v>
      </c>
      <c r="E85" t="s">
        <v>10</v>
      </c>
      <c r="F85">
        <v>2.0</v>
      </c>
      <c r="G85" t="s">
        <v>188</v>
      </c>
      <c r="H85" t="s">
        <v>238</v>
      </c>
    </row>
    <row r="86">
      <c r="A86" t="str">
        <f t="shared" si="1"/>
        <v>Shaman6</v>
      </c>
      <c r="B86" t="s">
        <v>33</v>
      </c>
      <c r="C86" t="s">
        <v>745</v>
      </c>
      <c r="D86" t="s">
        <v>72</v>
      </c>
      <c r="E86" t="s">
        <v>10</v>
      </c>
      <c r="F86">
        <v>5.0</v>
      </c>
      <c r="G86" t="s">
        <v>162</v>
      </c>
    </row>
    <row r="87">
      <c r="A87" t="str">
        <f t="shared" si="1"/>
        <v>Neutral34</v>
      </c>
      <c r="B87" t="s">
        <v>33</v>
      </c>
      <c r="C87" t="s">
        <v>1401</v>
      </c>
      <c r="D87" t="s">
        <v>77</v>
      </c>
      <c r="E87" t="s">
        <v>23</v>
      </c>
      <c r="F87">
        <v>2.0</v>
      </c>
      <c r="G87" t="s">
        <v>188</v>
      </c>
    </row>
    <row r="88">
      <c r="A88" t="str">
        <f t="shared" si="1"/>
        <v>Neutral35</v>
      </c>
      <c r="B88" t="s">
        <v>33</v>
      </c>
      <c r="C88" t="s">
        <v>1227</v>
      </c>
      <c r="D88" t="s">
        <v>77</v>
      </c>
      <c r="E88" t="s">
        <v>21</v>
      </c>
      <c r="F88">
        <v>1.0</v>
      </c>
      <c r="G88" t="s">
        <v>188</v>
      </c>
      <c r="H88" t="s">
        <v>660</v>
      </c>
    </row>
    <row r="89">
      <c r="A89" t="str">
        <f t="shared" si="1"/>
        <v>Neutral36</v>
      </c>
      <c r="B89" t="s">
        <v>33</v>
      </c>
      <c r="C89" t="s">
        <v>1084</v>
      </c>
      <c r="D89" t="s">
        <v>77</v>
      </c>
      <c r="E89" t="s">
        <v>15</v>
      </c>
      <c r="F89">
        <v>2.0</v>
      </c>
      <c r="G89" t="s">
        <v>188</v>
      </c>
      <c r="H89" t="s">
        <v>660</v>
      </c>
    </row>
    <row r="90">
      <c r="A90" t="str">
        <f t="shared" si="1"/>
        <v>Neutral37</v>
      </c>
      <c r="B90" t="s">
        <v>33</v>
      </c>
      <c r="C90" t="s">
        <v>1007</v>
      </c>
      <c r="D90" t="s">
        <v>77</v>
      </c>
      <c r="E90" t="s">
        <v>10</v>
      </c>
      <c r="F90">
        <v>2.0</v>
      </c>
      <c r="G90" t="s">
        <v>188</v>
      </c>
      <c r="H90" t="s">
        <v>498</v>
      </c>
    </row>
    <row r="91">
      <c r="A91" t="str">
        <f t="shared" si="1"/>
        <v>Neutral38</v>
      </c>
      <c r="B91" t="s">
        <v>33</v>
      </c>
      <c r="C91" t="s">
        <v>1035</v>
      </c>
      <c r="D91" t="s">
        <v>77</v>
      </c>
      <c r="E91" t="s">
        <v>10</v>
      </c>
      <c r="F91">
        <v>5.0</v>
      </c>
      <c r="G91" t="s">
        <v>188</v>
      </c>
    </row>
    <row r="92">
      <c r="A92" t="str">
        <f t="shared" si="1"/>
        <v>Neutral39</v>
      </c>
      <c r="B92" t="s">
        <v>33</v>
      </c>
      <c r="C92" t="s">
        <v>1047</v>
      </c>
      <c r="D92" t="s">
        <v>77</v>
      </c>
      <c r="E92" t="s">
        <v>10</v>
      </c>
      <c r="F92">
        <v>6.0</v>
      </c>
      <c r="G92" t="s">
        <v>188</v>
      </c>
    </row>
    <row r="93">
      <c r="A93" t="str">
        <f t="shared" si="1"/>
        <v>Warrior7</v>
      </c>
      <c r="B93" t="s">
        <v>33</v>
      </c>
      <c r="C93" t="s">
        <v>981</v>
      </c>
      <c r="D93" t="s">
        <v>75</v>
      </c>
      <c r="E93" t="s">
        <v>22</v>
      </c>
      <c r="F93">
        <v>5.0</v>
      </c>
      <c r="G93" t="s">
        <v>162</v>
      </c>
    </row>
    <row r="94">
      <c r="A94" t="str">
        <f t="shared" si="1"/>
        <v>Priest4</v>
      </c>
      <c r="B94" t="s">
        <v>33</v>
      </c>
      <c r="C94" t="s">
        <v>626</v>
      </c>
      <c r="D94" t="s">
        <v>69</v>
      </c>
      <c r="E94" t="s">
        <v>22</v>
      </c>
      <c r="F94">
        <v>6.0</v>
      </c>
      <c r="G94" t="s">
        <v>188</v>
      </c>
    </row>
    <row r="95">
      <c r="A95" t="str">
        <f t="shared" si="1"/>
        <v>Neutral40</v>
      </c>
      <c r="B95" t="s">
        <v>33</v>
      </c>
      <c r="C95" t="s">
        <v>1447</v>
      </c>
      <c r="D95" t="s">
        <v>77</v>
      </c>
      <c r="E95" t="s">
        <v>23</v>
      </c>
      <c r="F95">
        <v>6.0</v>
      </c>
      <c r="G95" t="s">
        <v>188</v>
      </c>
    </row>
    <row r="96">
      <c r="A96" t="str">
        <f t="shared" si="1"/>
        <v>Neutral41</v>
      </c>
      <c r="B96" t="s">
        <v>33</v>
      </c>
      <c r="C96" t="s">
        <v>1425</v>
      </c>
      <c r="D96" t="s">
        <v>77</v>
      </c>
      <c r="E96" t="s">
        <v>23</v>
      </c>
      <c r="F96">
        <v>5.0</v>
      </c>
      <c r="G96" t="s">
        <v>188</v>
      </c>
      <c r="H96" t="s">
        <v>660</v>
      </c>
    </row>
    <row r="97">
      <c r="A97" t="str">
        <f t="shared" si="1"/>
        <v>Druid6</v>
      </c>
      <c r="B97" t="s">
        <v>33</v>
      </c>
      <c r="C97" t="s">
        <v>270</v>
      </c>
      <c r="D97" t="s">
        <v>60</v>
      </c>
      <c r="E97" t="s">
        <v>23</v>
      </c>
      <c r="F97">
        <v>9.0</v>
      </c>
      <c r="G97" t="s">
        <v>188</v>
      </c>
    </row>
    <row r="98">
      <c r="A98" t="str">
        <f t="shared" si="1"/>
        <v>Warrior8</v>
      </c>
      <c r="B98" t="s">
        <v>33</v>
      </c>
      <c r="C98" t="s">
        <v>917</v>
      </c>
      <c r="D98" t="s">
        <v>75</v>
      </c>
      <c r="E98" t="s">
        <v>10</v>
      </c>
      <c r="F98">
        <v>3.0</v>
      </c>
      <c r="G98" t="s">
        <v>162</v>
      </c>
    </row>
    <row r="99">
      <c r="A99" t="str">
        <f t="shared" si="1"/>
        <v>Neutral42</v>
      </c>
      <c r="B99" t="s">
        <v>33</v>
      </c>
      <c r="C99" t="s">
        <v>1027</v>
      </c>
      <c r="D99" t="s">
        <v>77</v>
      </c>
      <c r="E99" t="s">
        <v>10</v>
      </c>
      <c r="F99">
        <v>4.0</v>
      </c>
      <c r="G99" t="s">
        <v>188</v>
      </c>
    </row>
    <row r="100">
      <c r="A100" t="str">
        <f t="shared" si="1"/>
        <v>Priest5</v>
      </c>
      <c r="B100" t="s">
        <v>33</v>
      </c>
      <c r="C100" t="s">
        <v>565</v>
      </c>
      <c r="D100" t="s">
        <v>69</v>
      </c>
      <c r="E100" t="s">
        <v>15</v>
      </c>
      <c r="F100">
        <v>0.0</v>
      </c>
      <c r="G100" t="s">
        <v>162</v>
      </c>
    </row>
    <row r="101">
      <c r="A101" t="str">
        <f t="shared" si="1"/>
        <v>Druid7</v>
      </c>
      <c r="B101" t="s">
        <v>33</v>
      </c>
      <c r="C101" t="s">
        <v>167</v>
      </c>
      <c r="D101" t="s">
        <v>60</v>
      </c>
      <c r="E101" t="s">
        <v>10</v>
      </c>
      <c r="F101">
        <v>1.0</v>
      </c>
      <c r="G101" t="s">
        <v>162</v>
      </c>
    </row>
    <row r="102">
      <c r="A102" t="str">
        <f t="shared" si="1"/>
        <v>Warrior9</v>
      </c>
      <c r="B102" t="s">
        <v>33</v>
      </c>
      <c r="C102" t="s">
        <v>912</v>
      </c>
      <c r="D102" t="s">
        <v>75</v>
      </c>
      <c r="E102" t="s">
        <v>10</v>
      </c>
      <c r="F102">
        <v>2.0</v>
      </c>
      <c r="G102" t="s">
        <v>162</v>
      </c>
    </row>
    <row r="103">
      <c r="A103" t="str">
        <f t="shared" si="1"/>
        <v>Rogue8</v>
      </c>
      <c r="B103" t="s">
        <v>33</v>
      </c>
      <c r="C103" t="s">
        <v>662</v>
      </c>
      <c r="D103" t="s">
        <v>70</v>
      </c>
      <c r="E103" t="s">
        <v>15</v>
      </c>
      <c r="F103">
        <v>1.0</v>
      </c>
      <c r="G103" t="s">
        <v>162</v>
      </c>
    </row>
    <row r="104">
      <c r="A104" t="str">
        <f t="shared" si="1"/>
        <v>Neutral43</v>
      </c>
      <c r="B104" t="s">
        <v>33</v>
      </c>
      <c r="C104" t="s">
        <v>1266</v>
      </c>
      <c r="D104" t="s">
        <v>77</v>
      </c>
      <c r="E104" t="s">
        <v>21</v>
      </c>
      <c r="F104">
        <v>3.0</v>
      </c>
      <c r="G104" t="s">
        <v>188</v>
      </c>
      <c r="H104" t="s">
        <v>498</v>
      </c>
    </row>
    <row r="105">
      <c r="A105" t="str">
        <f t="shared" si="1"/>
        <v>Neutral44</v>
      </c>
      <c r="B105" t="s">
        <v>33</v>
      </c>
      <c r="C105" t="s">
        <v>1268</v>
      </c>
      <c r="D105" t="s">
        <v>77</v>
      </c>
      <c r="E105" t="s">
        <v>21</v>
      </c>
      <c r="F105">
        <v>3.0</v>
      </c>
      <c r="G105" t="s">
        <v>188</v>
      </c>
      <c r="H105" t="s">
        <v>498</v>
      </c>
    </row>
    <row r="106">
      <c r="A106" t="str">
        <f t="shared" si="1"/>
        <v>Warrior10</v>
      </c>
      <c r="B106" t="s">
        <v>33</v>
      </c>
      <c r="C106" t="s">
        <v>957</v>
      </c>
      <c r="D106" t="s">
        <v>75</v>
      </c>
      <c r="E106" t="s">
        <v>21</v>
      </c>
      <c r="F106">
        <v>2.0</v>
      </c>
      <c r="G106" t="s">
        <v>162</v>
      </c>
    </row>
    <row r="107">
      <c r="A107" t="str">
        <f t="shared" si="1"/>
        <v>Rogue9</v>
      </c>
      <c r="B107" t="s">
        <v>33</v>
      </c>
      <c r="C107" t="s">
        <v>664</v>
      </c>
      <c r="D107" t="s">
        <v>70</v>
      </c>
      <c r="E107" t="s">
        <v>15</v>
      </c>
      <c r="F107">
        <v>1.0</v>
      </c>
      <c r="G107" t="s">
        <v>162</v>
      </c>
    </row>
    <row r="108">
      <c r="A108" t="str">
        <f t="shared" si="1"/>
        <v>Mage8</v>
      </c>
      <c r="B108" t="s">
        <v>33</v>
      </c>
      <c r="C108" t="s">
        <v>403</v>
      </c>
      <c r="D108" t="s">
        <v>65</v>
      </c>
      <c r="E108" t="s">
        <v>15</v>
      </c>
      <c r="F108">
        <v>4.0</v>
      </c>
      <c r="G108" t="s">
        <v>162</v>
      </c>
    </row>
    <row r="109">
      <c r="A109" t="str">
        <f t="shared" si="1"/>
        <v>Paladin10</v>
      </c>
      <c r="B109" t="s">
        <v>33</v>
      </c>
      <c r="C109" t="s">
        <v>467</v>
      </c>
      <c r="D109" t="s">
        <v>68</v>
      </c>
      <c r="E109" t="s">
        <v>10</v>
      </c>
      <c r="F109">
        <v>4.0</v>
      </c>
      <c r="G109" t="s">
        <v>162</v>
      </c>
    </row>
    <row r="110">
      <c r="A110" t="str">
        <f t="shared" si="1"/>
        <v>Neutral45</v>
      </c>
      <c r="B110" t="s">
        <v>33</v>
      </c>
      <c r="C110" t="s">
        <v>1050</v>
      </c>
      <c r="D110" t="s">
        <v>77</v>
      </c>
      <c r="E110" t="s">
        <v>10</v>
      </c>
      <c r="F110">
        <v>7.0</v>
      </c>
      <c r="G110" t="s">
        <v>188</v>
      </c>
      <c r="H110" t="s">
        <v>238</v>
      </c>
    </row>
    <row r="111">
      <c r="A111" t="str">
        <f t="shared" si="1"/>
        <v>Warlock5</v>
      </c>
      <c r="B111" t="s">
        <v>33</v>
      </c>
      <c r="C111" t="s">
        <v>821</v>
      </c>
      <c r="D111" t="s">
        <v>73</v>
      </c>
      <c r="E111" t="s">
        <v>10</v>
      </c>
      <c r="F111">
        <v>1.0</v>
      </c>
      <c r="G111" t="s">
        <v>162</v>
      </c>
    </row>
    <row r="112">
      <c r="A112" t="str">
        <f t="shared" si="1"/>
        <v>Mage9</v>
      </c>
      <c r="B112" t="s">
        <v>33</v>
      </c>
      <c r="C112" t="s">
        <v>415</v>
      </c>
      <c r="D112" t="s">
        <v>65</v>
      </c>
      <c r="E112" t="s">
        <v>21</v>
      </c>
      <c r="F112">
        <v>3.0</v>
      </c>
      <c r="G112" t="s">
        <v>162</v>
      </c>
      <c r="H112" t="s">
        <v>299</v>
      </c>
    </row>
    <row r="113">
      <c r="A113" t="str">
        <f t="shared" si="1"/>
        <v>Neutral46</v>
      </c>
      <c r="B113" t="s">
        <v>33</v>
      </c>
      <c r="C113" t="s">
        <v>1244</v>
      </c>
      <c r="D113" t="s">
        <v>77</v>
      </c>
      <c r="E113" t="s">
        <v>21</v>
      </c>
      <c r="F113">
        <v>2.0</v>
      </c>
      <c r="G113" t="s">
        <v>188</v>
      </c>
    </row>
    <row r="114">
      <c r="A114" t="str">
        <f t="shared" si="1"/>
        <v>Warrior11</v>
      </c>
      <c r="B114" t="s">
        <v>33</v>
      </c>
      <c r="C114" t="s">
        <v>933</v>
      </c>
      <c r="D114" t="s">
        <v>75</v>
      </c>
      <c r="E114" t="s">
        <v>15</v>
      </c>
      <c r="F114">
        <v>2.0</v>
      </c>
      <c r="G114" t="s">
        <v>188</v>
      </c>
    </row>
    <row r="115">
      <c r="A115" t="str">
        <f t="shared" si="1"/>
        <v>Neutral47</v>
      </c>
      <c r="B115" t="s">
        <v>33</v>
      </c>
      <c r="C115" t="s">
        <v>1163</v>
      </c>
      <c r="D115" t="s">
        <v>77</v>
      </c>
      <c r="E115" t="s">
        <v>15</v>
      </c>
      <c r="F115">
        <v>4.0</v>
      </c>
      <c r="G115" t="s">
        <v>188</v>
      </c>
    </row>
    <row r="116">
      <c r="A116" t="str">
        <f t="shared" si="1"/>
        <v>Neutral48</v>
      </c>
      <c r="B116" t="s">
        <v>33</v>
      </c>
      <c r="C116" t="s">
        <v>1015</v>
      </c>
      <c r="D116" t="s">
        <v>77</v>
      </c>
      <c r="E116" t="s">
        <v>10</v>
      </c>
      <c r="F116">
        <v>3.0</v>
      </c>
      <c r="G116" t="s">
        <v>188</v>
      </c>
    </row>
    <row r="117">
      <c r="A117" t="str">
        <f t="shared" si="1"/>
        <v>Neutral49</v>
      </c>
      <c r="B117" t="s">
        <v>33</v>
      </c>
      <c r="C117" t="s">
        <v>1165</v>
      </c>
      <c r="D117" t="s">
        <v>77</v>
      </c>
      <c r="E117" t="s">
        <v>15</v>
      </c>
      <c r="F117">
        <v>4.0</v>
      </c>
      <c r="G117" t="s">
        <v>188</v>
      </c>
    </row>
    <row r="118">
      <c r="A118" t="str">
        <f t="shared" si="1"/>
        <v>Neutral50</v>
      </c>
      <c r="B118" t="s">
        <v>33</v>
      </c>
      <c r="C118" t="s">
        <v>1036</v>
      </c>
      <c r="D118" t="s">
        <v>77</v>
      </c>
      <c r="E118" t="s">
        <v>10</v>
      </c>
      <c r="F118">
        <v>5.0</v>
      </c>
      <c r="G118" t="s">
        <v>188</v>
      </c>
    </row>
    <row r="119">
      <c r="A119" t="str">
        <f t="shared" si="1"/>
        <v>Rogue10</v>
      </c>
      <c r="B119" t="s">
        <v>33</v>
      </c>
      <c r="C119" t="s">
        <v>638</v>
      </c>
      <c r="D119" t="s">
        <v>70</v>
      </c>
      <c r="E119" t="s">
        <v>10</v>
      </c>
      <c r="F119">
        <v>1.0</v>
      </c>
      <c r="G119" t="s">
        <v>162</v>
      </c>
    </row>
    <row r="120">
      <c r="A120" t="str">
        <f t="shared" si="1"/>
        <v>Hunter6</v>
      </c>
      <c r="B120" t="s">
        <v>33</v>
      </c>
      <c r="C120" t="s">
        <v>314</v>
      </c>
      <c r="D120" t="s">
        <v>63</v>
      </c>
      <c r="E120" t="s">
        <v>15</v>
      </c>
      <c r="F120">
        <v>3.0</v>
      </c>
      <c r="G120" t="s">
        <v>162</v>
      </c>
    </row>
    <row r="121">
      <c r="A121" t="str">
        <f t="shared" si="1"/>
        <v>Neutral51</v>
      </c>
      <c r="B121" t="s">
        <v>33</v>
      </c>
      <c r="C121" t="s">
        <v>1515</v>
      </c>
      <c r="D121" t="s">
        <v>77</v>
      </c>
      <c r="E121" t="s">
        <v>23</v>
      </c>
      <c r="F121">
        <v>10.0</v>
      </c>
      <c r="G121" t="s">
        <v>188</v>
      </c>
      <c r="H121" t="s">
        <v>446</v>
      </c>
    </row>
    <row r="122">
      <c r="A122" t="str">
        <f t="shared" si="1"/>
        <v>Neutral52</v>
      </c>
      <c r="B122" t="s">
        <v>33</v>
      </c>
      <c r="C122" t="s">
        <v>1306</v>
      </c>
      <c r="D122" t="s">
        <v>77</v>
      </c>
      <c r="E122" t="s">
        <v>21</v>
      </c>
      <c r="F122">
        <v>4.0</v>
      </c>
      <c r="G122" t="s">
        <v>188</v>
      </c>
    </row>
    <row r="123">
      <c r="A123" t="str">
        <f t="shared" si="1"/>
        <v>Rogue11</v>
      </c>
      <c r="B123" t="s">
        <v>33</v>
      </c>
      <c r="C123" t="s">
        <v>668</v>
      </c>
      <c r="D123" t="s">
        <v>70</v>
      </c>
      <c r="E123" t="s">
        <v>15</v>
      </c>
      <c r="F123">
        <v>2.0</v>
      </c>
      <c r="G123" t="s">
        <v>188</v>
      </c>
    </row>
    <row r="124">
      <c r="A124" t="str">
        <f t="shared" si="1"/>
        <v>Neutral53</v>
      </c>
      <c r="B124" t="s">
        <v>33</v>
      </c>
      <c r="C124" t="s">
        <v>1274</v>
      </c>
      <c r="D124" t="s">
        <v>77</v>
      </c>
      <c r="E124" t="s">
        <v>21</v>
      </c>
      <c r="F124">
        <v>3.0</v>
      </c>
      <c r="G124" t="s">
        <v>188</v>
      </c>
      <c r="H124" t="s">
        <v>198</v>
      </c>
    </row>
    <row r="125">
      <c r="A125" t="str">
        <f t="shared" si="1"/>
        <v>Warlock6</v>
      </c>
      <c r="B125" t="s">
        <v>33</v>
      </c>
      <c r="C125" t="s">
        <v>847</v>
      </c>
      <c r="D125" t="s">
        <v>73</v>
      </c>
      <c r="E125" t="s">
        <v>15</v>
      </c>
      <c r="F125">
        <v>2.0</v>
      </c>
      <c r="G125" t="s">
        <v>162</v>
      </c>
    </row>
    <row r="126">
      <c r="A126" t="str">
        <f t="shared" si="1"/>
        <v>Neutral54</v>
      </c>
      <c r="B126" t="s">
        <v>33</v>
      </c>
      <c r="C126" t="s">
        <v>1088</v>
      </c>
      <c r="D126" t="s">
        <v>77</v>
      </c>
      <c r="E126" t="s">
        <v>15</v>
      </c>
      <c r="F126">
        <v>2.0</v>
      </c>
      <c r="G126" t="s">
        <v>188</v>
      </c>
      <c r="H126" t="s">
        <v>238</v>
      </c>
    </row>
    <row r="127">
      <c r="A127" t="str">
        <f t="shared" si="1"/>
        <v>Paladin11</v>
      </c>
      <c r="B127" t="s">
        <v>33</v>
      </c>
      <c r="C127" t="s">
        <v>510</v>
      </c>
      <c r="D127" t="s">
        <v>68</v>
      </c>
      <c r="E127" t="s">
        <v>21</v>
      </c>
      <c r="F127">
        <v>3.0</v>
      </c>
      <c r="G127" t="s">
        <v>162</v>
      </c>
    </row>
    <row r="128">
      <c r="A128" t="str">
        <f t="shared" si="1"/>
        <v>Priest6</v>
      </c>
      <c r="B128" t="s">
        <v>33</v>
      </c>
      <c r="C128" t="s">
        <v>553</v>
      </c>
      <c r="D128" t="s">
        <v>69</v>
      </c>
      <c r="E128" t="s">
        <v>10</v>
      </c>
      <c r="F128">
        <v>2.0</v>
      </c>
      <c r="G128" t="s">
        <v>162</v>
      </c>
    </row>
    <row r="129">
      <c r="A129" t="str">
        <f t="shared" si="1"/>
        <v>Warlock7</v>
      </c>
      <c r="B129" t="s">
        <v>33</v>
      </c>
      <c r="C129" t="s">
        <v>882</v>
      </c>
      <c r="D129" t="s">
        <v>73</v>
      </c>
      <c r="E129" t="s">
        <v>21</v>
      </c>
      <c r="F129">
        <v>5.0</v>
      </c>
      <c r="G129" t="s">
        <v>188</v>
      </c>
      <c r="H129" t="s">
        <v>828</v>
      </c>
    </row>
    <row r="130">
      <c r="A130" t="str">
        <f t="shared" si="1"/>
        <v>Shaman7</v>
      </c>
      <c r="B130" t="s">
        <v>33</v>
      </c>
      <c r="C130" t="s">
        <v>809</v>
      </c>
      <c r="D130" t="s">
        <v>72</v>
      </c>
      <c r="E130" t="s">
        <v>22</v>
      </c>
      <c r="F130">
        <v>5.0</v>
      </c>
      <c r="G130" t="s">
        <v>304</v>
      </c>
    </row>
    <row r="131">
      <c r="A131" t="str">
        <f t="shared" si="1"/>
        <v>Neutral55</v>
      </c>
      <c r="B131" t="s">
        <v>33</v>
      </c>
      <c r="C131" t="s">
        <v>1346</v>
      </c>
      <c r="D131" t="s">
        <v>77</v>
      </c>
      <c r="E131" t="s">
        <v>22</v>
      </c>
      <c r="F131">
        <v>2.0</v>
      </c>
      <c r="G131" t="s">
        <v>188</v>
      </c>
    </row>
    <row r="132">
      <c r="A132" t="str">
        <f t="shared" si="1"/>
        <v>Neutral56</v>
      </c>
      <c r="B132" t="s">
        <v>33</v>
      </c>
      <c r="C132" t="s">
        <v>1028</v>
      </c>
      <c r="D132" t="s">
        <v>77</v>
      </c>
      <c r="E132" t="s">
        <v>10</v>
      </c>
      <c r="F132">
        <v>4.0</v>
      </c>
      <c r="G132" t="s">
        <v>188</v>
      </c>
    </row>
    <row r="133">
      <c r="A133" t="str">
        <f t="shared" si="1"/>
        <v>Warlock8</v>
      </c>
      <c r="B133" t="s">
        <v>33</v>
      </c>
      <c r="C133" t="s">
        <v>831</v>
      </c>
      <c r="D133" t="s">
        <v>73</v>
      </c>
      <c r="E133" t="s">
        <v>10</v>
      </c>
      <c r="F133">
        <v>3.0</v>
      </c>
      <c r="G133" t="s">
        <v>162</v>
      </c>
    </row>
    <row r="134">
      <c r="A134" t="str">
        <f t="shared" si="1"/>
        <v>Neutral57</v>
      </c>
      <c r="B134" t="s">
        <v>33</v>
      </c>
      <c r="C134" t="s">
        <v>1168</v>
      </c>
      <c r="D134" t="s">
        <v>77</v>
      </c>
      <c r="E134" t="s">
        <v>15</v>
      </c>
      <c r="F134">
        <v>4.0</v>
      </c>
      <c r="G134" t="s">
        <v>188</v>
      </c>
      <c r="H134" t="s">
        <v>660</v>
      </c>
    </row>
    <row r="135">
      <c r="A135" t="str">
        <f t="shared" si="1"/>
        <v>Warlock9</v>
      </c>
      <c r="B135" t="s">
        <v>33</v>
      </c>
      <c r="C135" t="s">
        <v>837</v>
      </c>
      <c r="D135" t="s">
        <v>73</v>
      </c>
      <c r="E135" t="s">
        <v>10</v>
      </c>
      <c r="F135">
        <v>6.0</v>
      </c>
      <c r="G135" t="s">
        <v>188</v>
      </c>
      <c r="H135" t="s">
        <v>828</v>
      </c>
    </row>
    <row r="136">
      <c r="A136" t="str">
        <f t="shared" si="1"/>
        <v>Druid8</v>
      </c>
      <c r="B136" t="s">
        <v>33</v>
      </c>
      <c r="C136" t="s">
        <v>222</v>
      </c>
      <c r="D136" t="s">
        <v>60</v>
      </c>
      <c r="E136" t="s">
        <v>15</v>
      </c>
      <c r="F136">
        <v>5.0</v>
      </c>
      <c r="G136" t="s">
        <v>188</v>
      </c>
    </row>
    <row r="137">
      <c r="A137" t="str">
        <f t="shared" si="1"/>
        <v>Shaman8</v>
      </c>
      <c r="B137" t="s">
        <v>33</v>
      </c>
      <c r="C137" t="s">
        <v>749</v>
      </c>
      <c r="D137" t="s">
        <v>72</v>
      </c>
      <c r="E137" t="s">
        <v>15</v>
      </c>
      <c r="F137">
        <v>1.0</v>
      </c>
      <c r="G137" t="s">
        <v>188</v>
      </c>
    </row>
    <row r="138">
      <c r="A138" t="str">
        <f t="shared" si="1"/>
        <v>Hunter7</v>
      </c>
      <c r="B138" t="s">
        <v>33</v>
      </c>
      <c r="C138" t="s">
        <v>326</v>
      </c>
      <c r="D138" t="s">
        <v>63</v>
      </c>
      <c r="E138" t="s">
        <v>21</v>
      </c>
      <c r="F138">
        <v>3.0</v>
      </c>
      <c r="G138" t="s">
        <v>304</v>
      </c>
    </row>
    <row r="139">
      <c r="A139" t="str">
        <f t="shared" si="1"/>
        <v>Shaman9</v>
      </c>
      <c r="B139" t="s">
        <v>33</v>
      </c>
      <c r="C139" t="s">
        <v>811</v>
      </c>
      <c r="D139" t="s">
        <v>72</v>
      </c>
      <c r="E139" t="s">
        <v>22</v>
      </c>
      <c r="F139">
        <v>5.0</v>
      </c>
      <c r="G139" t="s">
        <v>188</v>
      </c>
    </row>
    <row r="140">
      <c r="A140" t="str">
        <f t="shared" si="1"/>
        <v>Shaman10</v>
      </c>
      <c r="B140" t="s">
        <v>33</v>
      </c>
      <c r="C140" t="s">
        <v>751</v>
      </c>
      <c r="D140" t="s">
        <v>72</v>
      </c>
      <c r="E140" t="s">
        <v>15</v>
      </c>
      <c r="F140">
        <v>1.0</v>
      </c>
      <c r="G140" t="s">
        <v>162</v>
      </c>
    </row>
    <row r="141">
      <c r="A141" t="str">
        <f t="shared" si="1"/>
        <v>Neutral58</v>
      </c>
      <c r="B141" t="s">
        <v>33</v>
      </c>
      <c r="C141" t="s">
        <v>1133</v>
      </c>
      <c r="D141" t="s">
        <v>77</v>
      </c>
      <c r="E141" t="s">
        <v>15</v>
      </c>
      <c r="F141">
        <v>3.0</v>
      </c>
      <c r="G141" t="s">
        <v>188</v>
      </c>
    </row>
    <row r="142">
      <c r="A142" t="str">
        <f t="shared" si="1"/>
        <v>Rogue12</v>
      </c>
      <c r="B142" t="s">
        <v>33</v>
      </c>
      <c r="C142" t="s">
        <v>722</v>
      </c>
      <c r="D142" t="s">
        <v>70</v>
      </c>
      <c r="E142" t="s">
        <v>23</v>
      </c>
      <c r="F142">
        <v>3.0</v>
      </c>
      <c r="G142" t="s">
        <v>188</v>
      </c>
    </row>
    <row r="143">
      <c r="A143" t="str">
        <f t="shared" si="1"/>
        <v>Neutral59</v>
      </c>
      <c r="B143" t="s">
        <v>33</v>
      </c>
      <c r="C143" t="s">
        <v>995</v>
      </c>
      <c r="D143" t="s">
        <v>77</v>
      </c>
      <c r="E143" t="s">
        <v>10</v>
      </c>
      <c r="F143">
        <v>1.0</v>
      </c>
      <c r="G143" t="s">
        <v>188</v>
      </c>
    </row>
    <row r="144">
      <c r="A144" t="str">
        <f t="shared" si="1"/>
        <v>Neutral60</v>
      </c>
      <c r="B144" t="s">
        <v>33</v>
      </c>
      <c r="C144" t="s">
        <v>1276</v>
      </c>
      <c r="D144" t="s">
        <v>77</v>
      </c>
      <c r="E144" t="s">
        <v>21</v>
      </c>
      <c r="F144">
        <v>3.0</v>
      </c>
      <c r="G144" t="s">
        <v>188</v>
      </c>
      <c r="H144" t="s">
        <v>238</v>
      </c>
    </row>
    <row r="145">
      <c r="A145" t="str">
        <f t="shared" si="1"/>
        <v>Paladin12</v>
      </c>
      <c r="B145" t="s">
        <v>33</v>
      </c>
      <c r="C145" t="s">
        <v>506</v>
      </c>
      <c r="D145" t="s">
        <v>68</v>
      </c>
      <c r="E145" t="s">
        <v>21</v>
      </c>
      <c r="F145">
        <v>2.0</v>
      </c>
      <c r="G145" t="s">
        <v>162</v>
      </c>
    </row>
    <row r="146">
      <c r="A146" t="str">
        <f t="shared" si="1"/>
        <v>Mage10</v>
      </c>
      <c r="B146" t="s">
        <v>33</v>
      </c>
      <c r="C146" t="s">
        <v>429</v>
      </c>
      <c r="D146" t="s">
        <v>65</v>
      </c>
      <c r="E146" t="s">
        <v>21</v>
      </c>
      <c r="F146">
        <v>4.0</v>
      </c>
      <c r="G146" t="s">
        <v>188</v>
      </c>
    </row>
    <row r="147">
      <c r="A147" t="str">
        <f t="shared" si="1"/>
        <v>Rogue13</v>
      </c>
      <c r="B147" t="s">
        <v>33</v>
      </c>
      <c r="C147" t="s">
        <v>670</v>
      </c>
      <c r="D147" t="s">
        <v>70</v>
      </c>
      <c r="E147" t="s">
        <v>15</v>
      </c>
      <c r="F147">
        <v>2.0</v>
      </c>
      <c r="G147" t="s">
        <v>162</v>
      </c>
    </row>
    <row r="148">
      <c r="A148" t="str">
        <f t="shared" si="1"/>
        <v>Warrior12</v>
      </c>
      <c r="B148" t="s">
        <v>33</v>
      </c>
      <c r="C148" t="s">
        <v>908</v>
      </c>
      <c r="D148" t="s">
        <v>75</v>
      </c>
      <c r="E148" t="s">
        <v>10</v>
      </c>
      <c r="F148">
        <v>1.0</v>
      </c>
      <c r="G148" t="s">
        <v>162</v>
      </c>
    </row>
    <row r="149">
      <c r="A149" t="str">
        <f t="shared" si="1"/>
        <v>Hunter8</v>
      </c>
      <c r="B149" t="s">
        <v>33</v>
      </c>
      <c r="C149" t="s">
        <v>334</v>
      </c>
      <c r="D149" t="s">
        <v>63</v>
      </c>
      <c r="E149" t="s">
        <v>21</v>
      </c>
      <c r="F149">
        <v>5.0</v>
      </c>
      <c r="G149" t="s">
        <v>162</v>
      </c>
    </row>
    <row r="150">
      <c r="A150" t="str">
        <f t="shared" si="1"/>
        <v>Hunter9</v>
      </c>
      <c r="B150" t="s">
        <v>33</v>
      </c>
      <c r="C150" t="s">
        <v>298</v>
      </c>
      <c r="D150" t="s">
        <v>63</v>
      </c>
      <c r="E150" t="s">
        <v>15</v>
      </c>
      <c r="F150">
        <v>2.0</v>
      </c>
      <c r="G150" t="s">
        <v>162</v>
      </c>
      <c r="H150" t="s">
        <v>299</v>
      </c>
    </row>
    <row r="151">
      <c r="A151" t="str">
        <f t="shared" si="1"/>
        <v>Paladin13</v>
      </c>
      <c r="B151" t="s">
        <v>33</v>
      </c>
      <c r="C151" t="s">
        <v>479</v>
      </c>
      <c r="D151" t="s">
        <v>68</v>
      </c>
      <c r="E151" t="s">
        <v>15</v>
      </c>
      <c r="F151">
        <v>1.0</v>
      </c>
      <c r="G151" t="s">
        <v>162</v>
      </c>
      <c r="H151" t="s">
        <v>299</v>
      </c>
    </row>
    <row r="152">
      <c r="A152" t="str">
        <f t="shared" si="1"/>
        <v>Neutral61</v>
      </c>
      <c r="B152" t="s">
        <v>33</v>
      </c>
      <c r="C152" t="s">
        <v>1375</v>
      </c>
      <c r="D152" t="s">
        <v>77</v>
      </c>
      <c r="E152" t="s">
        <v>22</v>
      </c>
      <c r="F152">
        <v>5.0</v>
      </c>
      <c r="G152" t="s">
        <v>188</v>
      </c>
    </row>
    <row r="153">
      <c r="A153" t="str">
        <f t="shared" si="1"/>
        <v>Neutral62</v>
      </c>
      <c r="B153" t="s">
        <v>33</v>
      </c>
      <c r="C153" t="s">
        <v>1092</v>
      </c>
      <c r="D153" t="s">
        <v>77</v>
      </c>
      <c r="E153" t="s">
        <v>15</v>
      </c>
      <c r="F153">
        <v>2.0</v>
      </c>
      <c r="G153" t="s">
        <v>188</v>
      </c>
      <c r="H153" t="s">
        <v>446</v>
      </c>
    </row>
    <row r="154">
      <c r="A154" t="str">
        <f t="shared" si="1"/>
        <v>Rogue14</v>
      </c>
      <c r="B154" t="s">
        <v>33</v>
      </c>
      <c r="C154" t="s">
        <v>648</v>
      </c>
      <c r="D154" t="s">
        <v>70</v>
      </c>
      <c r="E154" t="s">
        <v>10</v>
      </c>
      <c r="F154">
        <v>3.0</v>
      </c>
      <c r="G154" t="s">
        <v>162</v>
      </c>
    </row>
    <row r="155">
      <c r="A155" t="str">
        <f t="shared" si="1"/>
        <v>Shaman11</v>
      </c>
      <c r="B155" t="s">
        <v>33</v>
      </c>
      <c r="C155" t="s">
        <v>801</v>
      </c>
      <c r="D155" t="s">
        <v>72</v>
      </c>
      <c r="E155" t="s">
        <v>22</v>
      </c>
      <c r="F155">
        <v>3.0</v>
      </c>
      <c r="G155" t="s">
        <v>162</v>
      </c>
    </row>
    <row r="156">
      <c r="A156" t="str">
        <f t="shared" si="1"/>
        <v>Warlock10</v>
      </c>
      <c r="B156" t="s">
        <v>33</v>
      </c>
      <c r="C156" t="s">
        <v>870</v>
      </c>
      <c r="D156" t="s">
        <v>73</v>
      </c>
      <c r="E156" t="s">
        <v>21</v>
      </c>
      <c r="F156">
        <v>3.0</v>
      </c>
      <c r="G156" t="s">
        <v>188</v>
      </c>
      <c r="H156" t="s">
        <v>828</v>
      </c>
    </row>
    <row r="157">
      <c r="A157" t="str">
        <f t="shared" si="1"/>
        <v>Neutral63</v>
      </c>
      <c r="B157" t="s">
        <v>33</v>
      </c>
      <c r="C157" t="s">
        <v>1195</v>
      </c>
      <c r="D157" t="s">
        <v>77</v>
      </c>
      <c r="E157" t="s">
        <v>15</v>
      </c>
      <c r="F157">
        <v>5.0</v>
      </c>
      <c r="G157" t="s">
        <v>188</v>
      </c>
    </row>
    <row r="158">
      <c r="A158" t="str">
        <f t="shared" si="1"/>
        <v>Shaman12</v>
      </c>
      <c r="B158" t="s">
        <v>33</v>
      </c>
      <c r="C158" t="s">
        <v>781</v>
      </c>
      <c r="D158" t="s">
        <v>72</v>
      </c>
      <c r="E158" t="s">
        <v>21</v>
      </c>
      <c r="F158">
        <v>3.0</v>
      </c>
      <c r="G158" t="s">
        <v>162</v>
      </c>
    </row>
    <row r="159">
      <c r="A159" t="str">
        <f t="shared" si="1"/>
        <v>Warrior13</v>
      </c>
      <c r="B159" t="s">
        <v>33</v>
      </c>
      <c r="C159" t="s">
        <v>914</v>
      </c>
      <c r="D159" t="s">
        <v>75</v>
      </c>
      <c r="E159" t="s">
        <v>10</v>
      </c>
      <c r="F159">
        <v>2.0</v>
      </c>
      <c r="G159" t="s">
        <v>304</v>
      </c>
    </row>
    <row r="160">
      <c r="A160" t="str">
        <f t="shared" si="1"/>
        <v>Shaman13</v>
      </c>
      <c r="B160" t="s">
        <v>33</v>
      </c>
      <c r="C160" t="s">
        <v>747</v>
      </c>
      <c r="D160" t="s">
        <v>72</v>
      </c>
      <c r="E160" t="s">
        <v>10</v>
      </c>
      <c r="F160">
        <v>6.0</v>
      </c>
      <c r="G160" t="s">
        <v>188</v>
      </c>
    </row>
    <row r="161">
      <c r="A161" t="str">
        <f t="shared" si="1"/>
        <v>Mage11</v>
      </c>
      <c r="B161" t="s">
        <v>33</v>
      </c>
      <c r="C161" t="s">
        <v>378</v>
      </c>
      <c r="D161" t="s">
        <v>65</v>
      </c>
      <c r="E161" t="s">
        <v>10</v>
      </c>
      <c r="F161">
        <v>4.0</v>
      </c>
      <c r="G161" t="s">
        <v>162</v>
      </c>
    </row>
    <row r="162">
      <c r="A162" t="str">
        <f t="shared" si="1"/>
        <v>Warlock11</v>
      </c>
      <c r="B162" t="s">
        <v>33</v>
      </c>
      <c r="C162" t="s">
        <v>841</v>
      </c>
      <c r="D162" t="s">
        <v>73</v>
      </c>
      <c r="E162" t="s">
        <v>15</v>
      </c>
      <c r="F162">
        <v>1.0</v>
      </c>
      <c r="G162" t="s">
        <v>188</v>
      </c>
      <c r="H162" t="s">
        <v>828</v>
      </c>
    </row>
    <row r="163">
      <c r="A163" t="str">
        <f t="shared" si="1"/>
        <v>Mage12</v>
      </c>
      <c r="B163" t="s">
        <v>33</v>
      </c>
      <c r="C163" t="s">
        <v>384</v>
      </c>
      <c r="D163" t="s">
        <v>65</v>
      </c>
      <c r="E163" t="s">
        <v>10</v>
      </c>
      <c r="F163">
        <v>7.0</v>
      </c>
      <c r="G163" t="s">
        <v>162</v>
      </c>
    </row>
    <row r="164">
      <c r="A164" t="str">
        <f t="shared" si="1"/>
        <v>Shaman14</v>
      </c>
      <c r="B164" t="s">
        <v>33</v>
      </c>
      <c r="C164" t="s">
        <v>736</v>
      </c>
      <c r="D164" t="s">
        <v>72</v>
      </c>
      <c r="E164" t="s">
        <v>10</v>
      </c>
      <c r="F164">
        <v>2.0</v>
      </c>
      <c r="G164" t="s">
        <v>188</v>
      </c>
      <c r="H164" t="s">
        <v>737</v>
      </c>
    </row>
    <row r="165">
      <c r="A165" t="str">
        <f t="shared" si="1"/>
        <v>Hunter10</v>
      </c>
      <c r="B165" t="s">
        <v>33</v>
      </c>
      <c r="C165" t="s">
        <v>322</v>
      </c>
      <c r="D165" t="s">
        <v>63</v>
      </c>
      <c r="E165" t="s">
        <v>21</v>
      </c>
      <c r="F165">
        <v>2.0</v>
      </c>
      <c r="G165" t="s">
        <v>162</v>
      </c>
    </row>
    <row r="166">
      <c r="A166" t="str">
        <f t="shared" si="1"/>
        <v>Neutral64</v>
      </c>
      <c r="B166" t="s">
        <v>33</v>
      </c>
      <c r="C166" t="s">
        <v>1135</v>
      </c>
      <c r="D166" t="s">
        <v>77</v>
      </c>
      <c r="E166" t="s">
        <v>15</v>
      </c>
      <c r="F166">
        <v>3.0</v>
      </c>
      <c r="G166" t="s">
        <v>188</v>
      </c>
    </row>
    <row r="167">
      <c r="A167" t="str">
        <f t="shared" si="1"/>
        <v>Druid9</v>
      </c>
      <c r="B167" t="s">
        <v>33</v>
      </c>
      <c r="C167" t="s">
        <v>258</v>
      </c>
      <c r="D167" t="s">
        <v>60</v>
      </c>
      <c r="E167" t="s">
        <v>22</v>
      </c>
      <c r="F167">
        <v>6.0</v>
      </c>
      <c r="G167" t="s">
        <v>162</v>
      </c>
    </row>
    <row r="168">
      <c r="A168" t="str">
        <f t="shared" si="1"/>
        <v>Shaman15</v>
      </c>
      <c r="B168" t="s">
        <v>33</v>
      </c>
      <c r="C168" t="s">
        <v>753</v>
      </c>
      <c r="D168" t="s">
        <v>72</v>
      </c>
      <c r="E168" t="s">
        <v>15</v>
      </c>
      <c r="F168">
        <v>1.0</v>
      </c>
      <c r="G168" t="s">
        <v>162</v>
      </c>
    </row>
    <row r="169">
      <c r="A169" t="str">
        <f t="shared" si="1"/>
        <v>Hunter11</v>
      </c>
      <c r="B169" t="s">
        <v>33</v>
      </c>
      <c r="C169" t="s">
        <v>301</v>
      </c>
      <c r="D169" t="s">
        <v>63</v>
      </c>
      <c r="E169" t="s">
        <v>15</v>
      </c>
      <c r="F169">
        <v>2.0</v>
      </c>
      <c r="G169" t="s">
        <v>162</v>
      </c>
      <c r="H169" t="s">
        <v>299</v>
      </c>
    </row>
    <row r="170">
      <c r="A170" t="str">
        <f t="shared" si="1"/>
        <v>Neutral65</v>
      </c>
      <c r="B170" t="s">
        <v>33</v>
      </c>
      <c r="C170" t="s">
        <v>1213</v>
      </c>
      <c r="D170" t="s">
        <v>77</v>
      </c>
      <c r="E170" t="s">
        <v>15</v>
      </c>
      <c r="F170">
        <v>6.0</v>
      </c>
      <c r="G170" t="s">
        <v>188</v>
      </c>
    </row>
    <row r="171">
      <c r="A171" t="str">
        <f t="shared" si="1"/>
        <v>Mage13</v>
      </c>
      <c r="B171" t="s">
        <v>33</v>
      </c>
      <c r="C171" t="s">
        <v>376</v>
      </c>
      <c r="D171" t="s">
        <v>65</v>
      </c>
      <c r="E171" t="s">
        <v>10</v>
      </c>
      <c r="F171">
        <v>3.0</v>
      </c>
      <c r="G171" t="s">
        <v>162</v>
      </c>
    </row>
    <row r="172">
      <c r="A172" t="str">
        <f t="shared" si="1"/>
        <v>Shaman16</v>
      </c>
      <c r="B172" t="s">
        <v>33</v>
      </c>
      <c r="C172" t="s">
        <v>732</v>
      </c>
      <c r="D172" t="s">
        <v>72</v>
      </c>
      <c r="E172" t="s">
        <v>10</v>
      </c>
      <c r="F172">
        <v>1.0</v>
      </c>
      <c r="G172" t="s">
        <v>162</v>
      </c>
    </row>
    <row r="173">
      <c r="A173" t="str">
        <f t="shared" si="1"/>
        <v>Mage14</v>
      </c>
      <c r="B173" t="s">
        <v>33</v>
      </c>
      <c r="C173" t="s">
        <v>372</v>
      </c>
      <c r="D173" t="s">
        <v>65</v>
      </c>
      <c r="E173" t="s">
        <v>10</v>
      </c>
      <c r="F173">
        <v>2.0</v>
      </c>
      <c r="G173" t="s">
        <v>162</v>
      </c>
    </row>
    <row r="174">
      <c r="A174" t="str">
        <f t="shared" si="1"/>
        <v>Neutral66</v>
      </c>
      <c r="B174" t="s">
        <v>33</v>
      </c>
      <c r="C174" t="s">
        <v>1008</v>
      </c>
      <c r="D174" t="s">
        <v>77</v>
      </c>
      <c r="E174" t="s">
        <v>10</v>
      </c>
      <c r="F174">
        <v>2.0</v>
      </c>
      <c r="G174" t="s">
        <v>188</v>
      </c>
    </row>
    <row r="175">
      <c r="A175" t="str">
        <f t="shared" si="1"/>
        <v>Neutral67</v>
      </c>
      <c r="B175" t="s">
        <v>33</v>
      </c>
      <c r="C175" t="s">
        <v>1038</v>
      </c>
      <c r="D175" t="s">
        <v>77</v>
      </c>
      <c r="E175" t="s">
        <v>10</v>
      </c>
      <c r="F175">
        <v>5.0</v>
      </c>
      <c r="G175" t="s">
        <v>188</v>
      </c>
    </row>
    <row r="176">
      <c r="A176" t="str">
        <f t="shared" si="1"/>
        <v>Warrior14</v>
      </c>
      <c r="B176" t="s">
        <v>33</v>
      </c>
      <c r="C176" t="s">
        <v>963</v>
      </c>
      <c r="D176" t="s">
        <v>75</v>
      </c>
      <c r="E176" t="s">
        <v>21</v>
      </c>
      <c r="F176">
        <v>3.0</v>
      </c>
      <c r="G176" t="s">
        <v>188</v>
      </c>
    </row>
    <row r="177">
      <c r="A177" t="str">
        <f t="shared" si="1"/>
        <v>Neutral68</v>
      </c>
      <c r="B177" t="s">
        <v>33</v>
      </c>
      <c r="C177" t="s">
        <v>1335</v>
      </c>
      <c r="D177" t="s">
        <v>77</v>
      </c>
      <c r="E177" t="s">
        <v>21</v>
      </c>
      <c r="F177">
        <v>6.0</v>
      </c>
      <c r="G177" t="s">
        <v>188</v>
      </c>
    </row>
    <row r="178">
      <c r="A178" t="str">
        <f t="shared" si="1"/>
        <v>Hunter12</v>
      </c>
      <c r="B178" t="s">
        <v>33</v>
      </c>
      <c r="C178" t="s">
        <v>356</v>
      </c>
      <c r="D178" t="s">
        <v>63</v>
      </c>
      <c r="E178" t="s">
        <v>22</v>
      </c>
      <c r="F178">
        <v>7.0</v>
      </c>
      <c r="G178" t="s">
        <v>304</v>
      </c>
    </row>
    <row r="179">
      <c r="A179" t="str">
        <f t="shared" si="1"/>
        <v>Neutral69</v>
      </c>
      <c r="B179" t="s">
        <v>33</v>
      </c>
      <c r="C179" t="s">
        <v>1030</v>
      </c>
      <c r="D179" t="s">
        <v>77</v>
      </c>
      <c r="E179" t="s">
        <v>10</v>
      </c>
      <c r="F179">
        <v>4.0</v>
      </c>
      <c r="G179" t="s">
        <v>188</v>
      </c>
    </row>
    <row r="180">
      <c r="A180" t="str">
        <f t="shared" si="1"/>
        <v>Neutral70</v>
      </c>
      <c r="B180" t="s">
        <v>33</v>
      </c>
      <c r="C180" t="s">
        <v>997</v>
      </c>
      <c r="D180" t="s">
        <v>77</v>
      </c>
      <c r="E180" t="s">
        <v>10</v>
      </c>
      <c r="F180">
        <v>1.0</v>
      </c>
      <c r="G180" t="s">
        <v>188</v>
      </c>
    </row>
    <row r="181">
      <c r="A181" t="str">
        <f t="shared" si="1"/>
        <v>Warrior15</v>
      </c>
      <c r="B181" t="s">
        <v>33</v>
      </c>
      <c r="C181" t="s">
        <v>987</v>
      </c>
      <c r="D181" t="s">
        <v>75</v>
      </c>
      <c r="E181" t="s">
        <v>22</v>
      </c>
      <c r="F181">
        <v>7.0</v>
      </c>
      <c r="G181" t="s">
        <v>304</v>
      </c>
    </row>
    <row r="182">
      <c r="A182" t="str">
        <f t="shared" si="1"/>
        <v>Neutral71</v>
      </c>
      <c r="B182" t="s">
        <v>33</v>
      </c>
      <c r="C182" t="s">
        <v>998</v>
      </c>
      <c r="D182" t="s">
        <v>77</v>
      </c>
      <c r="E182" t="s">
        <v>10</v>
      </c>
      <c r="F182">
        <v>1.0</v>
      </c>
      <c r="G182" t="s">
        <v>188</v>
      </c>
      <c r="H182" t="s">
        <v>498</v>
      </c>
    </row>
    <row r="183">
      <c r="A183" t="str">
        <f t="shared" si="1"/>
        <v>Warrior16</v>
      </c>
      <c r="B183" t="s">
        <v>33</v>
      </c>
      <c r="C183" t="s">
        <v>991</v>
      </c>
      <c r="D183" t="s">
        <v>75</v>
      </c>
      <c r="E183" t="s">
        <v>23</v>
      </c>
      <c r="F183">
        <v>8.0</v>
      </c>
      <c r="G183" t="s">
        <v>188</v>
      </c>
    </row>
    <row r="184">
      <c r="A184" t="str">
        <f t="shared" si="1"/>
        <v>Neutral72</v>
      </c>
      <c r="B184" t="s">
        <v>33</v>
      </c>
      <c r="C184" t="s">
        <v>1489</v>
      </c>
      <c r="D184" t="s">
        <v>77</v>
      </c>
      <c r="E184" t="s">
        <v>23</v>
      </c>
      <c r="F184">
        <v>8.0</v>
      </c>
      <c r="G184" t="s">
        <v>188</v>
      </c>
    </row>
    <row r="185">
      <c r="A185" t="str">
        <f t="shared" si="1"/>
        <v>Paladin14</v>
      </c>
      <c r="B185" t="s">
        <v>33</v>
      </c>
      <c r="C185" t="s">
        <v>473</v>
      </c>
      <c r="D185" t="s">
        <v>68</v>
      </c>
      <c r="E185" t="s">
        <v>10</v>
      </c>
      <c r="F185">
        <v>7.0</v>
      </c>
      <c r="G185" t="s">
        <v>188</v>
      </c>
    </row>
    <row r="186">
      <c r="A186" t="str">
        <f t="shared" si="1"/>
        <v>Neutral73</v>
      </c>
      <c r="B186" t="s">
        <v>33</v>
      </c>
      <c r="C186" t="s">
        <v>1040</v>
      </c>
      <c r="D186" t="s">
        <v>77</v>
      </c>
      <c r="E186" t="s">
        <v>10</v>
      </c>
      <c r="F186">
        <v>5.0</v>
      </c>
      <c r="G186" t="s">
        <v>188</v>
      </c>
    </row>
    <row r="187">
      <c r="A187" t="str">
        <f t="shared" si="1"/>
        <v>Paladin15</v>
      </c>
      <c r="B187" t="s">
        <v>33</v>
      </c>
      <c r="C187" t="s">
        <v>469</v>
      </c>
      <c r="D187" t="s">
        <v>68</v>
      </c>
      <c r="E187" t="s">
        <v>10</v>
      </c>
      <c r="F187">
        <v>4.0</v>
      </c>
      <c r="G187" t="s">
        <v>162</v>
      </c>
    </row>
    <row r="188">
      <c r="A188" t="str">
        <f t="shared" si="1"/>
        <v>Paladin16</v>
      </c>
      <c r="B188" t="s">
        <v>33</v>
      </c>
      <c r="C188" t="s">
        <v>458</v>
      </c>
      <c r="D188" t="s">
        <v>68</v>
      </c>
      <c r="E188" t="s">
        <v>10</v>
      </c>
      <c r="F188">
        <v>1.0</v>
      </c>
      <c r="G188" t="s">
        <v>162</v>
      </c>
    </row>
    <row r="189">
      <c r="A189" t="str">
        <f t="shared" si="1"/>
        <v>Neutral74</v>
      </c>
      <c r="B189" t="s">
        <v>33</v>
      </c>
      <c r="C189" t="s">
        <v>1431</v>
      </c>
      <c r="D189" t="s">
        <v>77</v>
      </c>
      <c r="E189" t="s">
        <v>23</v>
      </c>
      <c r="F189">
        <v>5.0</v>
      </c>
      <c r="G189" t="s">
        <v>188</v>
      </c>
    </row>
    <row r="190">
      <c r="A190" t="str">
        <f t="shared" si="1"/>
        <v>Neutral75</v>
      </c>
      <c r="B190" t="s">
        <v>33</v>
      </c>
      <c r="C190" t="s">
        <v>1140</v>
      </c>
      <c r="D190" t="s">
        <v>77</v>
      </c>
      <c r="E190" t="s">
        <v>15</v>
      </c>
      <c r="F190">
        <v>3.0</v>
      </c>
      <c r="G190" t="s">
        <v>188</v>
      </c>
    </row>
    <row r="191">
      <c r="A191" t="str">
        <f t="shared" si="1"/>
        <v>Rogue15</v>
      </c>
      <c r="B191" t="s">
        <v>33</v>
      </c>
      <c r="C191" t="s">
        <v>692</v>
      </c>
      <c r="D191" t="s">
        <v>70</v>
      </c>
      <c r="E191" t="s">
        <v>21</v>
      </c>
      <c r="F191">
        <v>3.0</v>
      </c>
      <c r="G191" t="s">
        <v>162</v>
      </c>
    </row>
    <row r="192">
      <c r="A192" t="str">
        <f t="shared" si="1"/>
        <v>Druid10</v>
      </c>
      <c r="B192" t="s">
        <v>33</v>
      </c>
      <c r="C192" t="s">
        <v>176</v>
      </c>
      <c r="D192" t="s">
        <v>60</v>
      </c>
      <c r="E192" t="s">
        <v>10</v>
      </c>
      <c r="F192">
        <v>3.0</v>
      </c>
      <c r="G192" t="s">
        <v>162</v>
      </c>
    </row>
    <row r="193">
      <c r="A193" t="str">
        <f t="shared" si="1"/>
        <v>Warlock12</v>
      </c>
      <c r="B193" t="s">
        <v>33</v>
      </c>
      <c r="C193" t="s">
        <v>835</v>
      </c>
      <c r="D193" t="s">
        <v>73</v>
      </c>
      <c r="E193" t="s">
        <v>10</v>
      </c>
      <c r="F193">
        <v>4.0</v>
      </c>
      <c r="G193" t="s">
        <v>162</v>
      </c>
    </row>
    <row r="194">
      <c r="A194" t="str">
        <f t="shared" si="1"/>
        <v>Warrior17</v>
      </c>
      <c r="B194" t="s">
        <v>33</v>
      </c>
      <c r="C194" t="s">
        <v>915</v>
      </c>
      <c r="D194" t="s">
        <v>75</v>
      </c>
      <c r="E194" t="s">
        <v>10</v>
      </c>
      <c r="F194">
        <v>2.0</v>
      </c>
      <c r="G194" t="s">
        <v>162</v>
      </c>
    </row>
    <row r="195">
      <c r="A195" t="str">
        <f t="shared" si="1"/>
        <v>Shaman17</v>
      </c>
      <c r="B195" t="s">
        <v>33</v>
      </c>
      <c r="C195" t="s">
        <v>741</v>
      </c>
      <c r="D195" t="s">
        <v>72</v>
      </c>
      <c r="E195" t="s">
        <v>10</v>
      </c>
      <c r="F195">
        <v>3.0</v>
      </c>
      <c r="G195" t="s">
        <v>162</v>
      </c>
    </row>
    <row r="196">
      <c r="A196" t="str">
        <f t="shared" si="1"/>
        <v>Neutral76</v>
      </c>
      <c r="B196" t="s">
        <v>33</v>
      </c>
      <c r="C196" t="s">
        <v>1455</v>
      </c>
      <c r="D196" t="s">
        <v>77</v>
      </c>
      <c r="E196" t="s">
        <v>23</v>
      </c>
      <c r="F196">
        <v>6.0</v>
      </c>
      <c r="G196" t="s">
        <v>188</v>
      </c>
    </row>
    <row r="197">
      <c r="A197" t="str">
        <f t="shared" si="1"/>
        <v>Priest7</v>
      </c>
      <c r="B197" t="s">
        <v>33</v>
      </c>
      <c r="C197" t="s">
        <v>614</v>
      </c>
      <c r="D197" t="s">
        <v>69</v>
      </c>
      <c r="E197" t="s">
        <v>21</v>
      </c>
      <c r="F197">
        <v>6.0</v>
      </c>
      <c r="G197" t="s">
        <v>162</v>
      </c>
    </row>
    <row r="198">
      <c r="A198" t="str">
        <f t="shared" si="1"/>
        <v>Paladin17</v>
      </c>
      <c r="B198" t="s">
        <v>33</v>
      </c>
      <c r="C198" t="s">
        <v>463</v>
      </c>
      <c r="D198" t="s">
        <v>68</v>
      </c>
      <c r="E198" t="s">
        <v>10</v>
      </c>
      <c r="F198">
        <v>2.0</v>
      </c>
      <c r="G198" t="s">
        <v>162</v>
      </c>
    </row>
    <row r="199">
      <c r="A199" t="str">
        <f t="shared" si="1"/>
        <v>Priest8</v>
      </c>
      <c r="B199" t="s">
        <v>33</v>
      </c>
      <c r="C199" t="s">
        <v>561</v>
      </c>
      <c r="D199" t="s">
        <v>69</v>
      </c>
      <c r="E199" t="s">
        <v>10</v>
      </c>
      <c r="F199">
        <v>5.0</v>
      </c>
      <c r="G199" t="s">
        <v>162</v>
      </c>
    </row>
    <row r="200">
      <c r="A200" t="str">
        <f t="shared" si="1"/>
        <v>Priest9</v>
      </c>
      <c r="B200" t="s">
        <v>33</v>
      </c>
      <c r="C200" t="s">
        <v>546</v>
      </c>
      <c r="D200" t="s">
        <v>69</v>
      </c>
      <c r="E200" t="s">
        <v>10</v>
      </c>
      <c r="F200">
        <v>1.0</v>
      </c>
      <c r="G200" t="s">
        <v>162</v>
      </c>
    </row>
    <row r="201">
      <c r="A201" t="str">
        <f t="shared" si="1"/>
        <v>Paladin18</v>
      </c>
      <c r="B201" t="s">
        <v>33</v>
      </c>
      <c r="C201" t="s">
        <v>522</v>
      </c>
      <c r="D201" t="s">
        <v>68</v>
      </c>
      <c r="E201" t="s">
        <v>21</v>
      </c>
      <c r="F201">
        <v>5.0</v>
      </c>
      <c r="G201" t="s">
        <v>162</v>
      </c>
    </row>
    <row r="202">
      <c r="A202" t="str">
        <f t="shared" si="1"/>
        <v>Hunter13</v>
      </c>
      <c r="B202" t="s">
        <v>33</v>
      </c>
      <c r="C202" t="s">
        <v>284</v>
      </c>
      <c r="D202" t="s">
        <v>63</v>
      </c>
      <c r="E202" t="s">
        <v>10</v>
      </c>
      <c r="F202">
        <v>4.0</v>
      </c>
      <c r="G202" t="s">
        <v>188</v>
      </c>
    </row>
    <row r="203">
      <c r="A203" t="str">
        <f t="shared" si="1"/>
        <v>Paladin19</v>
      </c>
      <c r="B203" t="s">
        <v>33</v>
      </c>
      <c r="C203" t="s">
        <v>460</v>
      </c>
      <c r="D203" t="s">
        <v>68</v>
      </c>
      <c r="E203" t="s">
        <v>10</v>
      </c>
      <c r="F203">
        <v>1.0</v>
      </c>
      <c r="G203" t="s">
        <v>162</v>
      </c>
    </row>
    <row r="204">
      <c r="A204" t="str">
        <f t="shared" si="1"/>
        <v>Neutral77</v>
      </c>
      <c r="B204" t="s">
        <v>33</v>
      </c>
      <c r="C204" t="s">
        <v>1342</v>
      </c>
      <c r="D204" t="s">
        <v>77</v>
      </c>
      <c r="E204" t="s">
        <v>22</v>
      </c>
      <c r="F204">
        <v>1.0</v>
      </c>
      <c r="G204" t="s">
        <v>188</v>
      </c>
      <c r="H204" t="s">
        <v>238</v>
      </c>
    </row>
    <row r="205">
      <c r="A205" t="str">
        <f t="shared" si="1"/>
        <v>Hunter14</v>
      </c>
      <c r="B205" t="s">
        <v>33</v>
      </c>
      <c r="C205" t="s">
        <v>272</v>
      </c>
      <c r="D205" t="s">
        <v>63</v>
      </c>
      <c r="E205" t="s">
        <v>10</v>
      </c>
      <c r="F205">
        <v>0.0</v>
      </c>
      <c r="G205" t="s">
        <v>162</v>
      </c>
    </row>
    <row r="206">
      <c r="A206" t="str">
        <f t="shared" si="1"/>
        <v>Mage15</v>
      </c>
      <c r="B206" t="s">
        <v>33</v>
      </c>
      <c r="C206" t="s">
        <v>397</v>
      </c>
      <c r="D206" t="s">
        <v>65</v>
      </c>
      <c r="E206" t="s">
        <v>15</v>
      </c>
      <c r="F206">
        <v>3.0</v>
      </c>
      <c r="G206" t="s">
        <v>162</v>
      </c>
      <c r="H206" t="s">
        <v>299</v>
      </c>
    </row>
    <row r="207">
      <c r="A207" t="str">
        <f t="shared" si="1"/>
        <v>Mage16</v>
      </c>
      <c r="B207" t="s">
        <v>33</v>
      </c>
      <c r="C207" t="s">
        <v>437</v>
      </c>
      <c r="D207" t="s">
        <v>65</v>
      </c>
      <c r="E207" t="s">
        <v>22</v>
      </c>
      <c r="F207">
        <v>3.0</v>
      </c>
      <c r="G207" t="s">
        <v>162</v>
      </c>
      <c r="H207" t="s">
        <v>299</v>
      </c>
    </row>
    <row r="208">
      <c r="A208" t="str">
        <f t="shared" si="1"/>
        <v>Mage17</v>
      </c>
      <c r="B208" t="s">
        <v>33</v>
      </c>
      <c r="C208" t="s">
        <v>386</v>
      </c>
      <c r="D208" t="s">
        <v>65</v>
      </c>
      <c r="E208" t="s">
        <v>15</v>
      </c>
      <c r="F208">
        <v>1.0</v>
      </c>
      <c r="G208" t="s">
        <v>162</v>
      </c>
    </row>
    <row r="209">
      <c r="A209" t="str">
        <f t="shared" si="1"/>
        <v>Neutral78</v>
      </c>
      <c r="B209" t="s">
        <v>33</v>
      </c>
      <c r="C209" t="s">
        <v>1457</v>
      </c>
      <c r="D209" t="s">
        <v>77</v>
      </c>
      <c r="E209" t="s">
        <v>23</v>
      </c>
      <c r="F209">
        <v>6.0</v>
      </c>
      <c r="G209" t="s">
        <v>188</v>
      </c>
      <c r="H209" t="s">
        <v>828</v>
      </c>
    </row>
    <row r="210">
      <c r="A210" t="str">
        <f t="shared" si="1"/>
        <v>Neutral79</v>
      </c>
      <c r="B210" t="s">
        <v>33</v>
      </c>
      <c r="C210" t="s">
        <v>1286</v>
      </c>
      <c r="D210" t="s">
        <v>77</v>
      </c>
      <c r="E210" t="s">
        <v>21</v>
      </c>
      <c r="F210">
        <v>3.0</v>
      </c>
      <c r="G210" t="s">
        <v>188</v>
      </c>
    </row>
    <row r="211">
      <c r="A211" t="str">
        <f t="shared" si="1"/>
        <v>Neutral80</v>
      </c>
      <c r="B211" t="s">
        <v>33</v>
      </c>
      <c r="C211" t="s">
        <v>1288</v>
      </c>
      <c r="D211" t="s">
        <v>77</v>
      </c>
      <c r="E211" t="s">
        <v>21</v>
      </c>
      <c r="F211">
        <v>3.0</v>
      </c>
      <c r="G211" t="s">
        <v>188</v>
      </c>
    </row>
    <row r="212">
      <c r="A212" t="str">
        <f t="shared" si="1"/>
        <v>Priest10</v>
      </c>
      <c r="B212" t="s">
        <v>33</v>
      </c>
      <c r="C212" t="s">
        <v>571</v>
      </c>
      <c r="D212" t="s">
        <v>69</v>
      </c>
      <c r="E212" t="s">
        <v>15</v>
      </c>
      <c r="F212">
        <v>1.0</v>
      </c>
      <c r="G212" t="s">
        <v>162</v>
      </c>
    </row>
    <row r="213">
      <c r="A213" t="str">
        <f t="shared" si="1"/>
        <v>Warrior18</v>
      </c>
      <c r="B213" t="s">
        <v>33</v>
      </c>
      <c r="C213" t="s">
        <v>925</v>
      </c>
      <c r="D213" t="s">
        <v>75</v>
      </c>
      <c r="E213" t="s">
        <v>15</v>
      </c>
      <c r="F213">
        <v>0.0</v>
      </c>
      <c r="G213" t="s">
        <v>162</v>
      </c>
    </row>
    <row r="214">
      <c r="A214" t="str">
        <f t="shared" si="1"/>
        <v>Druid11</v>
      </c>
      <c r="B214" t="s">
        <v>33</v>
      </c>
      <c r="C214" t="s">
        <v>161</v>
      </c>
      <c r="D214" t="s">
        <v>60</v>
      </c>
      <c r="E214" t="s">
        <v>10</v>
      </c>
      <c r="F214">
        <v>0.0</v>
      </c>
      <c r="G214" t="s">
        <v>162</v>
      </c>
    </row>
    <row r="215">
      <c r="A215" t="str">
        <f t="shared" si="1"/>
        <v>Druid12</v>
      </c>
      <c r="B215" t="s">
        <v>33</v>
      </c>
      <c r="C215" t="s">
        <v>187</v>
      </c>
      <c r="D215" t="s">
        <v>60</v>
      </c>
      <c r="E215" t="s">
        <v>10</v>
      </c>
      <c r="F215">
        <v>8.0</v>
      </c>
      <c r="G215" t="s">
        <v>188</v>
      </c>
    </row>
    <row r="216">
      <c r="A216" t="str">
        <f t="shared" si="1"/>
        <v>Neutral81</v>
      </c>
      <c r="B216" t="s">
        <v>33</v>
      </c>
      <c r="C216" t="s">
        <v>1099</v>
      </c>
      <c r="D216" t="s">
        <v>77</v>
      </c>
      <c r="E216" t="s">
        <v>15</v>
      </c>
      <c r="F216">
        <v>2.0</v>
      </c>
      <c r="G216" t="s">
        <v>188</v>
      </c>
      <c r="H216" t="s">
        <v>238</v>
      </c>
    </row>
    <row r="217">
      <c r="A217" t="str">
        <f t="shared" si="1"/>
        <v>Neutral82</v>
      </c>
      <c r="B217" t="s">
        <v>33</v>
      </c>
      <c r="C217" t="s">
        <v>1016</v>
      </c>
      <c r="D217" t="s">
        <v>77</v>
      </c>
      <c r="E217" t="s">
        <v>10</v>
      </c>
      <c r="F217">
        <v>3.0</v>
      </c>
      <c r="G217" t="s">
        <v>188</v>
      </c>
    </row>
    <row r="218">
      <c r="A218" t="str">
        <f t="shared" si="1"/>
        <v>Neutral83</v>
      </c>
      <c r="B218" t="s">
        <v>33</v>
      </c>
      <c r="C218" t="s">
        <v>1017</v>
      </c>
      <c r="D218" t="s">
        <v>77</v>
      </c>
      <c r="E218" t="s">
        <v>10</v>
      </c>
      <c r="F218">
        <v>3.0</v>
      </c>
      <c r="G218" t="s">
        <v>188</v>
      </c>
      <c r="H218" t="s">
        <v>238</v>
      </c>
    </row>
    <row r="219">
      <c r="A219" t="str">
        <f t="shared" si="1"/>
        <v>Neutral84</v>
      </c>
      <c r="B219" t="s">
        <v>33</v>
      </c>
      <c r="C219" t="s">
        <v>1143</v>
      </c>
      <c r="D219" t="s">
        <v>77</v>
      </c>
      <c r="E219" t="s">
        <v>15</v>
      </c>
      <c r="F219">
        <v>3.0</v>
      </c>
      <c r="G219" t="s">
        <v>188</v>
      </c>
      <c r="H219" t="s">
        <v>238</v>
      </c>
    </row>
    <row r="220">
      <c r="A220" t="str">
        <f t="shared" si="1"/>
        <v>Druid13</v>
      </c>
      <c r="B220" t="s">
        <v>33</v>
      </c>
      <c r="C220" t="s">
        <v>235</v>
      </c>
      <c r="D220" t="s">
        <v>60</v>
      </c>
      <c r="E220" t="s">
        <v>21</v>
      </c>
      <c r="F220">
        <v>4.0</v>
      </c>
      <c r="G220" t="s">
        <v>188</v>
      </c>
    </row>
    <row r="221">
      <c r="A221" t="str">
        <f t="shared" si="1"/>
        <v>Rogue16</v>
      </c>
      <c r="B221" t="s">
        <v>33</v>
      </c>
      <c r="C221" t="s">
        <v>720</v>
      </c>
      <c r="D221" t="s">
        <v>70</v>
      </c>
      <c r="E221" t="s">
        <v>22</v>
      </c>
      <c r="F221">
        <v>6.0</v>
      </c>
      <c r="G221" t="s">
        <v>188</v>
      </c>
    </row>
    <row r="222">
      <c r="A222" t="str">
        <f t="shared" si="1"/>
        <v>Hunter15</v>
      </c>
      <c r="B222" t="s">
        <v>33</v>
      </c>
      <c r="C222" t="s">
        <v>282</v>
      </c>
      <c r="D222" t="s">
        <v>63</v>
      </c>
      <c r="E222" t="s">
        <v>10</v>
      </c>
      <c r="F222">
        <v>3.0</v>
      </c>
      <c r="G222" t="s">
        <v>162</v>
      </c>
    </row>
    <row r="223">
      <c r="A223" t="str">
        <f t="shared" si="1"/>
        <v>Hunter16</v>
      </c>
      <c r="B223" t="s">
        <v>33</v>
      </c>
      <c r="C223" t="s">
        <v>364</v>
      </c>
      <c r="D223" t="s">
        <v>63</v>
      </c>
      <c r="E223" t="s">
        <v>23</v>
      </c>
      <c r="F223">
        <v>9.0</v>
      </c>
      <c r="G223" t="s">
        <v>188</v>
      </c>
      <c r="H223" t="s">
        <v>238</v>
      </c>
    </row>
    <row r="224">
      <c r="A224" t="str">
        <f t="shared" si="1"/>
        <v>Neutral85</v>
      </c>
      <c r="B224" t="s">
        <v>33</v>
      </c>
      <c r="C224" t="s">
        <v>1413</v>
      </c>
      <c r="D224" t="s">
        <v>77</v>
      </c>
      <c r="E224" t="s">
        <v>23</v>
      </c>
      <c r="F224">
        <v>3.0</v>
      </c>
      <c r="G224" t="s">
        <v>188</v>
      </c>
      <c r="H224" t="s">
        <v>238</v>
      </c>
    </row>
    <row r="225">
      <c r="A225" t="str">
        <f t="shared" si="1"/>
        <v>Mage18</v>
      </c>
      <c r="B225" t="s">
        <v>33</v>
      </c>
      <c r="C225" t="s">
        <v>421</v>
      </c>
      <c r="D225" t="s">
        <v>65</v>
      </c>
      <c r="E225" t="s">
        <v>21</v>
      </c>
      <c r="F225">
        <v>3.0</v>
      </c>
      <c r="G225" t="s">
        <v>188</v>
      </c>
    </row>
    <row r="226">
      <c r="A226" t="str">
        <f t="shared" si="1"/>
        <v>Neutral86</v>
      </c>
      <c r="B226" t="s">
        <v>33</v>
      </c>
      <c r="C226" t="s">
        <v>1246</v>
      </c>
      <c r="D226" t="s">
        <v>77</v>
      </c>
      <c r="E226" t="s">
        <v>21</v>
      </c>
      <c r="F226">
        <v>2.0</v>
      </c>
      <c r="G226" t="s">
        <v>188</v>
      </c>
    </row>
    <row r="227">
      <c r="A227" t="str">
        <f t="shared" si="1"/>
        <v>Neutral87</v>
      </c>
      <c r="B227" t="s">
        <v>33</v>
      </c>
      <c r="C227" t="s">
        <v>1009</v>
      </c>
      <c r="D227" t="s">
        <v>77</v>
      </c>
      <c r="E227" t="s">
        <v>10</v>
      </c>
      <c r="F227">
        <v>2.0</v>
      </c>
      <c r="G227" t="s">
        <v>188</v>
      </c>
    </row>
    <row r="228">
      <c r="A228" t="str">
        <f t="shared" si="1"/>
        <v>Warrior19</v>
      </c>
      <c r="B228" t="s">
        <v>33</v>
      </c>
      <c r="C228" t="s">
        <v>1766</v>
      </c>
      <c r="D228" t="s">
        <v>75</v>
      </c>
      <c r="E228" t="s">
        <v>10</v>
      </c>
      <c r="F228">
        <v>4.0</v>
      </c>
      <c r="G228" t="s">
        <v>188</v>
      </c>
    </row>
    <row r="229">
      <c r="A229" t="str">
        <f t="shared" si="1"/>
        <v>Shaman18</v>
      </c>
      <c r="B229" t="s">
        <v>33</v>
      </c>
      <c r="C229" t="s">
        <v>785</v>
      </c>
      <c r="D229" t="s">
        <v>72</v>
      </c>
      <c r="E229" t="s">
        <v>21</v>
      </c>
      <c r="F229">
        <v>3.0</v>
      </c>
      <c r="G229" t="s">
        <v>162</v>
      </c>
    </row>
    <row r="230">
      <c r="A230" t="str">
        <f t="shared" si="1"/>
        <v>Paladin20</v>
      </c>
      <c r="B230" t="s">
        <v>33</v>
      </c>
      <c r="C230" t="s">
        <v>538</v>
      </c>
      <c r="D230" t="s">
        <v>68</v>
      </c>
      <c r="E230" t="s">
        <v>22</v>
      </c>
      <c r="F230">
        <v>8.0</v>
      </c>
      <c r="G230" t="s">
        <v>162</v>
      </c>
    </row>
    <row r="231">
      <c r="A231" t="str">
        <f t="shared" si="1"/>
        <v>Neutral88</v>
      </c>
      <c r="B231" t="s">
        <v>33</v>
      </c>
      <c r="C231" t="s">
        <v>1435</v>
      </c>
      <c r="D231" t="s">
        <v>77</v>
      </c>
      <c r="E231" t="s">
        <v>23</v>
      </c>
      <c r="F231">
        <v>5.0</v>
      </c>
      <c r="G231" t="s">
        <v>188</v>
      </c>
    </row>
    <row r="232">
      <c r="A232" t="str">
        <f t="shared" si="1"/>
        <v>Neutral89</v>
      </c>
      <c r="B232" t="s">
        <v>33</v>
      </c>
      <c r="C232" t="s">
        <v>1064</v>
      </c>
      <c r="D232" t="s">
        <v>77</v>
      </c>
      <c r="E232" t="s">
        <v>15</v>
      </c>
      <c r="F232">
        <v>1.0</v>
      </c>
      <c r="G232" t="s">
        <v>188</v>
      </c>
    </row>
    <row r="233">
      <c r="A233" t="str">
        <f t="shared" si="1"/>
        <v>Paladin21</v>
      </c>
      <c r="B233" t="s">
        <v>33</v>
      </c>
      <c r="C233" t="s">
        <v>462</v>
      </c>
      <c r="D233" t="s">
        <v>68</v>
      </c>
      <c r="E233" t="s">
        <v>10</v>
      </c>
      <c r="F233">
        <v>1.0</v>
      </c>
      <c r="G233" t="s">
        <v>304</v>
      </c>
    </row>
    <row r="234">
      <c r="A234" t="str">
        <f t="shared" si="1"/>
        <v>Shaman19</v>
      </c>
      <c r="B234" t="s">
        <v>33</v>
      </c>
      <c r="C234" t="s">
        <v>755</v>
      </c>
      <c r="D234" t="s">
        <v>72</v>
      </c>
      <c r="E234" t="s">
        <v>15</v>
      </c>
      <c r="F234">
        <v>1.0</v>
      </c>
      <c r="G234" t="s">
        <v>162</v>
      </c>
    </row>
    <row r="235">
      <c r="A235" t="str">
        <f t="shared" si="1"/>
        <v>Shaman20</v>
      </c>
      <c r="B235" t="s">
        <v>33</v>
      </c>
      <c r="C235" t="s">
        <v>787</v>
      </c>
      <c r="D235" t="s">
        <v>72</v>
      </c>
      <c r="E235" t="s">
        <v>21</v>
      </c>
      <c r="F235">
        <v>3.0</v>
      </c>
      <c r="G235" t="s">
        <v>162</v>
      </c>
    </row>
    <row r="236">
      <c r="A236" t="str">
        <f t="shared" si="1"/>
        <v>Priest11</v>
      </c>
      <c r="B236" t="s">
        <v>33</v>
      </c>
      <c r="C236" t="s">
        <v>587</v>
      </c>
      <c r="D236" t="s">
        <v>69</v>
      </c>
      <c r="E236" t="s">
        <v>15</v>
      </c>
      <c r="F236">
        <v>4.0</v>
      </c>
      <c r="G236" t="s">
        <v>188</v>
      </c>
    </row>
    <row r="237">
      <c r="A237" t="str">
        <f t="shared" si="1"/>
        <v>Neutral90</v>
      </c>
      <c r="B237" t="s">
        <v>33</v>
      </c>
      <c r="C237" t="s">
        <v>1233</v>
      </c>
      <c r="D237" t="s">
        <v>77</v>
      </c>
      <c r="E237" t="s">
        <v>21</v>
      </c>
      <c r="F237">
        <v>1.0</v>
      </c>
      <c r="G237" t="s">
        <v>188</v>
      </c>
    </row>
    <row r="238">
      <c r="A238" t="str">
        <f t="shared" si="1"/>
        <v>Priest12</v>
      </c>
      <c r="B238" t="s">
        <v>33</v>
      </c>
      <c r="C238" t="s">
        <v>596</v>
      </c>
      <c r="D238" t="s">
        <v>69</v>
      </c>
      <c r="E238" t="s">
        <v>21</v>
      </c>
      <c r="F238">
        <v>2.0</v>
      </c>
      <c r="G238" t="s">
        <v>188</v>
      </c>
    </row>
    <row r="239">
      <c r="A239" t="str">
        <f t="shared" si="1"/>
        <v>Neutral91</v>
      </c>
      <c r="B239" t="s">
        <v>33</v>
      </c>
      <c r="C239" t="s">
        <v>1103</v>
      </c>
      <c r="D239" t="s">
        <v>77</v>
      </c>
      <c r="E239" t="s">
        <v>15</v>
      </c>
      <c r="F239">
        <v>2.0</v>
      </c>
      <c r="G239" t="s">
        <v>188</v>
      </c>
    </row>
    <row r="240">
      <c r="A240" t="str">
        <f t="shared" si="1"/>
        <v>Warlock13</v>
      </c>
      <c r="B240" t="s">
        <v>33</v>
      </c>
      <c r="C240" t="s">
        <v>904</v>
      </c>
      <c r="D240" t="s">
        <v>73</v>
      </c>
      <c r="E240" t="s">
        <v>23</v>
      </c>
      <c r="F240">
        <v>9.0</v>
      </c>
      <c r="G240" t="s">
        <v>188</v>
      </c>
      <c r="H240" t="s">
        <v>828</v>
      </c>
    </row>
    <row r="241">
      <c r="A241" t="str">
        <f t="shared" si="1"/>
        <v>Neutral92</v>
      </c>
      <c r="B241" t="s">
        <v>33</v>
      </c>
      <c r="C241" t="s">
        <v>1048</v>
      </c>
      <c r="D241" t="s">
        <v>77</v>
      </c>
      <c r="E241" t="s">
        <v>10</v>
      </c>
      <c r="F241">
        <v>6.0</v>
      </c>
      <c r="G241" t="s">
        <v>188</v>
      </c>
    </row>
    <row r="242">
      <c r="A242" t="str">
        <f t="shared" si="1"/>
        <v>Neutral93</v>
      </c>
      <c r="B242" t="s">
        <v>33</v>
      </c>
      <c r="C242" t="s">
        <v>1403</v>
      </c>
      <c r="D242" t="s">
        <v>77</v>
      </c>
      <c r="E242" t="s">
        <v>23</v>
      </c>
      <c r="F242">
        <v>2.0</v>
      </c>
      <c r="G242" t="s">
        <v>188</v>
      </c>
    </row>
    <row r="243">
      <c r="A243" t="str">
        <f t="shared" si="1"/>
        <v>Neutral94</v>
      </c>
      <c r="B243" t="s">
        <v>33</v>
      </c>
      <c r="C243" t="s">
        <v>1105</v>
      </c>
      <c r="D243" t="s">
        <v>77</v>
      </c>
      <c r="E243" t="s">
        <v>15</v>
      </c>
      <c r="F243">
        <v>2.0</v>
      </c>
      <c r="G243" t="s">
        <v>188</v>
      </c>
    </row>
    <row r="244">
      <c r="A244" t="str">
        <f t="shared" si="1"/>
        <v>Neutral95</v>
      </c>
      <c r="B244" t="s">
        <v>33</v>
      </c>
      <c r="C244" t="s">
        <v>1018</v>
      </c>
      <c r="D244" t="s">
        <v>77</v>
      </c>
      <c r="E244" t="s">
        <v>10</v>
      </c>
      <c r="F244">
        <v>3.0</v>
      </c>
      <c r="G244" t="s">
        <v>188</v>
      </c>
    </row>
    <row r="245">
      <c r="A245" t="str">
        <f t="shared" si="1"/>
        <v>Neutral96</v>
      </c>
      <c r="B245" t="s">
        <v>33</v>
      </c>
      <c r="C245" t="s">
        <v>1503</v>
      </c>
      <c r="D245" t="s">
        <v>77</v>
      </c>
      <c r="E245" t="s">
        <v>23</v>
      </c>
      <c r="F245">
        <v>9.0</v>
      </c>
      <c r="G245" t="s">
        <v>188</v>
      </c>
      <c r="H245" t="s">
        <v>446</v>
      </c>
    </row>
    <row r="246">
      <c r="A246" t="str">
        <f t="shared" si="1"/>
        <v>Neutral97</v>
      </c>
      <c r="B246" t="s">
        <v>33</v>
      </c>
      <c r="C246" t="s">
        <v>1248</v>
      </c>
      <c r="D246" t="s">
        <v>77</v>
      </c>
      <c r="E246" t="s">
        <v>21</v>
      </c>
      <c r="F246">
        <v>2.0</v>
      </c>
      <c r="G246" t="s">
        <v>188</v>
      </c>
    </row>
    <row r="247">
      <c r="A247" t="str">
        <f t="shared" si="1"/>
        <v>Shaman21</v>
      </c>
      <c r="B247" t="s">
        <v>33</v>
      </c>
      <c r="C247" t="s">
        <v>789</v>
      </c>
      <c r="D247" t="s">
        <v>72</v>
      </c>
      <c r="E247" t="s">
        <v>21</v>
      </c>
      <c r="F247">
        <v>3.0</v>
      </c>
      <c r="G247" t="s">
        <v>188</v>
      </c>
      <c r="H247" t="s">
        <v>737</v>
      </c>
    </row>
    <row r="248">
      <c r="A248" t="str">
        <f t="shared" si="1"/>
        <v>Neutral98</v>
      </c>
      <c r="B248" t="s">
        <v>33</v>
      </c>
      <c r="C248" t="s">
        <v>1250</v>
      </c>
      <c r="D248" t="s">
        <v>77</v>
      </c>
      <c r="E248" t="s">
        <v>21</v>
      </c>
      <c r="F248">
        <v>2.0</v>
      </c>
      <c r="G248" t="s">
        <v>188</v>
      </c>
    </row>
    <row r="249">
      <c r="A249" t="str">
        <f t="shared" si="1"/>
        <v>Mage19</v>
      </c>
      <c r="B249" t="s">
        <v>33</v>
      </c>
      <c r="C249" t="s">
        <v>388</v>
      </c>
      <c r="D249" t="s">
        <v>65</v>
      </c>
      <c r="E249" t="s">
        <v>15</v>
      </c>
      <c r="F249">
        <v>1.0</v>
      </c>
      <c r="G249" t="s">
        <v>188</v>
      </c>
    </row>
    <row r="250">
      <c r="A250" t="str">
        <f t="shared" si="1"/>
        <v>Druid14</v>
      </c>
      <c r="B250" t="s">
        <v>33</v>
      </c>
      <c r="C250" t="s">
        <v>210</v>
      </c>
      <c r="D250" t="s">
        <v>60</v>
      </c>
      <c r="E250" t="s">
        <v>15</v>
      </c>
      <c r="F250">
        <v>3.0</v>
      </c>
      <c r="G250" t="s">
        <v>162</v>
      </c>
    </row>
    <row r="251">
      <c r="A251" t="str">
        <f t="shared" si="1"/>
        <v>Druid15</v>
      </c>
      <c r="B251" t="s">
        <v>33</v>
      </c>
      <c r="C251" t="s">
        <v>170</v>
      </c>
      <c r="D251" t="s">
        <v>60</v>
      </c>
      <c r="E251" t="s">
        <v>10</v>
      </c>
      <c r="F251">
        <v>2.0</v>
      </c>
      <c r="G251" t="s">
        <v>162</v>
      </c>
    </row>
    <row r="252">
      <c r="A252" t="str">
        <f t="shared" si="1"/>
        <v>Priest13</v>
      </c>
      <c r="B252" t="s">
        <v>33</v>
      </c>
      <c r="C252" t="s">
        <v>606</v>
      </c>
      <c r="D252" t="s">
        <v>69</v>
      </c>
      <c r="E252" t="s">
        <v>21</v>
      </c>
      <c r="F252">
        <v>4.0</v>
      </c>
      <c r="G252" t="s">
        <v>162</v>
      </c>
    </row>
    <row r="253">
      <c r="A253" t="str">
        <f t="shared" si="1"/>
        <v>Rogue17</v>
      </c>
      <c r="B253" t="s">
        <v>33</v>
      </c>
      <c r="C253" t="s">
        <v>702</v>
      </c>
      <c r="D253" t="s">
        <v>70</v>
      </c>
      <c r="E253" t="s">
        <v>21</v>
      </c>
      <c r="F253">
        <v>4.0</v>
      </c>
      <c r="G253" t="s">
        <v>188</v>
      </c>
    </row>
    <row r="254">
      <c r="A254" t="str">
        <f t="shared" si="1"/>
        <v>Neutral99</v>
      </c>
      <c r="B254" t="s">
        <v>33</v>
      </c>
      <c r="C254" t="s">
        <v>1252</v>
      </c>
      <c r="D254" t="s">
        <v>77</v>
      </c>
      <c r="E254" t="s">
        <v>21</v>
      </c>
      <c r="F254">
        <v>2.0</v>
      </c>
      <c r="G254" t="s">
        <v>188</v>
      </c>
    </row>
    <row r="255">
      <c r="A255" t="str">
        <f t="shared" si="1"/>
        <v>Neutral100</v>
      </c>
      <c r="B255" t="s">
        <v>33</v>
      </c>
      <c r="C255" t="s">
        <v>1405</v>
      </c>
      <c r="D255" t="s">
        <v>77</v>
      </c>
      <c r="E255" t="s">
        <v>23</v>
      </c>
      <c r="F255">
        <v>2.0</v>
      </c>
      <c r="G255" t="s">
        <v>188</v>
      </c>
    </row>
    <row r="256">
      <c r="A256" t="str">
        <f t="shared" si="1"/>
        <v>Priest14</v>
      </c>
      <c r="B256" t="s">
        <v>33</v>
      </c>
      <c r="C256" t="s">
        <v>555</v>
      </c>
      <c r="D256" t="s">
        <v>69</v>
      </c>
      <c r="E256" t="s">
        <v>10</v>
      </c>
      <c r="F256">
        <v>2.0</v>
      </c>
      <c r="G256" t="s">
        <v>162</v>
      </c>
    </row>
    <row r="257">
      <c r="A257" t="str">
        <f t="shared" si="1"/>
        <v>Priest15</v>
      </c>
      <c r="B257" t="s">
        <v>33</v>
      </c>
      <c r="C257" t="s">
        <v>563</v>
      </c>
      <c r="D257" t="s">
        <v>69</v>
      </c>
      <c r="E257" t="s">
        <v>10</v>
      </c>
      <c r="F257">
        <v>10.0</v>
      </c>
      <c r="G257" t="s">
        <v>162</v>
      </c>
    </row>
    <row r="258">
      <c r="A258" t="str">
        <f t="shared" si="1"/>
        <v>Neutral101</v>
      </c>
      <c r="B258" t="s">
        <v>33</v>
      </c>
      <c r="C258" t="s">
        <v>1294</v>
      </c>
      <c r="D258" t="s">
        <v>77</v>
      </c>
      <c r="E258" t="s">
        <v>21</v>
      </c>
      <c r="F258">
        <v>3.0</v>
      </c>
      <c r="G258" t="s">
        <v>188</v>
      </c>
    </row>
    <row r="259">
      <c r="A259" t="str">
        <f t="shared" si="1"/>
        <v>Priest16</v>
      </c>
      <c r="B259" t="s">
        <v>33</v>
      </c>
      <c r="C259" t="s">
        <v>547</v>
      </c>
      <c r="D259" t="s">
        <v>69</v>
      </c>
      <c r="E259" t="s">
        <v>10</v>
      </c>
      <c r="F259">
        <v>1.0</v>
      </c>
      <c r="G259" t="s">
        <v>162</v>
      </c>
    </row>
    <row r="260">
      <c r="A260" t="str">
        <f t="shared" si="1"/>
        <v>Priest17</v>
      </c>
      <c r="B260" t="s">
        <v>33</v>
      </c>
      <c r="C260" t="s">
        <v>624</v>
      </c>
      <c r="D260" t="s">
        <v>69</v>
      </c>
      <c r="E260" t="s">
        <v>22</v>
      </c>
      <c r="F260">
        <v>4.0</v>
      </c>
      <c r="G260" t="s">
        <v>162</v>
      </c>
    </row>
    <row r="261">
      <c r="A261" t="str">
        <f t="shared" si="1"/>
        <v>Mage20</v>
      </c>
      <c r="B261" t="s">
        <v>33</v>
      </c>
      <c r="C261" t="s">
        <v>399</v>
      </c>
      <c r="D261" t="s">
        <v>65</v>
      </c>
      <c r="E261" t="s">
        <v>15</v>
      </c>
      <c r="F261">
        <v>3.0</v>
      </c>
      <c r="G261" t="s">
        <v>162</v>
      </c>
      <c r="H261" t="s">
        <v>299</v>
      </c>
    </row>
    <row r="262">
      <c r="A262" t="str">
        <f t="shared" si="1"/>
        <v>Mage21</v>
      </c>
      <c r="B262" t="s">
        <v>33</v>
      </c>
      <c r="C262" t="s">
        <v>368</v>
      </c>
      <c r="D262" t="s">
        <v>65</v>
      </c>
      <c r="E262" t="s">
        <v>10</v>
      </c>
      <c r="F262">
        <v>1.0</v>
      </c>
      <c r="G262" t="s">
        <v>162</v>
      </c>
    </row>
    <row r="263">
      <c r="A263" t="str">
        <f t="shared" si="1"/>
        <v>Hunter17</v>
      </c>
      <c r="B263" t="s">
        <v>33</v>
      </c>
      <c r="C263" t="s">
        <v>324</v>
      </c>
      <c r="D263" t="s">
        <v>63</v>
      </c>
      <c r="E263" t="s">
        <v>21</v>
      </c>
      <c r="F263">
        <v>2.0</v>
      </c>
      <c r="G263" t="s">
        <v>162</v>
      </c>
      <c r="H263" t="s">
        <v>299</v>
      </c>
    </row>
    <row r="264">
      <c r="A264" t="str">
        <f t="shared" si="1"/>
        <v>Neutral102</v>
      </c>
      <c r="B264" t="s">
        <v>33</v>
      </c>
      <c r="C264" t="s">
        <v>1180</v>
      </c>
      <c r="D264" t="s">
        <v>77</v>
      </c>
      <c r="E264" t="s">
        <v>15</v>
      </c>
      <c r="F264">
        <v>4.0</v>
      </c>
      <c r="G264" t="s">
        <v>188</v>
      </c>
    </row>
    <row r="265">
      <c r="A265" t="str">
        <f t="shared" si="1"/>
        <v>Neutral103</v>
      </c>
      <c r="B265" t="s">
        <v>33</v>
      </c>
      <c r="C265" t="s">
        <v>1399</v>
      </c>
      <c r="D265" t="s">
        <v>77</v>
      </c>
      <c r="E265" t="s">
        <v>22</v>
      </c>
      <c r="F265">
        <v>20.0</v>
      </c>
      <c r="G265" t="s">
        <v>188</v>
      </c>
    </row>
    <row r="266">
      <c r="A266" t="str">
        <f t="shared" si="1"/>
        <v>Druid16</v>
      </c>
      <c r="B266" t="s">
        <v>33</v>
      </c>
      <c r="C266" t="s">
        <v>164</v>
      </c>
      <c r="D266" t="s">
        <v>60</v>
      </c>
      <c r="E266" t="s">
        <v>10</v>
      </c>
      <c r="F266">
        <v>0.0</v>
      </c>
      <c r="G266" t="s">
        <v>162</v>
      </c>
    </row>
    <row r="267">
      <c r="A267" t="str">
        <f t="shared" si="1"/>
        <v>Warlock14</v>
      </c>
      <c r="B267" t="s">
        <v>33</v>
      </c>
      <c r="C267" t="s">
        <v>823</v>
      </c>
      <c r="D267" t="s">
        <v>73</v>
      </c>
      <c r="E267" t="s">
        <v>10</v>
      </c>
      <c r="F267">
        <v>1.0</v>
      </c>
      <c r="G267" t="s">
        <v>162</v>
      </c>
    </row>
    <row r="268">
      <c r="A268" t="str">
        <f t="shared" si="1"/>
        <v>Warrior20</v>
      </c>
      <c r="B268" t="s">
        <v>33</v>
      </c>
      <c r="C268" t="s">
        <v>967</v>
      </c>
      <c r="D268" t="s">
        <v>75</v>
      </c>
      <c r="E268" t="s">
        <v>21</v>
      </c>
      <c r="F268">
        <v>4.0</v>
      </c>
      <c r="G268" t="s">
        <v>162</v>
      </c>
    </row>
    <row r="269">
      <c r="A269" t="str">
        <f t="shared" si="1"/>
        <v>Neutral104</v>
      </c>
      <c r="B269" t="s">
        <v>33</v>
      </c>
      <c r="C269" t="s">
        <v>1397</v>
      </c>
      <c r="D269" t="s">
        <v>77</v>
      </c>
      <c r="E269" t="s">
        <v>22</v>
      </c>
      <c r="F269">
        <v>12.0</v>
      </c>
      <c r="G269" t="s">
        <v>188</v>
      </c>
    </row>
    <row r="270">
      <c r="A270" t="str">
        <f t="shared" si="1"/>
        <v>Hunter18</v>
      </c>
      <c r="B270" t="s">
        <v>33</v>
      </c>
      <c r="C270" t="s">
        <v>286</v>
      </c>
      <c r="D270" t="s">
        <v>63</v>
      </c>
      <c r="E270" t="s">
        <v>10</v>
      </c>
      <c r="F270">
        <v>4.0</v>
      </c>
      <c r="G270" t="s">
        <v>162</v>
      </c>
    </row>
    <row r="271">
      <c r="A271" t="str">
        <f t="shared" si="1"/>
        <v>Neutral105</v>
      </c>
      <c r="B271" t="s">
        <v>33</v>
      </c>
      <c r="C271" t="s">
        <v>1000</v>
      </c>
      <c r="D271" t="s">
        <v>77</v>
      </c>
      <c r="E271" t="s">
        <v>10</v>
      </c>
      <c r="F271">
        <v>1.0</v>
      </c>
      <c r="G271" t="s">
        <v>188</v>
      </c>
      <c r="H271" t="s">
        <v>498</v>
      </c>
    </row>
    <row r="272">
      <c r="A272" t="str">
        <f t="shared" si="1"/>
        <v>Neutral106</v>
      </c>
      <c r="B272" t="s">
        <v>33</v>
      </c>
      <c r="C272" t="s">
        <v>1234</v>
      </c>
      <c r="D272" t="s">
        <v>77</v>
      </c>
      <c r="E272" t="s">
        <v>21</v>
      </c>
      <c r="F272">
        <v>1.0</v>
      </c>
      <c r="G272" t="s">
        <v>188</v>
      </c>
      <c r="H272" t="s">
        <v>498</v>
      </c>
    </row>
    <row r="273">
      <c r="A273" t="str">
        <f t="shared" si="1"/>
        <v>Neutral107</v>
      </c>
      <c r="B273" t="s">
        <v>33</v>
      </c>
      <c r="C273" t="s">
        <v>1010</v>
      </c>
      <c r="D273" t="s">
        <v>77</v>
      </c>
      <c r="E273" t="s">
        <v>10</v>
      </c>
      <c r="F273">
        <v>2.0</v>
      </c>
      <c r="G273" t="s">
        <v>188</v>
      </c>
      <c r="H273" t="s">
        <v>498</v>
      </c>
    </row>
    <row r="274">
      <c r="A274" t="str">
        <f t="shared" si="1"/>
        <v>Neutral108</v>
      </c>
      <c r="B274" t="s">
        <v>33</v>
      </c>
      <c r="C274" t="s">
        <v>1362</v>
      </c>
      <c r="D274" t="s">
        <v>77</v>
      </c>
      <c r="E274" t="s">
        <v>22</v>
      </c>
      <c r="F274">
        <v>3.0</v>
      </c>
      <c r="G274" t="s">
        <v>188</v>
      </c>
      <c r="H274" t="s">
        <v>498</v>
      </c>
    </row>
    <row r="275">
      <c r="A275" t="str">
        <f t="shared" si="1"/>
        <v>Neutral109</v>
      </c>
      <c r="B275" t="s">
        <v>33</v>
      </c>
      <c r="C275" t="s">
        <v>1407</v>
      </c>
      <c r="D275" t="s">
        <v>77</v>
      </c>
      <c r="E275" t="s">
        <v>23</v>
      </c>
      <c r="F275">
        <v>2.0</v>
      </c>
      <c r="G275" t="s">
        <v>188</v>
      </c>
    </row>
    <row r="276">
      <c r="A276" t="str">
        <f t="shared" si="1"/>
        <v>Druid17</v>
      </c>
      <c r="B276" t="s">
        <v>33</v>
      </c>
      <c r="C276" t="s">
        <v>194</v>
      </c>
      <c r="D276" t="s">
        <v>60</v>
      </c>
      <c r="E276" t="s">
        <v>15</v>
      </c>
      <c r="F276">
        <v>1.0</v>
      </c>
      <c r="G276" t="s">
        <v>162</v>
      </c>
    </row>
    <row r="277">
      <c r="A277" t="str">
        <f t="shared" si="1"/>
        <v>Neutral110</v>
      </c>
      <c r="B277" t="s">
        <v>33</v>
      </c>
      <c r="C277" t="s">
        <v>1042</v>
      </c>
      <c r="D277" t="s">
        <v>77</v>
      </c>
      <c r="E277" t="s">
        <v>10</v>
      </c>
      <c r="F277">
        <v>5.0</v>
      </c>
      <c r="G277" t="s">
        <v>188</v>
      </c>
    </row>
    <row r="278">
      <c r="A278" t="str">
        <f t="shared" si="1"/>
        <v>Paladin22</v>
      </c>
      <c r="B278" t="s">
        <v>33</v>
      </c>
      <c r="C278" t="s">
        <v>481</v>
      </c>
      <c r="D278" t="s">
        <v>68</v>
      </c>
      <c r="E278" t="s">
        <v>15</v>
      </c>
      <c r="F278">
        <v>1.0</v>
      </c>
      <c r="G278" t="s">
        <v>162</v>
      </c>
      <c r="H278" t="s">
        <v>299</v>
      </c>
    </row>
    <row r="279">
      <c r="A279" t="str">
        <f t="shared" si="1"/>
        <v>Priest18</v>
      </c>
      <c r="B279" t="s">
        <v>33</v>
      </c>
      <c r="C279" t="s">
        <v>549</v>
      </c>
      <c r="D279" t="s">
        <v>69</v>
      </c>
      <c r="E279" t="s">
        <v>10</v>
      </c>
      <c r="F279">
        <v>1.0</v>
      </c>
      <c r="G279" t="s">
        <v>188</v>
      </c>
    </row>
    <row r="280">
      <c r="A280" t="str">
        <f t="shared" si="1"/>
        <v>Druid18</v>
      </c>
      <c r="B280" t="s">
        <v>33</v>
      </c>
      <c r="C280" t="s">
        <v>240</v>
      </c>
      <c r="D280" t="s">
        <v>60</v>
      </c>
      <c r="E280" t="s">
        <v>21</v>
      </c>
      <c r="F280">
        <v>5.0</v>
      </c>
      <c r="G280" t="s">
        <v>162</v>
      </c>
    </row>
    <row r="281">
      <c r="A281" t="str">
        <f t="shared" si="1"/>
        <v>Neutral111</v>
      </c>
      <c r="B281" t="s">
        <v>33</v>
      </c>
      <c r="C281" t="s">
        <v>1012</v>
      </c>
      <c r="D281" t="s">
        <v>77</v>
      </c>
      <c r="E281" t="s">
        <v>10</v>
      </c>
      <c r="F281">
        <v>2.0</v>
      </c>
      <c r="G281" t="s">
        <v>188</v>
      </c>
    </row>
    <row r="282">
      <c r="A282" t="str">
        <f t="shared" si="1"/>
        <v>Neutral112</v>
      </c>
      <c r="B282" t="s">
        <v>33</v>
      </c>
      <c r="C282" t="s">
        <v>1509</v>
      </c>
      <c r="D282" t="s">
        <v>77</v>
      </c>
      <c r="E282" t="s">
        <v>23</v>
      </c>
      <c r="F282">
        <v>9.0</v>
      </c>
      <c r="G282" t="s">
        <v>188</v>
      </c>
      <c r="H282" t="s">
        <v>446</v>
      </c>
    </row>
    <row r="283">
      <c r="A283" t="str">
        <f t="shared" si="1"/>
        <v>Neutral113</v>
      </c>
      <c r="B283" t="s">
        <v>33</v>
      </c>
      <c r="C283" t="s">
        <v>1031</v>
      </c>
      <c r="D283" t="s">
        <v>77</v>
      </c>
      <c r="E283" t="s">
        <v>10</v>
      </c>
      <c r="F283">
        <v>4.0</v>
      </c>
      <c r="G283" t="s">
        <v>188</v>
      </c>
      <c r="H283" t="s">
        <v>238</v>
      </c>
    </row>
    <row r="284">
      <c r="A284" t="str">
        <f t="shared" si="1"/>
        <v>Neutral114</v>
      </c>
      <c r="B284" t="s">
        <v>33</v>
      </c>
      <c r="C284" t="s">
        <v>1032</v>
      </c>
      <c r="D284" t="s">
        <v>77</v>
      </c>
      <c r="E284" t="s">
        <v>10</v>
      </c>
      <c r="F284">
        <v>4.0</v>
      </c>
      <c r="G284" t="s">
        <v>188</v>
      </c>
    </row>
    <row r="285">
      <c r="A285" t="str">
        <f t="shared" si="1"/>
        <v>Neutral115</v>
      </c>
      <c r="B285" t="s">
        <v>33</v>
      </c>
      <c r="C285" t="s">
        <v>1511</v>
      </c>
      <c r="D285" t="s">
        <v>77</v>
      </c>
      <c r="E285" t="s">
        <v>23</v>
      </c>
      <c r="F285">
        <v>9.0</v>
      </c>
      <c r="G285" t="s">
        <v>188</v>
      </c>
      <c r="H285" t="s">
        <v>446</v>
      </c>
    </row>
    <row r="286">
      <c r="A286" t="str">
        <f t="shared" si="1"/>
        <v>Rogue18</v>
      </c>
      <c r="B286" t="s">
        <v>33</v>
      </c>
      <c r="C286" t="s">
        <v>710</v>
      </c>
      <c r="D286" t="s">
        <v>70</v>
      </c>
      <c r="E286" t="s">
        <v>22</v>
      </c>
      <c r="F286">
        <v>2.0</v>
      </c>
      <c r="G286" t="s">
        <v>188</v>
      </c>
    </row>
    <row r="287">
      <c r="A287" t="str">
        <f t="shared" si="1"/>
        <v>Rogue19</v>
      </c>
      <c r="B287" t="s">
        <v>33</v>
      </c>
      <c r="C287" t="s">
        <v>696</v>
      </c>
      <c r="D287" t="s">
        <v>70</v>
      </c>
      <c r="E287" t="s">
        <v>21</v>
      </c>
      <c r="F287">
        <v>3.0</v>
      </c>
      <c r="G287" t="s">
        <v>304</v>
      </c>
    </row>
    <row r="288">
      <c r="A288" t="str">
        <f t="shared" si="1"/>
        <v>Neutral116</v>
      </c>
      <c r="B288" t="s">
        <v>33</v>
      </c>
      <c r="C288" t="s">
        <v>1256</v>
      </c>
      <c r="D288" t="s">
        <v>77</v>
      </c>
      <c r="E288" t="s">
        <v>21</v>
      </c>
      <c r="F288">
        <v>2.0</v>
      </c>
      <c r="G288" t="s">
        <v>188</v>
      </c>
    </row>
    <row r="289">
      <c r="A289" t="str">
        <f t="shared" si="1"/>
        <v>Warlock15</v>
      </c>
      <c r="B289" t="s">
        <v>33</v>
      </c>
      <c r="C289" t="s">
        <v>890</v>
      </c>
      <c r="D289" t="s">
        <v>73</v>
      </c>
      <c r="E289" t="s">
        <v>22</v>
      </c>
      <c r="F289">
        <v>4.0</v>
      </c>
      <c r="G289" t="s">
        <v>188</v>
      </c>
      <c r="H289" t="s">
        <v>828</v>
      </c>
    </row>
    <row r="290">
      <c r="A290" t="str">
        <f t="shared" si="1"/>
        <v>Mage22</v>
      </c>
      <c r="B290" t="s">
        <v>33</v>
      </c>
      <c r="C290" t="s">
        <v>380</v>
      </c>
      <c r="D290" t="s">
        <v>65</v>
      </c>
      <c r="E290" t="s">
        <v>10</v>
      </c>
      <c r="F290">
        <v>4.0</v>
      </c>
      <c r="G290" t="s">
        <v>162</v>
      </c>
    </row>
    <row r="291">
      <c r="A291" t="str">
        <f t="shared" si="1"/>
        <v>Druid19</v>
      </c>
      <c r="B291" t="s">
        <v>33</v>
      </c>
      <c r="C291" t="s">
        <v>204</v>
      </c>
      <c r="D291" t="s">
        <v>60</v>
      </c>
      <c r="E291" t="s">
        <v>15</v>
      </c>
      <c r="F291">
        <v>2.0</v>
      </c>
      <c r="G291" t="s">
        <v>162</v>
      </c>
    </row>
    <row r="292">
      <c r="A292" t="str">
        <f t="shared" si="1"/>
        <v>Warlock16</v>
      </c>
      <c r="B292" t="s">
        <v>33</v>
      </c>
      <c r="C292" t="s">
        <v>843</v>
      </c>
      <c r="D292" t="s">
        <v>73</v>
      </c>
      <c r="E292" t="s">
        <v>15</v>
      </c>
      <c r="F292">
        <v>1.0</v>
      </c>
      <c r="G292" t="s">
        <v>162</v>
      </c>
    </row>
    <row r="293">
      <c r="A293" t="str">
        <f t="shared" si="1"/>
        <v>Priest19</v>
      </c>
      <c r="B293" t="s">
        <v>33</v>
      </c>
      <c r="C293" t="s">
        <v>551</v>
      </c>
      <c r="D293" t="s">
        <v>69</v>
      </c>
      <c r="E293" t="s">
        <v>10</v>
      </c>
      <c r="F293">
        <v>1.0</v>
      </c>
      <c r="G293" t="s">
        <v>162</v>
      </c>
    </row>
    <row r="294">
      <c r="A294" t="str">
        <f t="shared" si="1"/>
        <v>Rogue20</v>
      </c>
      <c r="B294" t="s">
        <v>33</v>
      </c>
      <c r="C294" t="s">
        <v>708</v>
      </c>
      <c r="D294" t="s">
        <v>70</v>
      </c>
      <c r="E294" t="s">
        <v>22</v>
      </c>
      <c r="F294">
        <v>0.0</v>
      </c>
      <c r="G294" t="s">
        <v>162</v>
      </c>
    </row>
    <row r="295">
      <c r="A295" t="str">
        <f t="shared" si="1"/>
        <v>Neutral117</v>
      </c>
      <c r="B295" t="s">
        <v>33</v>
      </c>
      <c r="C295" t="s">
        <v>1215</v>
      </c>
      <c r="D295" t="s">
        <v>77</v>
      </c>
      <c r="E295" t="s">
        <v>15</v>
      </c>
      <c r="F295">
        <v>6.0</v>
      </c>
      <c r="G295" t="s">
        <v>188</v>
      </c>
    </row>
    <row r="296">
      <c r="A296" t="str">
        <f t="shared" si="1"/>
        <v>Priest20</v>
      </c>
      <c r="B296" t="s">
        <v>33</v>
      </c>
      <c r="C296" t="s">
        <v>634</v>
      </c>
      <c r="D296" t="s">
        <v>69</v>
      </c>
      <c r="E296" t="s">
        <v>23</v>
      </c>
      <c r="F296">
        <v>7.0</v>
      </c>
      <c r="G296" t="s">
        <v>188</v>
      </c>
    </row>
    <row r="297">
      <c r="A297" t="str">
        <f t="shared" si="1"/>
        <v>Mage23</v>
      </c>
      <c r="B297" t="s">
        <v>33</v>
      </c>
      <c r="C297" t="s">
        <v>448</v>
      </c>
      <c r="D297" t="s">
        <v>65</v>
      </c>
      <c r="E297" t="s">
        <v>22</v>
      </c>
      <c r="F297">
        <v>10.0</v>
      </c>
      <c r="G297" t="s">
        <v>162</v>
      </c>
    </row>
    <row r="298">
      <c r="A298" t="str">
        <f t="shared" si="1"/>
        <v>Neutral118</v>
      </c>
      <c r="B298" t="s">
        <v>33</v>
      </c>
      <c r="C298" t="s">
        <v>1296</v>
      </c>
      <c r="D298" t="s">
        <v>77</v>
      </c>
      <c r="E298" t="s">
        <v>21</v>
      </c>
      <c r="F298">
        <v>3.0</v>
      </c>
      <c r="G298" t="s">
        <v>188</v>
      </c>
    </row>
    <row r="299">
      <c r="A299" t="str">
        <f t="shared" si="1"/>
        <v>Neutral119</v>
      </c>
      <c r="B299" t="s">
        <v>33</v>
      </c>
      <c r="C299" t="s">
        <v>1145</v>
      </c>
      <c r="D299" t="s">
        <v>77</v>
      </c>
      <c r="E299" t="s">
        <v>15</v>
      </c>
      <c r="F299">
        <v>3.0</v>
      </c>
      <c r="G299" t="s">
        <v>188</v>
      </c>
    </row>
    <row r="300">
      <c r="A300" t="str">
        <f t="shared" si="1"/>
        <v>Neutral120</v>
      </c>
      <c r="B300" t="s">
        <v>33</v>
      </c>
      <c r="C300" t="s">
        <v>1493</v>
      </c>
      <c r="D300" t="s">
        <v>77</v>
      </c>
      <c r="E300" t="s">
        <v>23</v>
      </c>
      <c r="F300">
        <v>8.0</v>
      </c>
      <c r="G300" t="s">
        <v>188</v>
      </c>
    </row>
    <row r="301">
      <c r="A301" t="str">
        <f t="shared" si="1"/>
        <v>Neutral121</v>
      </c>
      <c r="B301" t="s">
        <v>33</v>
      </c>
      <c r="C301" t="s">
        <v>1019</v>
      </c>
      <c r="D301" t="s">
        <v>77</v>
      </c>
      <c r="E301" t="s">
        <v>10</v>
      </c>
      <c r="F301">
        <v>3.0</v>
      </c>
      <c r="G301" t="s">
        <v>188</v>
      </c>
    </row>
    <row r="302">
      <c r="A302" t="str">
        <f t="shared" si="1"/>
        <v>Warrior21</v>
      </c>
      <c r="B302" t="s">
        <v>33</v>
      </c>
      <c r="C302" t="s">
        <v>935</v>
      </c>
      <c r="D302" t="s">
        <v>75</v>
      </c>
      <c r="E302" t="s">
        <v>15</v>
      </c>
      <c r="F302">
        <v>2.0</v>
      </c>
      <c r="G302" t="s">
        <v>162</v>
      </c>
    </row>
    <row r="303">
      <c r="A303" t="str">
        <f t="shared" si="1"/>
        <v>Neutral122</v>
      </c>
      <c r="B303" t="s">
        <v>33</v>
      </c>
      <c r="C303" t="s">
        <v>1341</v>
      </c>
      <c r="D303" t="s">
        <v>77</v>
      </c>
      <c r="E303" t="s">
        <v>21</v>
      </c>
      <c r="F303">
        <v>7.0</v>
      </c>
      <c r="G303" t="s">
        <v>188</v>
      </c>
    </row>
    <row r="304">
      <c r="A304" t="str">
        <f t="shared" si="1"/>
        <v>Neutral123</v>
      </c>
      <c r="B304" t="s">
        <v>33</v>
      </c>
      <c r="C304" t="s">
        <v>1021</v>
      </c>
      <c r="D304" t="s">
        <v>77</v>
      </c>
      <c r="E304" t="s">
        <v>10</v>
      </c>
      <c r="F304">
        <v>3.0</v>
      </c>
      <c r="G304" t="s">
        <v>188</v>
      </c>
    </row>
    <row r="305">
      <c r="A305" t="str">
        <f t="shared" si="1"/>
        <v>Neutral124</v>
      </c>
      <c r="B305" t="s">
        <v>33</v>
      </c>
      <c r="C305" t="s">
        <v>1049</v>
      </c>
      <c r="D305" t="s">
        <v>77</v>
      </c>
      <c r="E305" t="s">
        <v>10</v>
      </c>
      <c r="F305">
        <v>6.0</v>
      </c>
      <c r="G305" t="s">
        <v>188</v>
      </c>
    </row>
    <row r="306">
      <c r="A306" t="str">
        <f t="shared" si="1"/>
        <v>Paladin23</v>
      </c>
      <c r="B306" t="s">
        <v>33</v>
      </c>
      <c r="C306" t="s">
        <v>483</v>
      </c>
      <c r="D306" t="s">
        <v>68</v>
      </c>
      <c r="E306" t="s">
        <v>15</v>
      </c>
      <c r="F306">
        <v>1.0</v>
      </c>
      <c r="G306" t="s">
        <v>162</v>
      </c>
      <c r="H306" t="s">
        <v>299</v>
      </c>
    </row>
    <row r="307">
      <c r="A307" t="str">
        <f t="shared" si="1"/>
        <v>Paladin24</v>
      </c>
      <c r="B307" t="s">
        <v>33</v>
      </c>
      <c r="C307" t="s">
        <v>485</v>
      </c>
      <c r="D307" t="s">
        <v>68</v>
      </c>
      <c r="E307" t="s">
        <v>15</v>
      </c>
      <c r="F307">
        <v>1.0</v>
      </c>
      <c r="G307" t="s">
        <v>162</v>
      </c>
      <c r="H307" t="s">
        <v>299</v>
      </c>
    </row>
    <row r="308">
      <c r="A308" t="str">
        <f t="shared" si="1"/>
        <v>Neutral125</v>
      </c>
      <c r="B308" t="s">
        <v>33</v>
      </c>
      <c r="C308" t="s">
        <v>1014</v>
      </c>
      <c r="D308" t="s">
        <v>77</v>
      </c>
      <c r="E308" t="s">
        <v>10</v>
      </c>
      <c r="F308">
        <v>2.0</v>
      </c>
      <c r="G308" t="s">
        <v>188</v>
      </c>
      <c r="H308" t="s">
        <v>238</v>
      </c>
    </row>
    <row r="309">
      <c r="A309" t="str">
        <f t="shared" si="1"/>
        <v>Shaman22</v>
      </c>
      <c r="B309" t="s">
        <v>33</v>
      </c>
      <c r="C309" t="s">
        <v>734</v>
      </c>
      <c r="D309" t="s">
        <v>72</v>
      </c>
      <c r="E309" t="s">
        <v>10</v>
      </c>
      <c r="F309">
        <v>1.0</v>
      </c>
      <c r="G309" t="s">
        <v>162</v>
      </c>
    </row>
    <row r="310">
      <c r="A310" t="str">
        <f t="shared" si="1"/>
        <v>Warlock17</v>
      </c>
      <c r="B310" t="s">
        <v>33</v>
      </c>
      <c r="C310" t="s">
        <v>819</v>
      </c>
      <c r="D310" t="s">
        <v>73</v>
      </c>
      <c r="E310" t="s">
        <v>10</v>
      </c>
      <c r="F310">
        <v>0.0</v>
      </c>
      <c r="G310" t="s">
        <v>162</v>
      </c>
    </row>
    <row r="311">
      <c r="A311" t="str">
        <f t="shared" si="1"/>
        <v>Rogue21</v>
      </c>
      <c r="B311" t="s">
        <v>33</v>
      </c>
      <c r="C311" t="s">
        <v>644</v>
      </c>
      <c r="D311" t="s">
        <v>70</v>
      </c>
      <c r="E311" t="s">
        <v>10</v>
      </c>
      <c r="F311">
        <v>2.0</v>
      </c>
      <c r="G311" t="s">
        <v>162</v>
      </c>
    </row>
    <row r="312">
      <c r="A312" t="str">
        <f t="shared" si="1"/>
        <v>Druid20</v>
      </c>
      <c r="B312" t="s">
        <v>33</v>
      </c>
      <c r="C312" t="s">
        <v>179</v>
      </c>
      <c r="D312" t="s">
        <v>60</v>
      </c>
      <c r="E312" t="s">
        <v>10</v>
      </c>
      <c r="F312">
        <v>3.0</v>
      </c>
      <c r="G312" t="s">
        <v>162</v>
      </c>
    </row>
    <row r="313">
      <c r="A313" t="str">
        <f t="shared" si="1"/>
        <v>Druid21</v>
      </c>
      <c r="B313" t="s">
        <v>33</v>
      </c>
      <c r="C313" t="s">
        <v>226</v>
      </c>
      <c r="D313" t="s">
        <v>60</v>
      </c>
      <c r="E313" t="s">
        <v>21</v>
      </c>
      <c r="F313">
        <v>1.0</v>
      </c>
      <c r="G313" t="s">
        <v>162</v>
      </c>
    </row>
    <row r="314">
      <c r="A314" t="str">
        <f t="shared" si="1"/>
        <v>Hunter19</v>
      </c>
      <c r="B314" t="s">
        <v>33</v>
      </c>
      <c r="C314" t="s">
        <v>342</v>
      </c>
      <c r="D314" t="s">
        <v>63</v>
      </c>
      <c r="E314" t="s">
        <v>21</v>
      </c>
      <c r="F314">
        <v>6.0</v>
      </c>
      <c r="G314" t="s">
        <v>188</v>
      </c>
      <c r="H314" t="s">
        <v>238</v>
      </c>
    </row>
    <row r="315">
      <c r="A315" t="str">
        <f t="shared" si="1"/>
        <v>Neutral126</v>
      </c>
      <c r="B315" t="s">
        <v>33</v>
      </c>
      <c r="C315" t="s">
        <v>1147</v>
      </c>
      <c r="D315" t="s">
        <v>77</v>
      </c>
      <c r="E315" t="s">
        <v>15</v>
      </c>
      <c r="F315">
        <v>3.0</v>
      </c>
      <c r="G315" t="s">
        <v>188</v>
      </c>
    </row>
    <row r="316">
      <c r="A316" t="str">
        <f t="shared" si="1"/>
        <v>Hunter20</v>
      </c>
      <c r="B316" t="s">
        <v>33</v>
      </c>
      <c r="C316" t="s">
        <v>310</v>
      </c>
      <c r="D316" t="s">
        <v>63</v>
      </c>
      <c r="E316" t="s">
        <v>15</v>
      </c>
      <c r="F316">
        <v>2.0</v>
      </c>
      <c r="G316" t="s">
        <v>188</v>
      </c>
      <c r="H316" t="s">
        <v>238</v>
      </c>
    </row>
    <row r="317">
      <c r="A317" t="str">
        <f t="shared" si="1"/>
        <v>Neutral127</v>
      </c>
      <c r="B317" t="s">
        <v>33</v>
      </c>
      <c r="C317" t="s">
        <v>1393</v>
      </c>
      <c r="D317" t="s">
        <v>77</v>
      </c>
      <c r="E317" t="s">
        <v>22</v>
      </c>
      <c r="F317">
        <v>10.0</v>
      </c>
      <c r="G317" t="s">
        <v>188</v>
      </c>
    </row>
    <row r="318">
      <c r="A318" t="str">
        <f t="shared" si="1"/>
        <v>Neutral128</v>
      </c>
      <c r="B318" t="s">
        <v>33</v>
      </c>
      <c r="C318" t="s">
        <v>1236</v>
      </c>
      <c r="D318" t="s">
        <v>77</v>
      </c>
      <c r="E318" t="s">
        <v>21</v>
      </c>
      <c r="F318">
        <v>1.0</v>
      </c>
      <c r="G318" t="s">
        <v>188</v>
      </c>
    </row>
    <row r="319">
      <c r="A319" t="str">
        <f t="shared" si="1"/>
        <v>Neutral129</v>
      </c>
      <c r="B319" t="s">
        <v>33</v>
      </c>
      <c r="C319" t="s">
        <v>1033</v>
      </c>
      <c r="D319" t="s">
        <v>77</v>
      </c>
      <c r="E319" t="s">
        <v>10</v>
      </c>
      <c r="F319">
        <v>4.0</v>
      </c>
      <c r="G319" t="s">
        <v>188</v>
      </c>
    </row>
    <row r="320">
      <c r="A320" t="str">
        <f t="shared" si="1"/>
        <v>Warlock18</v>
      </c>
      <c r="B320" t="s">
        <v>33</v>
      </c>
      <c r="C320" t="s">
        <v>855</v>
      </c>
      <c r="D320" t="s">
        <v>73</v>
      </c>
      <c r="E320" t="s">
        <v>15</v>
      </c>
      <c r="F320">
        <v>3.0</v>
      </c>
      <c r="G320" t="s">
        <v>162</v>
      </c>
    </row>
    <row r="321">
      <c r="A321" t="str">
        <f t="shared" si="1"/>
        <v>Warlock19</v>
      </c>
      <c r="B321" t="s">
        <v>33</v>
      </c>
      <c r="C321" t="s">
        <v>833</v>
      </c>
      <c r="D321" t="s">
        <v>73</v>
      </c>
      <c r="E321" t="s">
        <v>10</v>
      </c>
      <c r="F321">
        <v>3.0</v>
      </c>
      <c r="G321" t="s">
        <v>162</v>
      </c>
    </row>
    <row r="322">
      <c r="A322" t="str">
        <f t="shared" si="1"/>
        <v>Priest21</v>
      </c>
      <c r="B322" t="s">
        <v>33</v>
      </c>
      <c r="C322" t="s">
        <v>608</v>
      </c>
      <c r="D322" t="s">
        <v>69</v>
      </c>
      <c r="E322" t="s">
        <v>21</v>
      </c>
      <c r="F322">
        <v>4.0</v>
      </c>
      <c r="G322" t="s">
        <v>162</v>
      </c>
    </row>
    <row r="323">
      <c r="A323" t="str">
        <f t="shared" si="1"/>
        <v>Priest22</v>
      </c>
      <c r="B323" t="s">
        <v>33</v>
      </c>
      <c r="C323" t="s">
        <v>559</v>
      </c>
      <c r="D323" t="s">
        <v>69</v>
      </c>
      <c r="E323" t="s">
        <v>10</v>
      </c>
      <c r="F323">
        <v>3.0</v>
      </c>
      <c r="G323" t="s">
        <v>162</v>
      </c>
    </row>
    <row r="324">
      <c r="A324" t="str">
        <f t="shared" si="1"/>
        <v>Priest23</v>
      </c>
      <c r="B324" t="s">
        <v>33</v>
      </c>
      <c r="C324" t="s">
        <v>557</v>
      </c>
      <c r="D324" t="s">
        <v>69</v>
      </c>
      <c r="E324" t="s">
        <v>10</v>
      </c>
      <c r="F324">
        <v>2.0</v>
      </c>
      <c r="G324" t="s">
        <v>162</v>
      </c>
    </row>
    <row r="325">
      <c r="A325" t="str">
        <f t="shared" si="1"/>
        <v>Warlock20</v>
      </c>
      <c r="B325" t="s">
        <v>33</v>
      </c>
      <c r="C325" t="s">
        <v>880</v>
      </c>
      <c r="D325" t="s">
        <v>73</v>
      </c>
      <c r="E325" t="s">
        <v>21</v>
      </c>
      <c r="F325">
        <v>4.0</v>
      </c>
      <c r="G325" t="s">
        <v>162</v>
      </c>
    </row>
    <row r="326">
      <c r="A326" t="str">
        <f t="shared" si="1"/>
        <v>Priest24</v>
      </c>
      <c r="B326" t="s">
        <v>33</v>
      </c>
      <c r="C326" t="s">
        <v>622</v>
      </c>
      <c r="D326" t="s">
        <v>69</v>
      </c>
      <c r="E326" t="s">
        <v>22</v>
      </c>
      <c r="F326">
        <v>3.0</v>
      </c>
      <c r="G326" t="s">
        <v>162</v>
      </c>
    </row>
    <row r="327">
      <c r="A327" t="str">
        <f t="shared" si="1"/>
        <v>Rogue22</v>
      </c>
      <c r="B327" t="s">
        <v>33</v>
      </c>
      <c r="C327" t="s">
        <v>657</v>
      </c>
      <c r="D327" t="s">
        <v>70</v>
      </c>
      <c r="E327" t="s">
        <v>15</v>
      </c>
      <c r="F327">
        <v>0.0</v>
      </c>
      <c r="G327" t="s">
        <v>162</v>
      </c>
    </row>
    <row r="328">
      <c r="A328" t="str">
        <f t="shared" si="1"/>
        <v>Neutral130</v>
      </c>
      <c r="B328" t="s">
        <v>33</v>
      </c>
      <c r="C328" t="s">
        <v>1023</v>
      </c>
      <c r="D328" t="s">
        <v>77</v>
      </c>
      <c r="E328" t="s">
        <v>10</v>
      </c>
      <c r="F328">
        <v>3.0</v>
      </c>
      <c r="G328" t="s">
        <v>188</v>
      </c>
    </row>
    <row r="329">
      <c r="A329" t="str">
        <f t="shared" si="1"/>
        <v>Warrior22</v>
      </c>
      <c r="B329" t="s">
        <v>33</v>
      </c>
      <c r="C329" t="s">
        <v>919</v>
      </c>
      <c r="D329" t="s">
        <v>75</v>
      </c>
      <c r="E329" t="s">
        <v>10</v>
      </c>
      <c r="F329">
        <v>3.0</v>
      </c>
      <c r="G329" t="s">
        <v>162</v>
      </c>
    </row>
    <row r="330">
      <c r="A330" t="str">
        <f t="shared" si="1"/>
        <v>Warrior23</v>
      </c>
      <c r="B330" t="s">
        <v>33</v>
      </c>
      <c r="C330" t="s">
        <v>975</v>
      </c>
      <c r="D330" t="s">
        <v>75</v>
      </c>
      <c r="E330" t="s">
        <v>22</v>
      </c>
      <c r="F330">
        <v>1.0</v>
      </c>
      <c r="G330" t="s">
        <v>162</v>
      </c>
    </row>
    <row r="331">
      <c r="A331" t="str">
        <f t="shared" si="1"/>
        <v>Neutral131</v>
      </c>
      <c r="B331" t="s">
        <v>33</v>
      </c>
      <c r="C331" t="s">
        <v>1068</v>
      </c>
      <c r="D331" t="s">
        <v>77</v>
      </c>
      <c r="E331" t="s">
        <v>15</v>
      </c>
      <c r="F331">
        <v>1.0</v>
      </c>
      <c r="G331" t="s">
        <v>188</v>
      </c>
    </row>
    <row r="332">
      <c r="A332" t="str">
        <f t="shared" si="1"/>
        <v>Rogue23</v>
      </c>
      <c r="B332" t="s">
        <v>33</v>
      </c>
      <c r="C332" t="s">
        <v>646</v>
      </c>
      <c r="D332" t="s">
        <v>70</v>
      </c>
      <c r="E332" t="s">
        <v>10</v>
      </c>
      <c r="F332">
        <v>2.0</v>
      </c>
      <c r="G332" t="s">
        <v>162</v>
      </c>
    </row>
    <row r="333">
      <c r="A333" t="str">
        <f t="shared" si="1"/>
        <v>Rogue24</v>
      </c>
      <c r="B333" t="s">
        <v>33</v>
      </c>
      <c r="C333" t="s">
        <v>700</v>
      </c>
      <c r="D333" t="s">
        <v>70</v>
      </c>
      <c r="E333" t="s">
        <v>21</v>
      </c>
      <c r="F333">
        <v>3.0</v>
      </c>
      <c r="G333" t="s">
        <v>188</v>
      </c>
    </row>
    <row r="334">
      <c r="A334" t="str">
        <f t="shared" si="1"/>
        <v>Priest25</v>
      </c>
      <c r="B334" t="s">
        <v>33</v>
      </c>
      <c r="C334" t="s">
        <v>567</v>
      </c>
      <c r="D334" t="s">
        <v>69</v>
      </c>
      <c r="E334" t="s">
        <v>15</v>
      </c>
      <c r="F334">
        <v>0.0</v>
      </c>
      <c r="G334" t="s">
        <v>162</v>
      </c>
    </row>
    <row r="335">
      <c r="A335" t="str">
        <f t="shared" si="1"/>
        <v>Neutral132</v>
      </c>
      <c r="B335" t="s">
        <v>33</v>
      </c>
      <c r="C335" t="s">
        <v>1202</v>
      </c>
      <c r="D335" t="s">
        <v>77</v>
      </c>
      <c r="E335" t="s">
        <v>15</v>
      </c>
      <c r="F335">
        <v>5.0</v>
      </c>
      <c r="G335" t="s">
        <v>188</v>
      </c>
    </row>
    <row r="336">
      <c r="A336" t="str">
        <f t="shared" si="1"/>
        <v>Neutral133</v>
      </c>
      <c r="B336" t="s">
        <v>33</v>
      </c>
      <c r="C336" t="s">
        <v>1025</v>
      </c>
      <c r="D336" t="s">
        <v>77</v>
      </c>
      <c r="E336" t="s">
        <v>10</v>
      </c>
      <c r="F336">
        <v>3.0</v>
      </c>
      <c r="G336" t="s">
        <v>188</v>
      </c>
      <c r="H336" t="s">
        <v>238</v>
      </c>
    </row>
    <row r="337">
      <c r="A337" t="str">
        <f t="shared" si="1"/>
        <v>Neutral134</v>
      </c>
      <c r="B337" t="s">
        <v>33</v>
      </c>
      <c r="C337" t="s">
        <v>1185</v>
      </c>
      <c r="D337" t="s">
        <v>77</v>
      </c>
      <c r="E337" t="s">
        <v>15</v>
      </c>
      <c r="F337">
        <v>4.0</v>
      </c>
      <c r="G337" t="s">
        <v>188</v>
      </c>
    </row>
    <row r="338">
      <c r="A338" t="str">
        <f t="shared" si="1"/>
        <v>Rogue25</v>
      </c>
      <c r="B338" t="s">
        <v>33</v>
      </c>
      <c r="C338" t="s">
        <v>641</v>
      </c>
      <c r="D338" t="s">
        <v>70</v>
      </c>
      <c r="E338" t="s">
        <v>10</v>
      </c>
      <c r="F338">
        <v>1.0</v>
      </c>
      <c r="G338" t="s">
        <v>162</v>
      </c>
    </row>
    <row r="339">
      <c r="A339" t="str">
        <f t="shared" si="1"/>
        <v>Warlock21</v>
      </c>
      <c r="B339" t="s">
        <v>33</v>
      </c>
      <c r="C339" t="s">
        <v>884</v>
      </c>
      <c r="D339" t="s">
        <v>73</v>
      </c>
      <c r="E339" t="s">
        <v>21</v>
      </c>
      <c r="F339">
        <v>6.0</v>
      </c>
      <c r="G339" t="s">
        <v>162</v>
      </c>
    </row>
    <row r="340">
      <c r="A340" t="str">
        <f t="shared" si="1"/>
        <v>Warrior24</v>
      </c>
      <c r="B340" t="s">
        <v>33</v>
      </c>
      <c r="C340" t="s">
        <v>937</v>
      </c>
      <c r="D340" t="s">
        <v>75</v>
      </c>
      <c r="E340" t="s">
        <v>15</v>
      </c>
      <c r="F340">
        <v>2.0</v>
      </c>
      <c r="G340" t="s">
        <v>162</v>
      </c>
    </row>
    <row r="341">
      <c r="A341" t="str">
        <f t="shared" si="1"/>
        <v>Hunter21</v>
      </c>
      <c r="B341" t="s">
        <v>33</v>
      </c>
      <c r="C341" t="s">
        <v>350</v>
      </c>
      <c r="D341" t="s">
        <v>63</v>
      </c>
      <c r="E341" t="s">
        <v>22</v>
      </c>
      <c r="F341">
        <v>2.0</v>
      </c>
      <c r="G341" t="s">
        <v>162</v>
      </c>
      <c r="H341" t="s">
        <v>299</v>
      </c>
    </row>
    <row r="342">
      <c r="A342" t="str">
        <f t="shared" si="1"/>
        <v>Hunter22</v>
      </c>
      <c r="B342" t="s">
        <v>33</v>
      </c>
      <c r="C342" t="s">
        <v>312</v>
      </c>
      <c r="D342" t="s">
        <v>63</v>
      </c>
      <c r="E342" t="s">
        <v>15</v>
      </c>
      <c r="F342">
        <v>2.0</v>
      </c>
      <c r="G342" t="s">
        <v>162</v>
      </c>
    </row>
    <row r="343">
      <c r="A343" t="str">
        <f t="shared" si="1"/>
        <v>Mage24</v>
      </c>
      <c r="B343" t="s">
        <v>33</v>
      </c>
      <c r="C343" t="s">
        <v>393</v>
      </c>
      <c r="D343" t="s">
        <v>65</v>
      </c>
      <c r="E343" t="s">
        <v>15</v>
      </c>
      <c r="F343">
        <v>2.0</v>
      </c>
      <c r="G343" t="s">
        <v>188</v>
      </c>
    </row>
    <row r="344">
      <c r="A344" t="str">
        <f t="shared" si="1"/>
        <v>Druid22</v>
      </c>
      <c r="B344" t="s">
        <v>33</v>
      </c>
      <c r="C344" t="s">
        <v>215</v>
      </c>
      <c r="D344" t="s">
        <v>60</v>
      </c>
      <c r="E344" t="s">
        <v>15</v>
      </c>
      <c r="F344">
        <v>4.0</v>
      </c>
      <c r="G344" t="s">
        <v>162</v>
      </c>
    </row>
    <row r="345">
      <c r="A345" t="str">
        <f t="shared" si="1"/>
        <v>Warlock22</v>
      </c>
      <c r="B345" t="s">
        <v>33</v>
      </c>
      <c r="C345" t="s">
        <v>825</v>
      </c>
      <c r="D345" t="s">
        <v>73</v>
      </c>
      <c r="E345" t="s">
        <v>10</v>
      </c>
      <c r="F345">
        <v>1.0</v>
      </c>
      <c r="G345" t="s">
        <v>162</v>
      </c>
    </row>
    <row r="346">
      <c r="A346" t="str">
        <f t="shared" si="1"/>
        <v>Neutral135</v>
      </c>
      <c r="B346" t="s">
        <v>33</v>
      </c>
      <c r="C346" t="s">
        <v>1366</v>
      </c>
      <c r="D346" t="s">
        <v>77</v>
      </c>
      <c r="E346" t="s">
        <v>22</v>
      </c>
      <c r="F346">
        <v>3.0</v>
      </c>
      <c r="G346" t="s">
        <v>188</v>
      </c>
      <c r="H346" t="s">
        <v>660</v>
      </c>
    </row>
    <row r="347">
      <c r="A347" t="str">
        <f t="shared" si="1"/>
        <v>Neutral136</v>
      </c>
      <c r="B347" t="s">
        <v>33</v>
      </c>
      <c r="C347" t="s">
        <v>1069</v>
      </c>
      <c r="D347" t="s">
        <v>77</v>
      </c>
      <c r="E347" t="s">
        <v>15</v>
      </c>
      <c r="F347">
        <v>1.0</v>
      </c>
      <c r="G347" t="s">
        <v>188</v>
      </c>
      <c r="H347" t="s">
        <v>660</v>
      </c>
    </row>
    <row r="348">
      <c r="A348" t="str">
        <f t="shared" si="1"/>
        <v>Mage25</v>
      </c>
      <c r="B348" t="s">
        <v>33</v>
      </c>
      <c r="C348" t="s">
        <v>439</v>
      </c>
      <c r="D348" t="s">
        <v>65</v>
      </c>
      <c r="E348" t="s">
        <v>22</v>
      </c>
      <c r="F348">
        <v>3.0</v>
      </c>
      <c r="G348" t="s">
        <v>162</v>
      </c>
      <c r="H348" t="s">
        <v>299</v>
      </c>
    </row>
    <row r="349">
      <c r="A349" t="str">
        <f t="shared" si="1"/>
        <v>Neutral137</v>
      </c>
      <c r="B349" t="s">
        <v>33</v>
      </c>
      <c r="C349" t="s">
        <v>1186</v>
      </c>
      <c r="D349" t="s">
        <v>77</v>
      </c>
      <c r="E349" t="s">
        <v>15</v>
      </c>
      <c r="F349">
        <v>4.0</v>
      </c>
      <c r="G349" t="s">
        <v>188</v>
      </c>
    </row>
    <row r="350">
      <c r="A350" t="str">
        <f t="shared" si="1"/>
        <v>Neutral138</v>
      </c>
      <c r="B350" t="s">
        <v>33</v>
      </c>
      <c r="C350" t="s">
        <v>1206</v>
      </c>
      <c r="D350" t="s">
        <v>77</v>
      </c>
      <c r="E350" t="s">
        <v>15</v>
      </c>
      <c r="F350">
        <v>5.0</v>
      </c>
      <c r="G350" t="s">
        <v>188</v>
      </c>
    </row>
    <row r="351">
      <c r="A351" t="str">
        <f t="shared" si="1"/>
        <v>Rogue26</v>
      </c>
      <c r="B351" t="s">
        <v>33</v>
      </c>
      <c r="C351" t="s">
        <v>655</v>
      </c>
      <c r="D351" t="s">
        <v>70</v>
      </c>
      <c r="E351" t="s">
        <v>10</v>
      </c>
      <c r="F351">
        <v>7.0</v>
      </c>
      <c r="G351" t="s">
        <v>162</v>
      </c>
    </row>
    <row r="352">
      <c r="A352" t="str">
        <f t="shared" si="1"/>
        <v>Neutral139</v>
      </c>
      <c r="B352" t="s">
        <v>33</v>
      </c>
      <c r="C352" t="s">
        <v>1331</v>
      </c>
      <c r="D352" t="s">
        <v>77</v>
      </c>
      <c r="E352" t="s">
        <v>21</v>
      </c>
      <c r="F352">
        <v>5.0</v>
      </c>
      <c r="G352" t="s">
        <v>188</v>
      </c>
      <c r="H352" t="s">
        <v>238</v>
      </c>
    </row>
    <row r="353">
      <c r="A353" t="str">
        <f t="shared" si="1"/>
        <v>Druid23</v>
      </c>
      <c r="B353" t="s">
        <v>33</v>
      </c>
      <c r="C353" t="s">
        <v>242</v>
      </c>
      <c r="D353" t="s">
        <v>60</v>
      </c>
      <c r="E353" t="s">
        <v>21</v>
      </c>
      <c r="F353">
        <v>5.0</v>
      </c>
      <c r="G353" t="s">
        <v>162</v>
      </c>
    </row>
    <row r="354">
      <c r="A354" t="str">
        <f t="shared" si="1"/>
        <v>Druid24</v>
      </c>
      <c r="B354" t="s">
        <v>33</v>
      </c>
      <c r="C354" t="s">
        <v>185</v>
      </c>
      <c r="D354" t="s">
        <v>60</v>
      </c>
      <c r="E354" t="s">
        <v>10</v>
      </c>
      <c r="F354">
        <v>6.0</v>
      </c>
      <c r="G354" t="s">
        <v>162</v>
      </c>
    </row>
    <row r="355">
      <c r="A355" t="str">
        <f t="shared" si="1"/>
        <v>Hunter23</v>
      </c>
      <c r="B355" t="s">
        <v>33</v>
      </c>
      <c r="C355" t="s">
        <v>288</v>
      </c>
      <c r="D355" t="s">
        <v>63</v>
      </c>
      <c r="E355" t="s">
        <v>10</v>
      </c>
      <c r="F355">
        <v>5.0</v>
      </c>
      <c r="G355" t="s">
        <v>188</v>
      </c>
      <c r="H355" t="s">
        <v>238</v>
      </c>
    </row>
    <row r="356">
      <c r="A356" t="str">
        <f t="shared" si="1"/>
        <v>Neutral140</v>
      </c>
      <c r="B356" t="s">
        <v>33</v>
      </c>
      <c r="C356" t="s">
        <v>1001</v>
      </c>
      <c r="D356" t="s">
        <v>77</v>
      </c>
      <c r="E356" t="s">
        <v>10</v>
      </c>
      <c r="F356">
        <v>1.0</v>
      </c>
      <c r="G356" t="s">
        <v>188</v>
      </c>
      <c r="H356" t="s">
        <v>238</v>
      </c>
    </row>
    <row r="357">
      <c r="A357" t="str">
        <f t="shared" si="1"/>
        <v>Shaman23</v>
      </c>
      <c r="B357" t="s">
        <v>33</v>
      </c>
      <c r="C357" t="s">
        <v>764</v>
      </c>
      <c r="D357" t="s">
        <v>72</v>
      </c>
      <c r="E357" t="s">
        <v>15</v>
      </c>
      <c r="F357">
        <v>2.0</v>
      </c>
      <c r="G357" t="s">
        <v>304</v>
      </c>
    </row>
    <row r="358">
      <c r="A358" t="str">
        <f t="shared" si="1"/>
        <v>Neutral141</v>
      </c>
      <c r="B358" t="s">
        <v>33</v>
      </c>
      <c r="C358" t="s">
        <v>1044</v>
      </c>
      <c r="D358" t="s">
        <v>77</v>
      </c>
      <c r="E358" t="s">
        <v>10</v>
      </c>
      <c r="F358">
        <v>5.0</v>
      </c>
      <c r="G358" t="s">
        <v>188</v>
      </c>
    </row>
    <row r="359">
      <c r="A359" t="str">
        <f t="shared" si="1"/>
        <v>Neutral142</v>
      </c>
      <c r="B359" t="s">
        <v>33</v>
      </c>
      <c r="C359" t="s">
        <v>1051</v>
      </c>
      <c r="D359" t="s">
        <v>77</v>
      </c>
      <c r="E359" t="s">
        <v>10</v>
      </c>
      <c r="F359">
        <v>7.0</v>
      </c>
      <c r="G359" t="s">
        <v>188</v>
      </c>
    </row>
    <row r="360">
      <c r="A360" t="str">
        <f t="shared" si="1"/>
        <v>Neutral143</v>
      </c>
      <c r="B360" t="s">
        <v>33</v>
      </c>
      <c r="C360" t="s">
        <v>1034</v>
      </c>
      <c r="D360" t="s">
        <v>77</v>
      </c>
      <c r="E360" t="s">
        <v>10</v>
      </c>
      <c r="F360">
        <v>4.0</v>
      </c>
      <c r="G360" t="s">
        <v>188</v>
      </c>
    </row>
    <row r="361">
      <c r="A361" t="str">
        <f t="shared" si="1"/>
        <v>Neutral144</v>
      </c>
      <c r="B361" t="s">
        <v>33</v>
      </c>
      <c r="C361" t="s">
        <v>1208</v>
      </c>
      <c r="D361" t="s">
        <v>77</v>
      </c>
      <c r="E361" t="s">
        <v>15</v>
      </c>
      <c r="F361">
        <v>5.0</v>
      </c>
      <c r="G361" t="s">
        <v>188</v>
      </c>
      <c r="H361" t="s">
        <v>238</v>
      </c>
    </row>
    <row r="362">
      <c r="A362" t="str">
        <f t="shared" si="1"/>
        <v>Warlock23</v>
      </c>
      <c r="B362" t="s">
        <v>33</v>
      </c>
      <c r="C362" t="s">
        <v>829</v>
      </c>
      <c r="D362" t="s">
        <v>73</v>
      </c>
      <c r="E362" t="s">
        <v>10</v>
      </c>
      <c r="F362">
        <v>2.0</v>
      </c>
      <c r="G362" t="s">
        <v>188</v>
      </c>
      <c r="H362" t="s">
        <v>828</v>
      </c>
    </row>
    <row r="363">
      <c r="A363" t="str">
        <f t="shared" si="1"/>
        <v>Warlock24</v>
      </c>
      <c r="B363" t="s">
        <v>33</v>
      </c>
      <c r="C363" t="s">
        <v>857</v>
      </c>
      <c r="D363" t="s">
        <v>73</v>
      </c>
      <c r="E363" t="s">
        <v>15</v>
      </c>
      <c r="F363">
        <v>4.0</v>
      </c>
      <c r="G363" t="s">
        <v>188</v>
      </c>
    </row>
    <row r="364">
      <c r="A364" t="str">
        <f t="shared" si="1"/>
        <v>Neutral145</v>
      </c>
      <c r="B364" t="s">
        <v>33</v>
      </c>
      <c r="C364" t="s">
        <v>1258</v>
      </c>
      <c r="D364" t="s">
        <v>77</v>
      </c>
      <c r="E364" t="s">
        <v>21</v>
      </c>
      <c r="F364">
        <v>2.0</v>
      </c>
      <c r="G364" t="s">
        <v>188</v>
      </c>
    </row>
    <row r="365">
      <c r="A365" t="str">
        <f t="shared" si="1"/>
        <v>Neutral146</v>
      </c>
      <c r="B365" t="s">
        <v>33</v>
      </c>
      <c r="C365" t="s">
        <v>1340</v>
      </c>
      <c r="D365" t="s">
        <v>77</v>
      </c>
      <c r="E365" t="s">
        <v>21</v>
      </c>
      <c r="F365">
        <v>6.0</v>
      </c>
      <c r="G365" t="s">
        <v>188</v>
      </c>
    </row>
    <row r="366">
      <c r="A366" t="str">
        <f t="shared" si="1"/>
        <v>Druid25</v>
      </c>
      <c r="B366" t="s">
        <v>33</v>
      </c>
      <c r="C366" t="s">
        <v>182</v>
      </c>
      <c r="D366" t="s">
        <v>60</v>
      </c>
      <c r="E366" t="s">
        <v>10</v>
      </c>
      <c r="F366">
        <v>4.0</v>
      </c>
      <c r="G366" t="s">
        <v>162</v>
      </c>
    </row>
    <row r="367">
      <c r="A367" t="str">
        <f t="shared" si="1"/>
        <v>Paladin25</v>
      </c>
      <c r="B367" t="s">
        <v>33</v>
      </c>
      <c r="C367" t="s">
        <v>528</v>
      </c>
      <c r="D367" t="s">
        <v>68</v>
      </c>
      <c r="E367" t="s">
        <v>22</v>
      </c>
      <c r="F367">
        <v>3.0</v>
      </c>
      <c r="G367" t="s">
        <v>304</v>
      </c>
    </row>
    <row r="368">
      <c r="A368" t="str">
        <f t="shared" si="1"/>
        <v>Neutral147</v>
      </c>
      <c r="B368" t="s">
        <v>33</v>
      </c>
      <c r="C368" t="s">
        <v>1464</v>
      </c>
      <c r="D368" t="s">
        <v>77</v>
      </c>
      <c r="E368" t="s">
        <v>23</v>
      </c>
      <c r="F368">
        <v>6.0</v>
      </c>
      <c r="G368" t="s">
        <v>188</v>
      </c>
    </row>
    <row r="369">
      <c r="A369" t="str">
        <f t="shared" si="1"/>
        <v>Neutral148</v>
      </c>
      <c r="B369" t="s">
        <v>33</v>
      </c>
      <c r="C369" t="s">
        <v>1155</v>
      </c>
      <c r="D369" t="s">
        <v>77</v>
      </c>
      <c r="E369" t="s">
        <v>15</v>
      </c>
      <c r="F369">
        <v>3.0</v>
      </c>
      <c r="G369" t="s">
        <v>188</v>
      </c>
    </row>
    <row r="370">
      <c r="A370" t="str">
        <f t="shared" si="1"/>
        <v>Priest26</v>
      </c>
      <c r="B370" t="s">
        <v>33</v>
      </c>
      <c r="C370" t="s">
        <v>590</v>
      </c>
      <c r="D370" t="s">
        <v>69</v>
      </c>
      <c r="E370" t="s">
        <v>15</v>
      </c>
      <c r="F370">
        <v>6.0</v>
      </c>
      <c r="G370" t="s">
        <v>188</v>
      </c>
    </row>
    <row r="371">
      <c r="A371" t="str">
        <f t="shared" si="1"/>
        <v>Neutral149</v>
      </c>
      <c r="B371" t="s">
        <v>33</v>
      </c>
      <c r="C371" t="s">
        <v>1466</v>
      </c>
      <c r="D371" t="s">
        <v>77</v>
      </c>
      <c r="E371" t="s">
        <v>23</v>
      </c>
      <c r="F371">
        <v>6.0</v>
      </c>
      <c r="G371" t="s">
        <v>188</v>
      </c>
      <c r="H371" t="s">
        <v>238</v>
      </c>
    </row>
    <row r="372">
      <c r="A372" t="str">
        <f t="shared" si="1"/>
        <v>Neutral150</v>
      </c>
      <c r="B372" t="s">
        <v>33</v>
      </c>
      <c r="C372" t="s">
        <v>1468</v>
      </c>
      <c r="D372" t="s">
        <v>77</v>
      </c>
      <c r="E372" t="s">
        <v>23</v>
      </c>
      <c r="F372">
        <v>6.0</v>
      </c>
      <c r="G372" t="s">
        <v>188</v>
      </c>
    </row>
    <row r="373">
      <c r="A373" t="str">
        <f t="shared" si="1"/>
        <v>Priest27</v>
      </c>
      <c r="B373" t="s">
        <v>33</v>
      </c>
      <c r="C373" t="s">
        <v>581</v>
      </c>
      <c r="D373" t="s">
        <v>69</v>
      </c>
      <c r="E373" t="s">
        <v>15</v>
      </c>
      <c r="F373">
        <v>3.0</v>
      </c>
      <c r="G373" t="s">
        <v>162</v>
      </c>
    </row>
    <row r="374">
      <c r="A374" t="str">
        <f t="shared" si="1"/>
        <v>Neutral151</v>
      </c>
      <c r="B374" t="s">
        <v>33</v>
      </c>
      <c r="C374" t="s">
        <v>1157</v>
      </c>
      <c r="D374" t="s">
        <v>77</v>
      </c>
      <c r="E374" t="s">
        <v>15</v>
      </c>
      <c r="F374">
        <v>3.0</v>
      </c>
      <c r="G374" t="s">
        <v>188</v>
      </c>
    </row>
    <row r="375">
      <c r="A375" t="str">
        <f t="shared" si="1"/>
        <v>Hunter24</v>
      </c>
      <c r="B375" t="s">
        <v>33</v>
      </c>
      <c r="C375" t="s">
        <v>276</v>
      </c>
      <c r="D375" t="s">
        <v>63</v>
      </c>
      <c r="E375" t="s">
        <v>10</v>
      </c>
      <c r="F375">
        <v>1.0</v>
      </c>
      <c r="G375" t="s">
        <v>188</v>
      </c>
      <c r="H375" t="s">
        <v>238</v>
      </c>
    </row>
    <row r="376">
      <c r="A376" t="str">
        <f t="shared" si="1"/>
        <v>Neutral152</v>
      </c>
      <c r="B376" t="s">
        <v>33</v>
      </c>
      <c r="C376" t="s">
        <v>1415</v>
      </c>
      <c r="D376" t="s">
        <v>77</v>
      </c>
      <c r="E376" t="s">
        <v>23</v>
      </c>
      <c r="F376">
        <v>3.0</v>
      </c>
      <c r="G376" t="s">
        <v>188</v>
      </c>
    </row>
    <row r="377">
      <c r="A377" t="str">
        <f t="shared" si="1"/>
        <v>Paladin26</v>
      </c>
      <c r="B377" t="s">
        <v>33</v>
      </c>
      <c r="C377" t="s">
        <v>544</v>
      </c>
      <c r="D377" t="s">
        <v>68</v>
      </c>
      <c r="E377" t="s">
        <v>23</v>
      </c>
      <c r="F377">
        <v>8.0</v>
      </c>
      <c r="G377" t="s">
        <v>188</v>
      </c>
    </row>
    <row r="378">
      <c r="A378" t="str">
        <f t="shared" si="1"/>
        <v>Shaman24</v>
      </c>
      <c r="B378" t="s">
        <v>33</v>
      </c>
      <c r="C378" t="s">
        <v>730</v>
      </c>
      <c r="D378" t="s">
        <v>72</v>
      </c>
      <c r="E378" t="s">
        <v>10</v>
      </c>
      <c r="F378">
        <v>0.0</v>
      </c>
      <c r="G378" t="s">
        <v>162</v>
      </c>
    </row>
    <row r="379">
      <c r="A379" t="str">
        <f t="shared" si="1"/>
        <v>Hunter25</v>
      </c>
      <c r="B379" t="s">
        <v>33</v>
      </c>
      <c r="C379" t="s">
        <v>278</v>
      </c>
      <c r="D379" t="s">
        <v>63</v>
      </c>
      <c r="E379" t="s">
        <v>10</v>
      </c>
      <c r="F379">
        <v>1.0</v>
      </c>
      <c r="G379" t="s">
        <v>162</v>
      </c>
    </row>
    <row r="380">
      <c r="A380" t="str">
        <f t="shared" si="1"/>
        <v>Paladin27</v>
      </c>
      <c r="B380" t="s">
        <v>33</v>
      </c>
      <c r="C380" t="s">
        <v>471</v>
      </c>
      <c r="D380" t="s">
        <v>68</v>
      </c>
      <c r="E380" t="s">
        <v>10</v>
      </c>
      <c r="F380">
        <v>4.0</v>
      </c>
      <c r="G380" t="s">
        <v>304</v>
      </c>
    </row>
    <row r="381">
      <c r="A381" t="str">
        <f t="shared" si="1"/>
        <v>Hunter26</v>
      </c>
      <c r="B381" t="s">
        <v>33</v>
      </c>
      <c r="C381" t="s">
        <v>290</v>
      </c>
      <c r="D381" t="s">
        <v>63</v>
      </c>
      <c r="E381" t="s">
        <v>10</v>
      </c>
      <c r="F381">
        <v>5.0</v>
      </c>
      <c r="G381" t="s">
        <v>188</v>
      </c>
      <c r="H381" t="s">
        <v>238</v>
      </c>
    </row>
    <row r="382">
      <c r="A382" t="str">
        <f t="shared" si="1"/>
        <v>Neutral153</v>
      </c>
      <c r="B382" t="s">
        <v>33</v>
      </c>
      <c r="C382" t="s">
        <v>1312</v>
      </c>
      <c r="D382" t="s">
        <v>77</v>
      </c>
      <c r="E382" t="s">
        <v>21</v>
      </c>
      <c r="F382">
        <v>4.0</v>
      </c>
      <c r="G382" t="s">
        <v>188</v>
      </c>
      <c r="H382" t="s">
        <v>446</v>
      </c>
    </row>
    <row r="383">
      <c r="A383" t="str">
        <f t="shared" si="1"/>
        <v>Warlock25</v>
      </c>
      <c r="B383" t="s">
        <v>33</v>
      </c>
      <c r="C383" t="s">
        <v>900</v>
      </c>
      <c r="D383" t="s">
        <v>73</v>
      </c>
      <c r="E383" t="s">
        <v>22</v>
      </c>
      <c r="F383">
        <v>8.0</v>
      </c>
      <c r="G383" t="s">
        <v>162</v>
      </c>
    </row>
    <row r="384">
      <c r="A384" t="str">
        <f t="shared" si="1"/>
        <v>Shaman25</v>
      </c>
      <c r="B384" t="s">
        <v>33</v>
      </c>
      <c r="C384" t="s">
        <v>771</v>
      </c>
      <c r="D384" t="s">
        <v>72</v>
      </c>
      <c r="E384" t="s">
        <v>15</v>
      </c>
      <c r="F384">
        <v>3.0</v>
      </c>
      <c r="G384" t="s">
        <v>188</v>
      </c>
    </row>
    <row r="385">
      <c r="A385" t="str">
        <f t="shared" si="1"/>
        <v>Hunter27</v>
      </c>
      <c r="B385" t="s">
        <v>33</v>
      </c>
      <c r="C385" t="s">
        <v>316</v>
      </c>
      <c r="D385" t="s">
        <v>63</v>
      </c>
      <c r="E385" t="s">
        <v>15</v>
      </c>
      <c r="F385">
        <v>3.0</v>
      </c>
      <c r="G385" t="s">
        <v>162</v>
      </c>
    </row>
    <row r="386">
      <c r="A386" t="str">
        <f t="shared" si="1"/>
        <v>Warrior25</v>
      </c>
      <c r="B386" t="s">
        <v>33</v>
      </c>
      <c r="C386" t="s">
        <v>951</v>
      </c>
      <c r="D386" t="s">
        <v>75</v>
      </c>
      <c r="E386" t="s">
        <v>21</v>
      </c>
      <c r="F386">
        <v>1.0</v>
      </c>
      <c r="G386" t="s">
        <v>162</v>
      </c>
    </row>
    <row r="387">
      <c r="A387" t="str">
        <f t="shared" si="1"/>
        <v>Rogue27</v>
      </c>
      <c r="B387" t="s">
        <v>33</v>
      </c>
      <c r="C387" t="s">
        <v>653</v>
      </c>
      <c r="D387" t="s">
        <v>70</v>
      </c>
      <c r="E387" t="s">
        <v>10</v>
      </c>
      <c r="F387">
        <v>6.0</v>
      </c>
      <c r="G387" t="s">
        <v>162</v>
      </c>
    </row>
    <row r="388">
      <c r="A388" t="str">
        <f t="shared" si="1"/>
        <v>Mage26</v>
      </c>
      <c r="B388" t="s">
        <v>33</v>
      </c>
      <c r="C388" t="s">
        <v>427</v>
      </c>
      <c r="D388" t="s">
        <v>65</v>
      </c>
      <c r="E388" t="s">
        <v>21</v>
      </c>
      <c r="F388">
        <v>3.0</v>
      </c>
      <c r="G388" t="s">
        <v>162</v>
      </c>
      <c r="H388" t="s">
        <v>299</v>
      </c>
    </row>
    <row r="389">
      <c r="A389" t="str">
        <f t="shared" si="1"/>
        <v>Neutral154</v>
      </c>
      <c r="B389" t="s">
        <v>33</v>
      </c>
      <c r="C389" t="s">
        <v>1209</v>
      </c>
      <c r="D389" t="s">
        <v>77</v>
      </c>
      <c r="E389" t="s">
        <v>15</v>
      </c>
      <c r="F389">
        <v>5.0</v>
      </c>
      <c r="G389" t="s">
        <v>188</v>
      </c>
    </row>
    <row r="390">
      <c r="A390" t="str">
        <f t="shared" si="1"/>
        <v>Neutral155</v>
      </c>
      <c r="B390" t="s">
        <v>33</v>
      </c>
      <c r="C390" t="s">
        <v>1315</v>
      </c>
      <c r="D390" t="s">
        <v>77</v>
      </c>
      <c r="E390" t="s">
        <v>21</v>
      </c>
      <c r="F390">
        <v>4.0</v>
      </c>
      <c r="G390" t="s">
        <v>188</v>
      </c>
    </row>
    <row r="391">
      <c r="A391" t="str">
        <f t="shared" si="1"/>
        <v>Warlock26</v>
      </c>
      <c r="B391" t="s">
        <v>33</v>
      </c>
      <c r="C391" t="s">
        <v>872</v>
      </c>
      <c r="D391" t="s">
        <v>73</v>
      </c>
      <c r="E391" t="s">
        <v>21</v>
      </c>
      <c r="F391">
        <v>3.0</v>
      </c>
      <c r="G391" t="s">
        <v>188</v>
      </c>
      <c r="H391" t="s">
        <v>828</v>
      </c>
    </row>
    <row r="392">
      <c r="A392" t="str">
        <f t="shared" si="1"/>
        <v>Warlock27</v>
      </c>
      <c r="B392" t="s">
        <v>33</v>
      </c>
      <c r="C392" t="s">
        <v>827</v>
      </c>
      <c r="D392" t="s">
        <v>73</v>
      </c>
      <c r="E392" t="s">
        <v>10</v>
      </c>
      <c r="F392">
        <v>1.0</v>
      </c>
      <c r="G392" t="s">
        <v>188</v>
      </c>
      <c r="H392" t="s">
        <v>828</v>
      </c>
    </row>
    <row r="393">
      <c r="A393" t="str">
        <f t="shared" si="1"/>
        <v>Neutral156</v>
      </c>
      <c r="B393" t="s">
        <v>33</v>
      </c>
      <c r="C393" t="s">
        <v>1002</v>
      </c>
      <c r="D393" t="s">
        <v>77</v>
      </c>
      <c r="E393" t="s">
        <v>10</v>
      </c>
      <c r="F393">
        <v>1.0</v>
      </c>
      <c r="G393" t="s">
        <v>188</v>
      </c>
    </row>
    <row r="394">
      <c r="A394" t="str">
        <f t="shared" si="1"/>
        <v>Neutral157</v>
      </c>
      <c r="B394" t="s">
        <v>33</v>
      </c>
      <c r="C394" t="s">
        <v>1053</v>
      </c>
      <c r="D394" t="s">
        <v>77</v>
      </c>
      <c r="E394" t="s">
        <v>10</v>
      </c>
      <c r="F394">
        <v>7.0</v>
      </c>
      <c r="G394" t="s">
        <v>188</v>
      </c>
    </row>
    <row r="395">
      <c r="A395" t="str">
        <f t="shared" si="1"/>
        <v>Warrior26</v>
      </c>
      <c r="B395" t="s">
        <v>33</v>
      </c>
      <c r="C395" t="s">
        <v>921</v>
      </c>
      <c r="D395" t="s">
        <v>75</v>
      </c>
      <c r="E395" t="s">
        <v>10</v>
      </c>
      <c r="F395">
        <v>3.0</v>
      </c>
      <c r="G395" t="s">
        <v>188</v>
      </c>
    </row>
    <row r="396">
      <c r="A396" t="str">
        <f t="shared" si="1"/>
        <v>Mage27</v>
      </c>
      <c r="B396" t="s">
        <v>33</v>
      </c>
      <c r="C396" t="s">
        <v>382</v>
      </c>
      <c r="D396" t="s">
        <v>65</v>
      </c>
      <c r="E396" t="s">
        <v>10</v>
      </c>
      <c r="F396">
        <v>4.0</v>
      </c>
      <c r="G396" t="s">
        <v>188</v>
      </c>
    </row>
    <row r="397">
      <c r="A397" t="str">
        <f t="shared" si="1"/>
        <v>Warrior27</v>
      </c>
      <c r="B397" t="s">
        <v>33</v>
      </c>
      <c r="C397" t="s">
        <v>910</v>
      </c>
      <c r="D397" t="s">
        <v>75</v>
      </c>
      <c r="E397" t="s">
        <v>10</v>
      </c>
      <c r="F397">
        <v>1.0</v>
      </c>
      <c r="G397" t="s">
        <v>162</v>
      </c>
    </row>
    <row r="398">
      <c r="A398" t="str">
        <f t="shared" si="1"/>
        <v>Druid26</v>
      </c>
      <c r="B398" t="s">
        <v>33</v>
      </c>
      <c r="C398" t="s">
        <v>173</v>
      </c>
      <c r="D398" t="s">
        <v>60</v>
      </c>
      <c r="E398" t="s">
        <v>10</v>
      </c>
      <c r="F398">
        <v>2.0</v>
      </c>
      <c r="G398" t="s">
        <v>162</v>
      </c>
    </row>
    <row r="399">
      <c r="A399" t="str">
        <f t="shared" si="1"/>
        <v>Neutral158</v>
      </c>
      <c r="B399" t="s">
        <v>33</v>
      </c>
      <c r="C399" t="s">
        <v>1260</v>
      </c>
      <c r="D399" t="s">
        <v>77</v>
      </c>
      <c r="E399" t="s">
        <v>21</v>
      </c>
      <c r="F399">
        <v>2.0</v>
      </c>
      <c r="G399" t="s">
        <v>188</v>
      </c>
    </row>
    <row r="400">
      <c r="A400" t="str">
        <f t="shared" si="1"/>
        <v>Shaman26</v>
      </c>
      <c r="B400" t="s">
        <v>33</v>
      </c>
      <c r="C400" t="s">
        <v>739</v>
      </c>
      <c r="D400" t="s">
        <v>72</v>
      </c>
      <c r="E400" t="s">
        <v>10</v>
      </c>
      <c r="F400">
        <v>2.0</v>
      </c>
      <c r="G400" t="s">
        <v>162</v>
      </c>
    </row>
    <row r="401">
      <c r="A401" t="str">
        <f t="shared" si="1"/>
        <v>Neutral159</v>
      </c>
      <c r="B401" t="s">
        <v>33</v>
      </c>
      <c r="C401" t="s">
        <v>1219</v>
      </c>
      <c r="D401" t="s">
        <v>77</v>
      </c>
      <c r="E401" t="s">
        <v>15</v>
      </c>
      <c r="F401">
        <v>6.0</v>
      </c>
      <c r="G401" t="s">
        <v>188</v>
      </c>
    </row>
    <row r="402">
      <c r="A402" t="str">
        <f t="shared" si="1"/>
        <v>Shaman27</v>
      </c>
      <c r="B402" t="s">
        <v>33</v>
      </c>
      <c r="C402" t="s">
        <v>743</v>
      </c>
      <c r="D402" t="s">
        <v>72</v>
      </c>
      <c r="E402" t="s">
        <v>10</v>
      </c>
      <c r="F402">
        <v>4.0</v>
      </c>
      <c r="G402" t="s">
        <v>188</v>
      </c>
    </row>
    <row r="403">
      <c r="A403" t="str">
        <f t="shared" si="1"/>
        <v>Neutral160</v>
      </c>
      <c r="B403" t="s">
        <v>33</v>
      </c>
      <c r="C403" t="s">
        <v>1054</v>
      </c>
      <c r="D403" t="s">
        <v>77</v>
      </c>
      <c r="E403" t="s">
        <v>15</v>
      </c>
      <c r="F403">
        <v>0.0</v>
      </c>
      <c r="G403" t="s">
        <v>188</v>
      </c>
    </row>
    <row r="404">
      <c r="A404" t="str">
        <f t="shared" si="1"/>
        <v>Neutral161</v>
      </c>
      <c r="B404" t="s">
        <v>33</v>
      </c>
      <c r="C404" t="s">
        <v>1026</v>
      </c>
      <c r="D404" t="s">
        <v>77</v>
      </c>
      <c r="E404" t="s">
        <v>10</v>
      </c>
      <c r="F404">
        <v>3.0</v>
      </c>
      <c r="G404" t="s">
        <v>188</v>
      </c>
    </row>
    <row r="405">
      <c r="A405" t="str">
        <f t="shared" si="1"/>
        <v>Neutral162</v>
      </c>
      <c r="B405" t="s">
        <v>33</v>
      </c>
      <c r="C405" t="s">
        <v>1075</v>
      </c>
      <c r="D405" t="s">
        <v>77</v>
      </c>
      <c r="E405" t="s">
        <v>15</v>
      </c>
      <c r="F405">
        <v>1.0</v>
      </c>
      <c r="G405" t="s">
        <v>188</v>
      </c>
    </row>
    <row r="406">
      <c r="A406" t="str">
        <f t="shared" si="1"/>
        <v>Druid27</v>
      </c>
      <c r="B406" t="s">
        <v>33</v>
      </c>
      <c r="C406" t="s">
        <v>206</v>
      </c>
      <c r="D406" t="s">
        <v>60</v>
      </c>
      <c r="E406" t="s">
        <v>15</v>
      </c>
      <c r="F406">
        <v>2.0</v>
      </c>
      <c r="G406" t="s">
        <v>162</v>
      </c>
    </row>
    <row r="407">
      <c r="A407" t="str">
        <f t="shared" si="1"/>
        <v>Neutral163</v>
      </c>
      <c r="B407" t="s">
        <v>33</v>
      </c>
      <c r="C407" t="s">
        <v>1077</v>
      </c>
      <c r="D407" t="s">
        <v>77</v>
      </c>
      <c r="E407" t="s">
        <v>15</v>
      </c>
      <c r="F407">
        <v>1.0</v>
      </c>
      <c r="G407" t="s">
        <v>188</v>
      </c>
      <c r="H407" t="s">
        <v>238</v>
      </c>
    </row>
    <row r="408">
      <c r="A408" t="str">
        <f t="shared" si="1"/>
        <v>Neutral164</v>
      </c>
      <c r="B408" t="s">
        <v>33</v>
      </c>
      <c r="C408" t="s">
        <v>1238</v>
      </c>
      <c r="D408" t="s">
        <v>77</v>
      </c>
      <c r="E408" t="s">
        <v>21</v>
      </c>
      <c r="F408">
        <v>1.0</v>
      </c>
      <c r="G408" t="s">
        <v>188</v>
      </c>
    </row>
    <row r="409">
      <c r="A409" t="str">
        <f t="shared" si="1"/>
        <v>Neutral165</v>
      </c>
      <c r="B409" t="s">
        <v>33</v>
      </c>
      <c r="C409" t="s">
        <v>1121</v>
      </c>
      <c r="D409" t="s">
        <v>77</v>
      </c>
      <c r="E409" t="s">
        <v>15</v>
      </c>
      <c r="F409">
        <v>2.0</v>
      </c>
      <c r="G409" t="s">
        <v>188</v>
      </c>
    </row>
    <row r="410">
      <c r="A410" t="str">
        <f t="shared" si="1"/>
        <v>Neutral166</v>
      </c>
      <c r="B410" t="s">
        <v>33</v>
      </c>
      <c r="C410" t="s">
        <v>1513</v>
      </c>
      <c r="D410" t="s">
        <v>77</v>
      </c>
      <c r="E410" t="s">
        <v>23</v>
      </c>
      <c r="F410">
        <v>9.0</v>
      </c>
      <c r="G410" t="s">
        <v>188</v>
      </c>
      <c r="H410" t="s">
        <v>446</v>
      </c>
    </row>
    <row r="411">
      <c r="A411" t="str">
        <f t="shared" si="1"/>
        <v>Shaman28</v>
      </c>
      <c r="B411" t="s">
        <v>1767</v>
      </c>
      <c r="C411" t="s">
        <v>803</v>
      </c>
      <c r="D411" t="s">
        <v>72</v>
      </c>
      <c r="E411" t="s">
        <v>22</v>
      </c>
      <c r="F411">
        <v>4.0</v>
      </c>
      <c r="G411" t="s">
        <v>162</v>
      </c>
    </row>
    <row r="412">
      <c r="A412" t="str">
        <f t="shared" si="1"/>
        <v>Warlock28</v>
      </c>
      <c r="B412" t="s">
        <v>1767</v>
      </c>
      <c r="C412" t="s">
        <v>896</v>
      </c>
      <c r="D412" t="s">
        <v>73</v>
      </c>
      <c r="E412" t="s">
        <v>22</v>
      </c>
      <c r="F412">
        <v>6.0</v>
      </c>
      <c r="G412" t="s">
        <v>188</v>
      </c>
      <c r="H412" t="s">
        <v>198</v>
      </c>
    </row>
    <row r="413">
      <c r="A413" t="str">
        <f t="shared" si="1"/>
        <v>Neutral167</v>
      </c>
      <c r="B413" t="s">
        <v>1767</v>
      </c>
      <c r="C413" t="s">
        <v>1082</v>
      </c>
      <c r="D413" t="s">
        <v>77</v>
      </c>
      <c r="E413" t="s">
        <v>15</v>
      </c>
      <c r="F413">
        <v>2.0</v>
      </c>
      <c r="G413" t="s">
        <v>188</v>
      </c>
      <c r="H413" t="s">
        <v>198</v>
      </c>
    </row>
    <row r="414">
      <c r="A414" t="str">
        <f t="shared" si="1"/>
        <v>Druid28</v>
      </c>
      <c r="B414" t="s">
        <v>1767</v>
      </c>
      <c r="C414" t="s">
        <v>197</v>
      </c>
      <c r="D414" t="s">
        <v>60</v>
      </c>
      <c r="E414" t="s">
        <v>15</v>
      </c>
      <c r="F414">
        <v>2.0</v>
      </c>
      <c r="G414" t="s">
        <v>188</v>
      </c>
      <c r="H414" t="s">
        <v>198</v>
      </c>
    </row>
    <row r="415">
      <c r="A415" t="str">
        <f t="shared" si="1"/>
        <v>Neutral168</v>
      </c>
      <c r="B415" t="s">
        <v>1767</v>
      </c>
      <c r="C415" t="s">
        <v>1189</v>
      </c>
      <c r="D415" t="s">
        <v>77</v>
      </c>
      <c r="E415" t="s">
        <v>15</v>
      </c>
      <c r="F415">
        <v>5.0</v>
      </c>
      <c r="G415" t="s">
        <v>188</v>
      </c>
      <c r="H415" t="s">
        <v>198</v>
      </c>
    </row>
    <row r="416">
      <c r="A416" t="str">
        <f t="shared" si="1"/>
        <v>Neutral169</v>
      </c>
      <c r="B416" t="s">
        <v>1767</v>
      </c>
      <c r="C416" t="s">
        <v>1302</v>
      </c>
      <c r="D416" t="s">
        <v>77</v>
      </c>
      <c r="E416" t="s">
        <v>21</v>
      </c>
      <c r="F416">
        <v>4.0</v>
      </c>
      <c r="G416" t="s">
        <v>188</v>
      </c>
      <c r="H416" t="s">
        <v>198</v>
      </c>
    </row>
    <row r="417">
      <c r="A417" t="str">
        <f t="shared" si="1"/>
        <v>Neutral170</v>
      </c>
      <c r="B417" t="s">
        <v>1767</v>
      </c>
      <c r="C417" t="s">
        <v>1423</v>
      </c>
      <c r="D417" t="s">
        <v>77</v>
      </c>
      <c r="E417" t="s">
        <v>23</v>
      </c>
      <c r="F417">
        <v>5.0</v>
      </c>
      <c r="G417" t="s">
        <v>188</v>
      </c>
      <c r="H417" t="s">
        <v>198</v>
      </c>
    </row>
    <row r="418">
      <c r="A418" t="str">
        <f t="shared" si="1"/>
        <v>Paladin28</v>
      </c>
      <c r="B418" t="s">
        <v>1767</v>
      </c>
      <c r="C418" t="s">
        <v>540</v>
      </c>
      <c r="D418" t="s">
        <v>68</v>
      </c>
      <c r="E418" t="s">
        <v>23</v>
      </c>
      <c r="F418">
        <v>5.0</v>
      </c>
      <c r="G418" t="s">
        <v>188</v>
      </c>
    </row>
    <row r="419">
      <c r="A419" t="str">
        <f t="shared" si="1"/>
        <v>Neutral171</v>
      </c>
      <c r="B419" t="s">
        <v>1767</v>
      </c>
      <c r="C419" t="s">
        <v>1323</v>
      </c>
      <c r="D419" t="s">
        <v>77</v>
      </c>
      <c r="E419" t="s">
        <v>21</v>
      </c>
      <c r="F419">
        <v>5.0</v>
      </c>
      <c r="G419" t="s">
        <v>188</v>
      </c>
    </row>
    <row r="420">
      <c r="A420" t="str">
        <f t="shared" si="1"/>
        <v>Warrior28</v>
      </c>
      <c r="B420" t="s">
        <v>1767</v>
      </c>
      <c r="C420" t="s">
        <v>977</v>
      </c>
      <c r="D420" t="s">
        <v>75</v>
      </c>
      <c r="E420" t="s">
        <v>22</v>
      </c>
      <c r="F420">
        <v>3.0</v>
      </c>
      <c r="G420" t="s">
        <v>162</v>
      </c>
    </row>
    <row r="421">
      <c r="A421" t="str">
        <f t="shared" si="1"/>
        <v>Neutral172</v>
      </c>
      <c r="B421" t="s">
        <v>1767</v>
      </c>
      <c r="C421" t="s">
        <v>1161</v>
      </c>
      <c r="D421" t="s">
        <v>77</v>
      </c>
      <c r="E421" t="s">
        <v>15</v>
      </c>
      <c r="F421">
        <v>4.0</v>
      </c>
      <c r="G421" t="s">
        <v>188</v>
      </c>
    </row>
    <row r="422">
      <c r="A422" t="str">
        <f t="shared" si="1"/>
        <v>Hunter28</v>
      </c>
      <c r="B422" t="s">
        <v>1767</v>
      </c>
      <c r="C422" t="s">
        <v>320</v>
      </c>
      <c r="D422" t="s">
        <v>63</v>
      </c>
      <c r="E422" t="s">
        <v>21</v>
      </c>
      <c r="F422">
        <v>2.0</v>
      </c>
      <c r="G422" t="s">
        <v>162</v>
      </c>
    </row>
    <row r="423">
      <c r="A423" t="str">
        <f t="shared" si="1"/>
        <v>Neutral173</v>
      </c>
      <c r="B423" t="s">
        <v>1767</v>
      </c>
      <c r="C423" t="s">
        <v>1395</v>
      </c>
      <c r="D423" t="s">
        <v>77</v>
      </c>
      <c r="E423" t="s">
        <v>22</v>
      </c>
      <c r="F423">
        <v>12.0</v>
      </c>
      <c r="G423" t="s">
        <v>188</v>
      </c>
      <c r="H423" t="s">
        <v>198</v>
      </c>
    </row>
    <row r="424">
      <c r="A424" t="str">
        <f t="shared" si="1"/>
        <v>Neutral174</v>
      </c>
      <c r="B424" t="s">
        <v>1767</v>
      </c>
      <c r="C424" t="s">
        <v>1058</v>
      </c>
      <c r="D424" t="s">
        <v>77</v>
      </c>
      <c r="E424" t="s">
        <v>15</v>
      </c>
      <c r="F424">
        <v>1.0</v>
      </c>
      <c r="G424" t="s">
        <v>188</v>
      </c>
      <c r="H424" t="s">
        <v>198</v>
      </c>
    </row>
    <row r="425">
      <c r="A425" t="str">
        <f t="shared" si="1"/>
        <v>Paladin29</v>
      </c>
      <c r="B425" t="s">
        <v>1767</v>
      </c>
      <c r="C425" t="s">
        <v>518</v>
      </c>
      <c r="D425" t="s">
        <v>68</v>
      </c>
      <c r="E425" t="s">
        <v>21</v>
      </c>
      <c r="F425">
        <v>5.0</v>
      </c>
      <c r="G425" t="s">
        <v>188</v>
      </c>
      <c r="H425" t="s">
        <v>198</v>
      </c>
    </row>
    <row r="426">
      <c r="A426" t="str">
        <f t="shared" si="1"/>
        <v>Hunter29</v>
      </c>
      <c r="B426" t="s">
        <v>1767</v>
      </c>
      <c r="C426" t="s">
        <v>318</v>
      </c>
      <c r="D426" t="s">
        <v>63</v>
      </c>
      <c r="E426" t="s">
        <v>15</v>
      </c>
      <c r="F426">
        <v>5.0</v>
      </c>
      <c r="G426" t="s">
        <v>162</v>
      </c>
    </row>
    <row r="427">
      <c r="A427" t="str">
        <f t="shared" si="1"/>
        <v>Paladin30</v>
      </c>
      <c r="B427" t="s">
        <v>1767</v>
      </c>
      <c r="C427" t="s">
        <v>526</v>
      </c>
      <c r="D427" t="s">
        <v>68</v>
      </c>
      <c r="E427" t="s">
        <v>22</v>
      </c>
      <c r="F427">
        <v>3.0</v>
      </c>
      <c r="G427" t="s">
        <v>304</v>
      </c>
    </row>
    <row r="428">
      <c r="A428" t="str">
        <f t="shared" si="1"/>
        <v>Neutral175</v>
      </c>
      <c r="B428" t="s">
        <v>1767</v>
      </c>
      <c r="C428" t="s">
        <v>1060</v>
      </c>
      <c r="D428" t="s">
        <v>77</v>
      </c>
      <c r="E428" t="s">
        <v>15</v>
      </c>
      <c r="F428">
        <v>1.0</v>
      </c>
      <c r="G428" t="s">
        <v>188</v>
      </c>
    </row>
    <row r="429">
      <c r="A429" t="str">
        <f t="shared" si="1"/>
        <v>Rogue28</v>
      </c>
      <c r="B429" t="s">
        <v>1767</v>
      </c>
      <c r="C429" t="s">
        <v>714</v>
      </c>
      <c r="D429" t="s">
        <v>70</v>
      </c>
      <c r="E429" t="s">
        <v>22</v>
      </c>
      <c r="F429">
        <v>3.0</v>
      </c>
      <c r="G429" t="s">
        <v>304</v>
      </c>
    </row>
    <row r="430">
      <c r="A430" t="str">
        <f t="shared" si="1"/>
        <v>Shaman29</v>
      </c>
      <c r="B430" t="s">
        <v>1767</v>
      </c>
      <c r="C430" t="s">
        <v>760</v>
      </c>
      <c r="D430" t="s">
        <v>72</v>
      </c>
      <c r="E430" t="s">
        <v>15</v>
      </c>
      <c r="F430">
        <v>2.0</v>
      </c>
      <c r="G430" t="s">
        <v>162</v>
      </c>
    </row>
    <row r="431">
      <c r="A431" t="str">
        <f t="shared" si="1"/>
        <v>Warrior29</v>
      </c>
      <c r="B431" t="s">
        <v>1767</v>
      </c>
      <c r="C431" t="s">
        <v>985</v>
      </c>
      <c r="D431" t="s">
        <v>75</v>
      </c>
      <c r="E431" t="s">
        <v>22</v>
      </c>
      <c r="F431">
        <v>7.0</v>
      </c>
      <c r="G431" t="s">
        <v>162</v>
      </c>
    </row>
    <row r="432">
      <c r="A432" t="str">
        <f t="shared" si="1"/>
        <v>Druid29</v>
      </c>
      <c r="B432" t="s">
        <v>1767</v>
      </c>
      <c r="C432" t="s">
        <v>256</v>
      </c>
      <c r="D432" t="s">
        <v>60</v>
      </c>
      <c r="E432" t="s">
        <v>22</v>
      </c>
      <c r="F432">
        <v>6.0</v>
      </c>
      <c r="G432" t="s">
        <v>162</v>
      </c>
    </row>
    <row r="433">
      <c r="A433" t="str">
        <f t="shared" si="1"/>
        <v>Warlock29</v>
      </c>
      <c r="B433" t="s">
        <v>1767</v>
      </c>
      <c r="C433" t="s">
        <v>845</v>
      </c>
      <c r="D433" t="s">
        <v>73</v>
      </c>
      <c r="E433" t="s">
        <v>15</v>
      </c>
      <c r="F433">
        <v>2.0</v>
      </c>
      <c r="G433" t="s">
        <v>162</v>
      </c>
    </row>
    <row r="434">
      <c r="A434" t="str">
        <f t="shared" si="1"/>
        <v>Warlock30</v>
      </c>
      <c r="B434" t="s">
        <v>1767</v>
      </c>
      <c r="C434" t="s">
        <v>894</v>
      </c>
      <c r="D434" t="s">
        <v>73</v>
      </c>
      <c r="E434" t="s">
        <v>22</v>
      </c>
      <c r="F434">
        <v>5.0</v>
      </c>
      <c r="G434" t="s">
        <v>162</v>
      </c>
    </row>
    <row r="435">
      <c r="A435" t="str">
        <f t="shared" si="1"/>
        <v>Neutral176</v>
      </c>
      <c r="B435" t="s">
        <v>1767</v>
      </c>
      <c r="C435" t="s">
        <v>1478</v>
      </c>
      <c r="D435" t="s">
        <v>77</v>
      </c>
      <c r="E435" t="s">
        <v>23</v>
      </c>
      <c r="F435">
        <v>7.0</v>
      </c>
      <c r="G435" t="s">
        <v>188</v>
      </c>
    </row>
    <row r="436">
      <c r="A436" t="str">
        <f t="shared" si="1"/>
        <v>Druid30</v>
      </c>
      <c r="B436" t="s">
        <v>1767</v>
      </c>
      <c r="C436" t="s">
        <v>224</v>
      </c>
      <c r="D436" t="s">
        <v>60</v>
      </c>
      <c r="E436" t="s">
        <v>15</v>
      </c>
      <c r="F436">
        <v>5.0</v>
      </c>
      <c r="G436" t="s">
        <v>188</v>
      </c>
    </row>
    <row r="437">
      <c r="A437" t="str">
        <f t="shared" si="1"/>
        <v>Shaman30</v>
      </c>
      <c r="B437" t="s">
        <v>1767</v>
      </c>
      <c r="C437" t="s">
        <v>795</v>
      </c>
      <c r="D437" t="s">
        <v>72</v>
      </c>
      <c r="E437" t="s">
        <v>21</v>
      </c>
      <c r="F437">
        <v>4.0</v>
      </c>
      <c r="G437" t="s">
        <v>188</v>
      </c>
    </row>
    <row r="438">
      <c r="A438" t="str">
        <f t="shared" si="1"/>
        <v>Mage28</v>
      </c>
      <c r="B438" t="s">
        <v>1767</v>
      </c>
      <c r="C438" t="s">
        <v>441</v>
      </c>
      <c r="D438" t="s">
        <v>65</v>
      </c>
      <c r="E438" t="s">
        <v>22</v>
      </c>
      <c r="F438">
        <v>4.0</v>
      </c>
      <c r="G438" t="s">
        <v>162</v>
      </c>
    </row>
    <row r="439">
      <c r="A439" t="str">
        <f t="shared" si="1"/>
        <v>Neutral177</v>
      </c>
      <c r="B439" t="s">
        <v>1767</v>
      </c>
      <c r="C439" t="s">
        <v>1370</v>
      </c>
      <c r="D439" t="s">
        <v>77</v>
      </c>
      <c r="E439" t="s">
        <v>22</v>
      </c>
      <c r="F439">
        <v>4.0</v>
      </c>
      <c r="G439" t="s">
        <v>188</v>
      </c>
      <c r="H439" t="s">
        <v>198</v>
      </c>
    </row>
    <row r="440">
      <c r="A440" t="str">
        <f t="shared" si="1"/>
        <v>Neutral178</v>
      </c>
      <c r="B440" t="s">
        <v>1767</v>
      </c>
      <c r="C440" t="s">
        <v>1090</v>
      </c>
      <c r="D440" t="s">
        <v>77</v>
      </c>
      <c r="E440" t="s">
        <v>15</v>
      </c>
      <c r="F440">
        <v>2.0</v>
      </c>
      <c r="G440" t="s">
        <v>188</v>
      </c>
      <c r="H440" t="s">
        <v>198</v>
      </c>
    </row>
    <row r="441">
      <c r="A441" t="str">
        <f t="shared" si="1"/>
        <v>Hunter30</v>
      </c>
      <c r="B441" t="s">
        <v>1767</v>
      </c>
      <c r="C441" t="s">
        <v>346</v>
      </c>
      <c r="D441" t="s">
        <v>63</v>
      </c>
      <c r="E441" t="s">
        <v>22</v>
      </c>
      <c r="F441">
        <v>2.0</v>
      </c>
      <c r="G441" t="s">
        <v>162</v>
      </c>
    </row>
    <row r="442">
      <c r="A442" t="str">
        <f t="shared" si="1"/>
        <v>Warlock31</v>
      </c>
      <c r="B442" t="s">
        <v>1767</v>
      </c>
      <c r="C442" t="s">
        <v>874</v>
      </c>
      <c r="D442" t="s">
        <v>73</v>
      </c>
      <c r="E442" t="s">
        <v>21</v>
      </c>
      <c r="F442">
        <v>4.0</v>
      </c>
      <c r="G442" t="s">
        <v>188</v>
      </c>
      <c r="H442" t="s">
        <v>198</v>
      </c>
    </row>
    <row r="443">
      <c r="A443" t="str">
        <f t="shared" si="1"/>
        <v>Neutral179</v>
      </c>
      <c r="B443" t="s">
        <v>1767</v>
      </c>
      <c r="C443" t="s">
        <v>1377</v>
      </c>
      <c r="D443" t="s">
        <v>77</v>
      </c>
      <c r="E443" t="s">
        <v>22</v>
      </c>
      <c r="F443">
        <v>5.0</v>
      </c>
      <c r="G443" t="s">
        <v>188</v>
      </c>
      <c r="H443" t="s">
        <v>198</v>
      </c>
    </row>
    <row r="444">
      <c r="A444" t="str">
        <f t="shared" si="1"/>
        <v>Mage29</v>
      </c>
      <c r="B444" t="s">
        <v>1767</v>
      </c>
      <c r="C444" t="s">
        <v>452</v>
      </c>
      <c r="D444" t="s">
        <v>65</v>
      </c>
      <c r="E444" t="s">
        <v>23</v>
      </c>
      <c r="F444">
        <v>7.0</v>
      </c>
      <c r="G444" t="s">
        <v>188</v>
      </c>
      <c r="H444" t="s">
        <v>198</v>
      </c>
    </row>
    <row r="445">
      <c r="A445" t="str">
        <f t="shared" si="1"/>
        <v>Mage30</v>
      </c>
      <c r="B445" t="s">
        <v>1767</v>
      </c>
      <c r="C445" t="s">
        <v>390</v>
      </c>
      <c r="D445" t="s">
        <v>65</v>
      </c>
      <c r="E445" t="s">
        <v>15</v>
      </c>
      <c r="F445">
        <v>2.0</v>
      </c>
      <c r="G445" t="s">
        <v>162</v>
      </c>
    </row>
    <row r="446">
      <c r="A446" t="str">
        <f t="shared" si="1"/>
        <v>Warlock32</v>
      </c>
      <c r="B446" t="s">
        <v>1767</v>
      </c>
      <c r="C446" t="s">
        <v>861</v>
      </c>
      <c r="D446" t="s">
        <v>73</v>
      </c>
      <c r="E446" t="s">
        <v>15</v>
      </c>
      <c r="F446">
        <v>5.0</v>
      </c>
      <c r="G446" t="s">
        <v>188</v>
      </c>
      <c r="H446" t="s">
        <v>828</v>
      </c>
    </row>
    <row r="447">
      <c r="A447" t="str">
        <f t="shared" si="1"/>
        <v>Neutral180</v>
      </c>
      <c r="B447" t="s">
        <v>1767</v>
      </c>
      <c r="C447" t="s">
        <v>1137</v>
      </c>
      <c r="D447" t="s">
        <v>77</v>
      </c>
      <c r="E447" t="s">
        <v>15</v>
      </c>
      <c r="F447">
        <v>3.0</v>
      </c>
      <c r="G447" t="s">
        <v>188</v>
      </c>
      <c r="H447" t="s">
        <v>198</v>
      </c>
    </row>
    <row r="448">
      <c r="A448" t="str">
        <f t="shared" si="1"/>
        <v>Neutral181</v>
      </c>
      <c r="B448" t="s">
        <v>1767</v>
      </c>
      <c r="C448" t="s">
        <v>1488</v>
      </c>
      <c r="D448" t="s">
        <v>77</v>
      </c>
      <c r="E448" t="s">
        <v>23</v>
      </c>
      <c r="F448">
        <v>8.0</v>
      </c>
      <c r="G448" t="s">
        <v>188</v>
      </c>
      <c r="H448" t="s">
        <v>198</v>
      </c>
    </row>
    <row r="449">
      <c r="A449" t="str">
        <f t="shared" si="1"/>
        <v>Neutral182</v>
      </c>
      <c r="B449" t="s">
        <v>1767</v>
      </c>
      <c r="C449" t="s">
        <v>1221</v>
      </c>
      <c r="D449" t="s">
        <v>77</v>
      </c>
      <c r="E449" t="s">
        <v>15</v>
      </c>
      <c r="F449">
        <v>8.0</v>
      </c>
      <c r="G449" t="s">
        <v>188</v>
      </c>
      <c r="H449" t="s">
        <v>198</v>
      </c>
    </row>
    <row r="450">
      <c r="A450" t="str">
        <f t="shared" si="1"/>
        <v>Hunter31</v>
      </c>
      <c r="B450" t="s">
        <v>1767</v>
      </c>
      <c r="C450" t="s">
        <v>362</v>
      </c>
      <c r="D450" t="s">
        <v>63</v>
      </c>
      <c r="E450" t="s">
        <v>23</v>
      </c>
      <c r="F450">
        <v>7.0</v>
      </c>
      <c r="G450" t="s">
        <v>188</v>
      </c>
      <c r="H450" t="s">
        <v>238</v>
      </c>
    </row>
    <row r="451">
      <c r="A451" t="str">
        <f t="shared" si="1"/>
        <v>Neutral183</v>
      </c>
      <c r="B451" t="s">
        <v>1767</v>
      </c>
      <c r="C451" t="s">
        <v>1451</v>
      </c>
      <c r="D451" t="s">
        <v>77</v>
      </c>
      <c r="E451" t="s">
        <v>23</v>
      </c>
      <c r="F451">
        <v>6.0</v>
      </c>
      <c r="G451" t="s">
        <v>188</v>
      </c>
    </row>
    <row r="452">
      <c r="A452" t="str">
        <f t="shared" si="1"/>
        <v>Neutral184</v>
      </c>
      <c r="B452" t="s">
        <v>1767</v>
      </c>
      <c r="C452" t="s">
        <v>1096</v>
      </c>
      <c r="D452" t="s">
        <v>77</v>
      </c>
      <c r="E452" t="s">
        <v>15</v>
      </c>
      <c r="F452">
        <v>2.0</v>
      </c>
      <c r="G452" t="s">
        <v>188</v>
      </c>
    </row>
    <row r="453">
      <c r="A453" t="str">
        <f t="shared" si="1"/>
        <v>Hunter32</v>
      </c>
      <c r="B453" t="s">
        <v>1767</v>
      </c>
      <c r="C453" t="s">
        <v>303</v>
      </c>
      <c r="D453" t="s">
        <v>63</v>
      </c>
      <c r="E453" t="s">
        <v>15</v>
      </c>
      <c r="F453">
        <v>2.0</v>
      </c>
      <c r="G453" t="s">
        <v>304</v>
      </c>
    </row>
    <row r="454">
      <c r="A454" t="str">
        <f t="shared" si="1"/>
        <v>Neutral185</v>
      </c>
      <c r="B454" t="s">
        <v>1767</v>
      </c>
      <c r="C454" t="s">
        <v>1138</v>
      </c>
      <c r="D454" t="s">
        <v>77</v>
      </c>
      <c r="E454" t="s">
        <v>15</v>
      </c>
      <c r="F454">
        <v>3.0</v>
      </c>
      <c r="G454" t="s">
        <v>188</v>
      </c>
    </row>
    <row r="455">
      <c r="A455" t="str">
        <f t="shared" si="1"/>
        <v>Neutral186</v>
      </c>
      <c r="B455" t="s">
        <v>1767</v>
      </c>
      <c r="C455" t="s">
        <v>1280</v>
      </c>
      <c r="D455" t="s">
        <v>77</v>
      </c>
      <c r="E455" t="s">
        <v>21</v>
      </c>
      <c r="F455">
        <v>3.0</v>
      </c>
      <c r="G455" t="s">
        <v>188</v>
      </c>
    </row>
    <row r="456">
      <c r="A456" t="str">
        <f t="shared" si="1"/>
        <v>Rogue29</v>
      </c>
      <c r="B456" t="s">
        <v>1767</v>
      </c>
      <c r="C456" t="s">
        <v>674</v>
      </c>
      <c r="D456" t="s">
        <v>70</v>
      </c>
      <c r="E456" t="s">
        <v>15</v>
      </c>
      <c r="F456">
        <v>2.0</v>
      </c>
      <c r="G456" t="s">
        <v>188</v>
      </c>
      <c r="H456" t="s">
        <v>198</v>
      </c>
    </row>
    <row r="457">
      <c r="A457" t="str">
        <f t="shared" si="1"/>
        <v>Mage31</v>
      </c>
      <c r="B457" t="s">
        <v>1767</v>
      </c>
      <c r="C457" t="s">
        <v>431</v>
      </c>
      <c r="D457" t="s">
        <v>65</v>
      </c>
      <c r="E457" t="s">
        <v>21</v>
      </c>
      <c r="F457">
        <v>4.0</v>
      </c>
      <c r="G457" t="s">
        <v>188</v>
      </c>
    </row>
    <row r="458">
      <c r="A458" t="str">
        <f t="shared" si="1"/>
        <v>Neutral187</v>
      </c>
      <c r="B458" t="s">
        <v>1767</v>
      </c>
      <c r="C458" t="s">
        <v>1282</v>
      </c>
      <c r="D458" t="s">
        <v>77</v>
      </c>
      <c r="E458" t="s">
        <v>21</v>
      </c>
      <c r="F458">
        <v>3.0</v>
      </c>
      <c r="G458" t="s">
        <v>188</v>
      </c>
    </row>
    <row r="459">
      <c r="A459" t="str">
        <f t="shared" si="1"/>
        <v>Druid31</v>
      </c>
      <c r="B459" t="s">
        <v>1767</v>
      </c>
      <c r="C459" t="s">
        <v>230</v>
      </c>
      <c r="D459" t="s">
        <v>60</v>
      </c>
      <c r="E459" t="s">
        <v>21</v>
      </c>
      <c r="F459">
        <v>3.0</v>
      </c>
      <c r="G459" t="s">
        <v>188</v>
      </c>
    </row>
    <row r="460">
      <c r="A460" t="str">
        <f t="shared" si="1"/>
        <v>Neutral188</v>
      </c>
      <c r="B460" t="s">
        <v>1767</v>
      </c>
      <c r="C460" t="s">
        <v>1433</v>
      </c>
      <c r="D460" t="s">
        <v>77</v>
      </c>
      <c r="E460" t="s">
        <v>23</v>
      </c>
      <c r="F460">
        <v>5.0</v>
      </c>
      <c r="G460" t="s">
        <v>188</v>
      </c>
    </row>
    <row r="461">
      <c r="A461" t="str">
        <f t="shared" si="1"/>
        <v>Neutral189</v>
      </c>
      <c r="B461" t="s">
        <v>1767</v>
      </c>
      <c r="C461" t="s">
        <v>1358</v>
      </c>
      <c r="D461" t="s">
        <v>77</v>
      </c>
      <c r="E461" t="s">
        <v>22</v>
      </c>
      <c r="F461">
        <v>3.0</v>
      </c>
      <c r="G461" t="s">
        <v>188</v>
      </c>
    </row>
    <row r="462">
      <c r="A462" t="str">
        <f t="shared" si="1"/>
        <v>Neutral190</v>
      </c>
      <c r="B462" t="s">
        <v>1767</v>
      </c>
      <c r="C462" t="s">
        <v>1284</v>
      </c>
      <c r="D462" t="s">
        <v>77</v>
      </c>
      <c r="E462" t="s">
        <v>21</v>
      </c>
      <c r="F462">
        <v>3.0</v>
      </c>
      <c r="G462" t="s">
        <v>188</v>
      </c>
    </row>
    <row r="463">
      <c r="A463" t="str">
        <f t="shared" si="1"/>
        <v>Warlock33</v>
      </c>
      <c r="B463" t="s">
        <v>1767</v>
      </c>
      <c r="C463" t="s">
        <v>878</v>
      </c>
      <c r="D463" t="s">
        <v>73</v>
      </c>
      <c r="E463" t="s">
        <v>21</v>
      </c>
      <c r="F463">
        <v>4.0</v>
      </c>
      <c r="G463" t="s">
        <v>162</v>
      </c>
    </row>
    <row r="464">
      <c r="A464" t="str">
        <f t="shared" si="1"/>
        <v>Warrior30</v>
      </c>
      <c r="B464" t="s">
        <v>1767</v>
      </c>
      <c r="C464" t="s">
        <v>989</v>
      </c>
      <c r="D464" t="s">
        <v>75</v>
      </c>
      <c r="E464" t="s">
        <v>23</v>
      </c>
      <c r="F464">
        <v>6.0</v>
      </c>
      <c r="G464" t="s">
        <v>188</v>
      </c>
      <c r="H464" t="s">
        <v>198</v>
      </c>
    </row>
    <row r="465">
      <c r="A465" t="str">
        <f t="shared" si="1"/>
        <v>Rogue30</v>
      </c>
      <c r="B465" t="s">
        <v>1767</v>
      </c>
      <c r="C465" t="s">
        <v>694</v>
      </c>
      <c r="D465" t="s">
        <v>70</v>
      </c>
      <c r="E465" t="s">
        <v>21</v>
      </c>
      <c r="F465">
        <v>3.0</v>
      </c>
      <c r="G465" t="s">
        <v>188</v>
      </c>
      <c r="H465" t="s">
        <v>198</v>
      </c>
    </row>
    <row r="466">
      <c r="A466" t="str">
        <f t="shared" si="1"/>
        <v>Neutral191</v>
      </c>
      <c r="B466" t="s">
        <v>1767</v>
      </c>
      <c r="C466" t="s">
        <v>1308</v>
      </c>
      <c r="D466" t="s">
        <v>77</v>
      </c>
      <c r="E466" t="s">
        <v>21</v>
      </c>
      <c r="F466">
        <v>4.0</v>
      </c>
      <c r="G466" t="s">
        <v>188</v>
      </c>
      <c r="H466" t="s">
        <v>198</v>
      </c>
    </row>
    <row r="467">
      <c r="A467" t="str">
        <f t="shared" si="1"/>
        <v>Neutral192</v>
      </c>
      <c r="B467" t="s">
        <v>1767</v>
      </c>
      <c r="C467" t="s">
        <v>1379</v>
      </c>
      <c r="D467" t="s">
        <v>77</v>
      </c>
      <c r="E467" t="s">
        <v>22</v>
      </c>
      <c r="F467">
        <v>5.0</v>
      </c>
      <c r="G467" t="s">
        <v>188</v>
      </c>
      <c r="H467" t="s">
        <v>198</v>
      </c>
    </row>
    <row r="468">
      <c r="A468" t="str">
        <f t="shared" si="1"/>
        <v>Neutral193</v>
      </c>
      <c r="B468" t="s">
        <v>1767</v>
      </c>
      <c r="C468" t="s">
        <v>1310</v>
      </c>
      <c r="D468" t="s">
        <v>77</v>
      </c>
      <c r="E468" t="s">
        <v>21</v>
      </c>
      <c r="F468">
        <v>4.0</v>
      </c>
      <c r="G468" t="s">
        <v>188</v>
      </c>
    </row>
    <row r="469">
      <c r="A469" t="str">
        <f t="shared" si="1"/>
        <v>Hunter33</v>
      </c>
      <c r="B469" t="s">
        <v>1767</v>
      </c>
      <c r="C469" t="s">
        <v>336</v>
      </c>
      <c r="D469" t="s">
        <v>63</v>
      </c>
      <c r="E469" t="s">
        <v>21</v>
      </c>
      <c r="F469">
        <v>5.0</v>
      </c>
      <c r="G469" t="s">
        <v>188</v>
      </c>
      <c r="H469" t="s">
        <v>238</v>
      </c>
    </row>
    <row r="470">
      <c r="A470" t="str">
        <f t="shared" si="1"/>
        <v>Priest28</v>
      </c>
      <c r="B470" t="s">
        <v>1767</v>
      </c>
      <c r="C470" t="s">
        <v>592</v>
      </c>
      <c r="D470" t="s">
        <v>69</v>
      </c>
      <c r="E470" t="s">
        <v>21</v>
      </c>
      <c r="F470">
        <v>1.0</v>
      </c>
      <c r="G470" t="s">
        <v>162</v>
      </c>
    </row>
    <row r="471">
      <c r="A471" t="str">
        <f t="shared" si="1"/>
        <v>Priest29</v>
      </c>
      <c r="B471" t="s">
        <v>1767</v>
      </c>
      <c r="C471" t="s">
        <v>628</v>
      </c>
      <c r="D471" t="s">
        <v>69</v>
      </c>
      <c r="E471" t="s">
        <v>22</v>
      </c>
      <c r="F471">
        <v>6.0</v>
      </c>
      <c r="G471" t="s">
        <v>162</v>
      </c>
    </row>
    <row r="472">
      <c r="A472" t="str">
        <f t="shared" si="1"/>
        <v>Neutral194</v>
      </c>
      <c r="B472" t="s">
        <v>1767</v>
      </c>
      <c r="C472" t="s">
        <v>1292</v>
      </c>
      <c r="D472" t="s">
        <v>77</v>
      </c>
      <c r="E472" t="s">
        <v>21</v>
      </c>
      <c r="F472">
        <v>3.0</v>
      </c>
      <c r="G472" t="s">
        <v>188</v>
      </c>
    </row>
    <row r="473">
      <c r="A473" t="str">
        <f t="shared" si="1"/>
        <v>Neutral195</v>
      </c>
      <c r="B473" t="s">
        <v>1767</v>
      </c>
      <c r="C473" t="s">
        <v>1175</v>
      </c>
      <c r="D473" t="s">
        <v>77</v>
      </c>
      <c r="E473" t="s">
        <v>15</v>
      </c>
      <c r="F473">
        <v>4.0</v>
      </c>
      <c r="G473" t="s">
        <v>188</v>
      </c>
      <c r="H473" t="s">
        <v>238</v>
      </c>
    </row>
    <row r="474">
      <c r="A474" t="str">
        <f t="shared" si="1"/>
        <v>Neutral196</v>
      </c>
      <c r="B474" t="s">
        <v>1767</v>
      </c>
      <c r="C474" t="s">
        <v>1327</v>
      </c>
      <c r="D474" t="s">
        <v>77</v>
      </c>
      <c r="E474" t="s">
        <v>21</v>
      </c>
      <c r="F474">
        <v>5.0</v>
      </c>
      <c r="G474" t="s">
        <v>188</v>
      </c>
    </row>
    <row r="475">
      <c r="A475" t="str">
        <f t="shared" si="1"/>
        <v>Warlock34</v>
      </c>
      <c r="B475" t="s">
        <v>1767</v>
      </c>
      <c r="C475" t="s">
        <v>906</v>
      </c>
      <c r="D475" t="s">
        <v>73</v>
      </c>
      <c r="E475" t="s">
        <v>23</v>
      </c>
      <c r="F475">
        <v>9.0</v>
      </c>
      <c r="G475" t="s">
        <v>188</v>
      </c>
      <c r="H475" t="s">
        <v>828</v>
      </c>
    </row>
    <row r="476">
      <c r="A476" t="str">
        <f t="shared" si="1"/>
        <v>Druid32</v>
      </c>
      <c r="B476" t="s">
        <v>1767</v>
      </c>
      <c r="C476" t="s">
        <v>266</v>
      </c>
      <c r="D476" t="s">
        <v>60</v>
      </c>
      <c r="E476" t="s">
        <v>23</v>
      </c>
      <c r="F476">
        <v>7.0</v>
      </c>
      <c r="G476" t="s">
        <v>188</v>
      </c>
      <c r="H476" t="s">
        <v>238</v>
      </c>
    </row>
    <row r="477">
      <c r="A477" t="str">
        <f t="shared" si="1"/>
        <v>Druid33</v>
      </c>
      <c r="B477" t="s">
        <v>1767</v>
      </c>
      <c r="C477" t="s">
        <v>244</v>
      </c>
      <c r="D477" t="s">
        <v>60</v>
      </c>
      <c r="E477" t="s">
        <v>21</v>
      </c>
      <c r="F477">
        <v>6.0</v>
      </c>
      <c r="G477" t="s">
        <v>188</v>
      </c>
      <c r="H477" t="s">
        <v>198</v>
      </c>
    </row>
    <row r="478">
      <c r="A478" t="str">
        <f t="shared" si="1"/>
        <v>Neutral197</v>
      </c>
      <c r="B478" t="s">
        <v>1767</v>
      </c>
      <c r="C478" t="s">
        <v>1178</v>
      </c>
      <c r="D478" t="s">
        <v>77</v>
      </c>
      <c r="E478" t="s">
        <v>15</v>
      </c>
      <c r="F478">
        <v>4.0</v>
      </c>
      <c r="G478" t="s">
        <v>188</v>
      </c>
      <c r="H478" t="s">
        <v>198</v>
      </c>
    </row>
    <row r="479">
      <c r="A479" t="str">
        <f t="shared" si="1"/>
        <v>Neutral198</v>
      </c>
      <c r="B479" t="s">
        <v>1767</v>
      </c>
      <c r="C479" t="s">
        <v>1108</v>
      </c>
      <c r="D479" t="s">
        <v>77</v>
      </c>
      <c r="E479" t="s">
        <v>15</v>
      </c>
      <c r="F479">
        <v>2.0</v>
      </c>
      <c r="G479" t="s">
        <v>188</v>
      </c>
      <c r="H479" t="s">
        <v>198</v>
      </c>
    </row>
    <row r="480">
      <c r="A480" t="str">
        <f t="shared" si="1"/>
        <v>Neutral199</v>
      </c>
      <c r="B480" t="s">
        <v>1767</v>
      </c>
      <c r="C480" t="s">
        <v>1505</v>
      </c>
      <c r="D480" t="s">
        <v>77</v>
      </c>
      <c r="E480" t="s">
        <v>23</v>
      </c>
      <c r="F480">
        <v>9.0</v>
      </c>
      <c r="G480" t="s">
        <v>188</v>
      </c>
      <c r="H480" t="s">
        <v>198</v>
      </c>
    </row>
    <row r="481">
      <c r="A481" t="str">
        <f t="shared" si="1"/>
        <v>Hunter34</v>
      </c>
      <c r="B481" t="s">
        <v>1767</v>
      </c>
      <c r="C481" t="s">
        <v>328</v>
      </c>
      <c r="D481" t="s">
        <v>63</v>
      </c>
      <c r="E481" t="s">
        <v>21</v>
      </c>
      <c r="F481">
        <v>3.0</v>
      </c>
      <c r="G481" t="s">
        <v>188</v>
      </c>
      <c r="H481" t="s">
        <v>198</v>
      </c>
    </row>
    <row r="482">
      <c r="A482" t="str">
        <f t="shared" si="1"/>
        <v>Neutral200</v>
      </c>
      <c r="B482" t="s">
        <v>1767</v>
      </c>
      <c r="C482" t="s">
        <v>1110</v>
      </c>
      <c r="D482" t="s">
        <v>77</v>
      </c>
      <c r="E482" t="s">
        <v>15</v>
      </c>
      <c r="F482">
        <v>2.0</v>
      </c>
      <c r="G482" t="s">
        <v>188</v>
      </c>
      <c r="H482" t="s">
        <v>198</v>
      </c>
    </row>
    <row r="483">
      <c r="A483" t="str">
        <f t="shared" si="1"/>
        <v>Neutral201</v>
      </c>
      <c r="B483" t="s">
        <v>1767</v>
      </c>
      <c r="C483" t="s">
        <v>1439</v>
      </c>
      <c r="D483" t="s">
        <v>77</v>
      </c>
      <c r="E483" t="s">
        <v>23</v>
      </c>
      <c r="F483">
        <v>5.0</v>
      </c>
      <c r="G483" t="s">
        <v>188</v>
      </c>
      <c r="H483" t="s">
        <v>198</v>
      </c>
    </row>
    <row r="484">
      <c r="A484" t="str">
        <f t="shared" si="1"/>
        <v>Neutral202</v>
      </c>
      <c r="B484" t="s">
        <v>1767</v>
      </c>
      <c r="C484" t="s">
        <v>1372</v>
      </c>
      <c r="D484" t="s">
        <v>77</v>
      </c>
      <c r="E484" t="s">
        <v>22</v>
      </c>
      <c r="F484">
        <v>4.0</v>
      </c>
      <c r="G484" t="s">
        <v>188</v>
      </c>
    </row>
    <row r="485">
      <c r="A485" t="str">
        <f t="shared" si="1"/>
        <v>Warlock35</v>
      </c>
      <c r="B485" t="s">
        <v>1767</v>
      </c>
      <c r="C485" t="s">
        <v>864</v>
      </c>
      <c r="D485" t="s">
        <v>73</v>
      </c>
      <c r="E485" t="s">
        <v>21</v>
      </c>
      <c r="F485">
        <v>2.0</v>
      </c>
      <c r="G485" t="s">
        <v>188</v>
      </c>
      <c r="H485" t="s">
        <v>828</v>
      </c>
    </row>
    <row r="486">
      <c r="A486" t="str">
        <f t="shared" si="1"/>
        <v>Neutral203</v>
      </c>
      <c r="B486" t="s">
        <v>1767</v>
      </c>
      <c r="C486" t="s">
        <v>1462</v>
      </c>
      <c r="D486" t="s">
        <v>77</v>
      </c>
      <c r="E486" t="s">
        <v>23</v>
      </c>
      <c r="F486">
        <v>6.0</v>
      </c>
      <c r="G486" t="s">
        <v>188</v>
      </c>
    </row>
    <row r="487">
      <c r="A487" t="str">
        <f t="shared" si="1"/>
        <v>Paladin31</v>
      </c>
      <c r="B487" t="s">
        <v>1767</v>
      </c>
      <c r="C487" t="s">
        <v>512</v>
      </c>
      <c r="D487" t="s">
        <v>68</v>
      </c>
      <c r="E487" t="s">
        <v>21</v>
      </c>
      <c r="F487">
        <v>3.0</v>
      </c>
      <c r="G487" t="s">
        <v>162</v>
      </c>
    </row>
    <row r="488">
      <c r="A488" t="str">
        <f t="shared" si="1"/>
        <v>Shaman31</v>
      </c>
      <c r="B488" t="s">
        <v>1767</v>
      </c>
      <c r="C488" t="s">
        <v>815</v>
      </c>
      <c r="D488" t="s">
        <v>72</v>
      </c>
      <c r="E488" t="s">
        <v>23</v>
      </c>
      <c r="F488">
        <v>7.0</v>
      </c>
      <c r="G488" t="s">
        <v>188</v>
      </c>
    </row>
    <row r="489">
      <c r="A489" t="str">
        <f t="shared" si="1"/>
        <v>Neutral204</v>
      </c>
      <c r="B489" t="s">
        <v>1767</v>
      </c>
      <c r="C489" t="s">
        <v>1144</v>
      </c>
      <c r="D489" t="s">
        <v>77</v>
      </c>
      <c r="E489" t="s">
        <v>15</v>
      </c>
      <c r="F489">
        <v>3.0</v>
      </c>
      <c r="G489" t="s">
        <v>188</v>
      </c>
    </row>
    <row r="490">
      <c r="A490" t="str">
        <f t="shared" si="1"/>
        <v>Rogue31</v>
      </c>
      <c r="B490" t="s">
        <v>1767</v>
      </c>
      <c r="C490" t="s">
        <v>706</v>
      </c>
      <c r="D490" t="s">
        <v>70</v>
      </c>
      <c r="E490" t="s">
        <v>21</v>
      </c>
      <c r="F490">
        <v>5.0</v>
      </c>
      <c r="G490" t="s">
        <v>188</v>
      </c>
    </row>
    <row r="491">
      <c r="A491" t="str">
        <f t="shared" si="1"/>
        <v>Warrior31</v>
      </c>
      <c r="B491" t="s">
        <v>1767</v>
      </c>
      <c r="C491" t="s">
        <v>941</v>
      </c>
      <c r="D491" t="s">
        <v>75</v>
      </c>
      <c r="E491" t="s">
        <v>15</v>
      </c>
      <c r="F491">
        <v>3.0</v>
      </c>
      <c r="G491" t="s">
        <v>304</v>
      </c>
    </row>
    <row r="492">
      <c r="A492" t="str">
        <f t="shared" si="1"/>
        <v>Rogue32</v>
      </c>
      <c r="B492" t="s">
        <v>1767</v>
      </c>
      <c r="C492" t="s">
        <v>688</v>
      </c>
      <c r="D492" t="s">
        <v>70</v>
      </c>
      <c r="E492" t="s">
        <v>21</v>
      </c>
      <c r="F492">
        <v>2.0</v>
      </c>
      <c r="G492" t="s">
        <v>188</v>
      </c>
      <c r="H492" t="s">
        <v>660</v>
      </c>
    </row>
    <row r="493">
      <c r="A493" t="str">
        <f t="shared" si="1"/>
        <v>Neutral205</v>
      </c>
      <c r="B493" t="s">
        <v>1767</v>
      </c>
      <c r="C493" t="s">
        <v>1181</v>
      </c>
      <c r="D493" t="s">
        <v>77</v>
      </c>
      <c r="E493" t="s">
        <v>15</v>
      </c>
      <c r="F493">
        <v>4.0</v>
      </c>
      <c r="G493" t="s">
        <v>188</v>
      </c>
      <c r="H493" t="s">
        <v>198</v>
      </c>
    </row>
    <row r="494">
      <c r="A494" t="str">
        <f t="shared" si="1"/>
        <v>Neutral206</v>
      </c>
      <c r="B494" t="s">
        <v>1767</v>
      </c>
      <c r="C494" t="s">
        <v>1387</v>
      </c>
      <c r="D494" t="s">
        <v>77</v>
      </c>
      <c r="E494" t="s">
        <v>22</v>
      </c>
      <c r="F494">
        <v>6.0</v>
      </c>
      <c r="G494" t="s">
        <v>188</v>
      </c>
      <c r="H494" t="s">
        <v>198</v>
      </c>
    </row>
    <row r="495">
      <c r="A495" t="str">
        <f t="shared" si="1"/>
        <v>Shaman32</v>
      </c>
      <c r="B495" t="s">
        <v>1767</v>
      </c>
      <c r="C495" t="s">
        <v>791</v>
      </c>
      <c r="D495" t="s">
        <v>72</v>
      </c>
      <c r="E495" t="s">
        <v>21</v>
      </c>
      <c r="F495">
        <v>3.0</v>
      </c>
      <c r="G495" t="s">
        <v>304</v>
      </c>
    </row>
    <row r="496">
      <c r="A496" t="str">
        <f t="shared" si="1"/>
        <v>Neutral207</v>
      </c>
      <c r="B496" t="s">
        <v>1767</v>
      </c>
      <c r="C496" t="s">
        <v>1114</v>
      </c>
      <c r="D496" t="s">
        <v>77</v>
      </c>
      <c r="E496" t="s">
        <v>15</v>
      </c>
      <c r="F496">
        <v>2.0</v>
      </c>
      <c r="G496" t="s">
        <v>188</v>
      </c>
      <c r="H496" t="s">
        <v>498</v>
      </c>
    </row>
    <row r="497">
      <c r="A497" t="str">
        <f t="shared" si="1"/>
        <v>Paladin32</v>
      </c>
      <c r="B497" t="s">
        <v>1767</v>
      </c>
      <c r="C497" t="s">
        <v>530</v>
      </c>
      <c r="D497" t="s">
        <v>68</v>
      </c>
      <c r="E497" t="s">
        <v>22</v>
      </c>
      <c r="F497">
        <v>5.0</v>
      </c>
      <c r="G497" t="s">
        <v>188</v>
      </c>
    </row>
    <row r="498">
      <c r="A498" t="str">
        <f t="shared" si="1"/>
        <v>Neutral208</v>
      </c>
      <c r="B498" t="s">
        <v>1767</v>
      </c>
      <c r="C498" t="s">
        <v>1352</v>
      </c>
      <c r="D498" t="s">
        <v>77</v>
      </c>
      <c r="E498" t="s">
        <v>22</v>
      </c>
      <c r="F498">
        <v>2.0</v>
      </c>
      <c r="G498" t="s">
        <v>188</v>
      </c>
    </row>
    <row r="499">
      <c r="A499" t="str">
        <f t="shared" si="1"/>
        <v>Druid34</v>
      </c>
      <c r="B499" t="s">
        <v>1767</v>
      </c>
      <c r="C499" t="s">
        <v>246</v>
      </c>
      <c r="D499" t="s">
        <v>60</v>
      </c>
      <c r="E499" t="s">
        <v>21</v>
      </c>
      <c r="F499">
        <v>6.0</v>
      </c>
      <c r="G499" t="s">
        <v>162</v>
      </c>
    </row>
    <row r="500">
      <c r="A500" t="str">
        <f t="shared" si="1"/>
        <v>Rogue33</v>
      </c>
      <c r="B500" t="s">
        <v>1767</v>
      </c>
      <c r="C500" t="s">
        <v>718</v>
      </c>
      <c r="D500" t="s">
        <v>70</v>
      </c>
      <c r="E500" t="s">
        <v>22</v>
      </c>
      <c r="F500">
        <v>4.0</v>
      </c>
      <c r="G500" t="s">
        <v>162</v>
      </c>
    </row>
    <row r="501">
      <c r="A501" t="str">
        <f t="shared" si="1"/>
        <v>Neutral209</v>
      </c>
      <c r="B501" t="s">
        <v>1767</v>
      </c>
      <c r="C501" t="s">
        <v>1201</v>
      </c>
      <c r="D501" t="s">
        <v>77</v>
      </c>
      <c r="E501" t="s">
        <v>15</v>
      </c>
      <c r="F501">
        <v>5.0</v>
      </c>
      <c r="G501" t="s">
        <v>188</v>
      </c>
      <c r="H501" t="s">
        <v>660</v>
      </c>
    </row>
    <row r="502">
      <c r="A502" t="str">
        <f t="shared" si="1"/>
        <v>Paladin33</v>
      </c>
      <c r="B502" t="s">
        <v>1767</v>
      </c>
      <c r="C502" t="s">
        <v>514</v>
      </c>
      <c r="D502" t="s">
        <v>68</v>
      </c>
      <c r="E502" t="s">
        <v>21</v>
      </c>
      <c r="F502">
        <v>3.0</v>
      </c>
      <c r="G502" t="s">
        <v>188</v>
      </c>
    </row>
    <row r="503">
      <c r="A503" t="str">
        <f t="shared" si="1"/>
        <v>Warrior32</v>
      </c>
      <c r="B503" t="s">
        <v>1767</v>
      </c>
      <c r="C503" t="s">
        <v>969</v>
      </c>
      <c r="D503" t="s">
        <v>75</v>
      </c>
      <c r="E503" t="s">
        <v>21</v>
      </c>
      <c r="F503">
        <v>4.0</v>
      </c>
      <c r="G503" t="s">
        <v>188</v>
      </c>
      <c r="H503" t="s">
        <v>198</v>
      </c>
    </row>
    <row r="504">
      <c r="A504" t="str">
        <f t="shared" si="1"/>
        <v>Paladin34</v>
      </c>
      <c r="B504" t="s">
        <v>1767</v>
      </c>
      <c r="C504" t="s">
        <v>489</v>
      </c>
      <c r="D504" t="s">
        <v>68</v>
      </c>
      <c r="E504" t="s">
        <v>15</v>
      </c>
      <c r="F504">
        <v>2.0</v>
      </c>
      <c r="G504" t="s">
        <v>162</v>
      </c>
    </row>
    <row r="505">
      <c r="A505" t="str">
        <f t="shared" si="1"/>
        <v>Priest30</v>
      </c>
      <c r="B505" t="s">
        <v>1767</v>
      </c>
      <c r="C505" t="s">
        <v>616</v>
      </c>
      <c r="D505" t="s">
        <v>69</v>
      </c>
      <c r="E505" t="s">
        <v>22</v>
      </c>
      <c r="F505">
        <v>1.0</v>
      </c>
      <c r="G505" t="s">
        <v>188</v>
      </c>
    </row>
    <row r="506">
      <c r="A506" t="str">
        <f t="shared" si="1"/>
        <v>Priest31</v>
      </c>
      <c r="B506" t="s">
        <v>1767</v>
      </c>
      <c r="C506" t="s">
        <v>600</v>
      </c>
      <c r="D506" t="s">
        <v>69</v>
      </c>
      <c r="E506" t="s">
        <v>21</v>
      </c>
      <c r="F506">
        <v>2.0</v>
      </c>
      <c r="G506" t="s">
        <v>188</v>
      </c>
      <c r="H506" t="s">
        <v>198</v>
      </c>
    </row>
    <row r="507">
      <c r="A507" t="str">
        <f t="shared" si="1"/>
        <v>Paladin35</v>
      </c>
      <c r="B507" t="s">
        <v>1767</v>
      </c>
      <c r="C507" t="s">
        <v>491</v>
      </c>
      <c r="D507" t="s">
        <v>68</v>
      </c>
      <c r="E507" t="s">
        <v>15</v>
      </c>
      <c r="F507">
        <v>2.0</v>
      </c>
      <c r="G507" t="s">
        <v>188</v>
      </c>
      <c r="H507" t="s">
        <v>198</v>
      </c>
    </row>
    <row r="508">
      <c r="A508" t="str">
        <f t="shared" si="1"/>
        <v>Warrior33</v>
      </c>
      <c r="B508" t="s">
        <v>1767</v>
      </c>
      <c r="C508" t="s">
        <v>973</v>
      </c>
      <c r="D508" t="s">
        <v>75</v>
      </c>
      <c r="E508" t="s">
        <v>21</v>
      </c>
      <c r="F508">
        <v>6.0</v>
      </c>
      <c r="G508" t="s">
        <v>188</v>
      </c>
    </row>
    <row r="509">
      <c r="A509" t="str">
        <f t="shared" si="1"/>
        <v>Neutral210</v>
      </c>
      <c r="B509" t="s">
        <v>1767</v>
      </c>
      <c r="C509" t="s">
        <v>1115</v>
      </c>
      <c r="D509" t="s">
        <v>77</v>
      </c>
      <c r="E509" t="s">
        <v>15</v>
      </c>
      <c r="F509">
        <v>2.0</v>
      </c>
      <c r="G509" t="s">
        <v>188</v>
      </c>
    </row>
    <row r="510">
      <c r="A510" t="str">
        <f t="shared" si="1"/>
        <v>Priest32</v>
      </c>
      <c r="B510" t="s">
        <v>1767</v>
      </c>
      <c r="C510" t="s">
        <v>577</v>
      </c>
      <c r="D510" t="s">
        <v>69</v>
      </c>
      <c r="E510" t="s">
        <v>15</v>
      </c>
      <c r="F510">
        <v>2.0</v>
      </c>
      <c r="G510" t="s">
        <v>188</v>
      </c>
    </row>
    <row r="511">
      <c r="A511" t="str">
        <f t="shared" si="1"/>
        <v>Warrior34</v>
      </c>
      <c r="B511" t="s">
        <v>1767</v>
      </c>
      <c r="C511" t="s">
        <v>971</v>
      </c>
      <c r="D511" t="s">
        <v>75</v>
      </c>
      <c r="E511" t="s">
        <v>21</v>
      </c>
      <c r="F511">
        <v>5.0</v>
      </c>
      <c r="G511" t="s">
        <v>188</v>
      </c>
      <c r="H511" t="s">
        <v>198</v>
      </c>
    </row>
    <row r="512">
      <c r="A512" t="str">
        <f t="shared" si="1"/>
        <v>Shaman33</v>
      </c>
      <c r="B512" t="s">
        <v>1767</v>
      </c>
      <c r="C512" t="s">
        <v>807</v>
      </c>
      <c r="D512" t="s">
        <v>72</v>
      </c>
      <c r="E512" t="s">
        <v>22</v>
      </c>
      <c r="F512">
        <v>4.0</v>
      </c>
      <c r="G512" t="s">
        <v>188</v>
      </c>
      <c r="H512" t="s">
        <v>498</v>
      </c>
    </row>
    <row r="513">
      <c r="A513" t="str">
        <f t="shared" si="1"/>
        <v>Neutral211</v>
      </c>
      <c r="B513" t="s">
        <v>1767</v>
      </c>
      <c r="C513" t="s">
        <v>1495</v>
      </c>
      <c r="D513" t="s">
        <v>77</v>
      </c>
      <c r="E513" t="s">
        <v>23</v>
      </c>
      <c r="F513">
        <v>8.0</v>
      </c>
      <c r="G513" t="s">
        <v>188</v>
      </c>
      <c r="H513" t="s">
        <v>198</v>
      </c>
    </row>
    <row r="514">
      <c r="A514" t="str">
        <f t="shared" si="1"/>
        <v>Mage32</v>
      </c>
      <c r="B514" t="s">
        <v>1767</v>
      </c>
      <c r="C514" t="s">
        <v>392</v>
      </c>
      <c r="D514" t="s">
        <v>65</v>
      </c>
      <c r="E514" t="s">
        <v>15</v>
      </c>
      <c r="F514">
        <v>2.0</v>
      </c>
      <c r="G514" t="s">
        <v>188</v>
      </c>
      <c r="H514" t="s">
        <v>198</v>
      </c>
    </row>
    <row r="515">
      <c r="A515" t="str">
        <f t="shared" si="1"/>
        <v>Mage33</v>
      </c>
      <c r="B515" t="s">
        <v>1767</v>
      </c>
      <c r="C515" t="s">
        <v>425</v>
      </c>
      <c r="D515" t="s">
        <v>65</v>
      </c>
      <c r="E515" t="s">
        <v>21</v>
      </c>
      <c r="F515">
        <v>3.0</v>
      </c>
      <c r="G515" t="s">
        <v>188</v>
      </c>
      <c r="H515" t="s">
        <v>198</v>
      </c>
    </row>
    <row r="516">
      <c r="A516" t="str">
        <f t="shared" si="1"/>
        <v>Neutral212</v>
      </c>
      <c r="B516" t="s">
        <v>1767</v>
      </c>
      <c r="C516" t="s">
        <v>1152</v>
      </c>
      <c r="D516" t="s">
        <v>77</v>
      </c>
      <c r="E516" t="s">
        <v>15</v>
      </c>
      <c r="F516">
        <v>3.0</v>
      </c>
      <c r="G516" t="s">
        <v>188</v>
      </c>
      <c r="H516" t="s">
        <v>198</v>
      </c>
    </row>
    <row r="517">
      <c r="A517" t="str">
        <f t="shared" si="1"/>
        <v>Hunter35</v>
      </c>
      <c r="B517" t="s">
        <v>1767</v>
      </c>
      <c r="C517" t="s">
        <v>352</v>
      </c>
      <c r="D517" t="s">
        <v>63</v>
      </c>
      <c r="E517" t="s">
        <v>22</v>
      </c>
      <c r="F517">
        <v>2.0</v>
      </c>
      <c r="G517" t="s">
        <v>188</v>
      </c>
    </row>
    <row r="518">
      <c r="A518" t="str">
        <f t="shared" si="1"/>
        <v>Neutral213</v>
      </c>
      <c r="B518" t="s">
        <v>1767</v>
      </c>
      <c r="C518" t="s">
        <v>1117</v>
      </c>
      <c r="D518" t="s">
        <v>77</v>
      </c>
      <c r="E518" t="s">
        <v>15</v>
      </c>
      <c r="F518">
        <v>2.0</v>
      </c>
      <c r="G518" t="s">
        <v>188</v>
      </c>
    </row>
    <row r="519">
      <c r="A519" t="str">
        <f t="shared" si="1"/>
        <v>Neutral214</v>
      </c>
      <c r="B519" t="s">
        <v>1767</v>
      </c>
      <c r="C519" t="s">
        <v>1224</v>
      </c>
      <c r="D519" t="s">
        <v>77</v>
      </c>
      <c r="E519" t="s">
        <v>21</v>
      </c>
      <c r="F519">
        <v>0.0</v>
      </c>
      <c r="G519" t="s">
        <v>188</v>
      </c>
      <c r="H519" t="s">
        <v>198</v>
      </c>
    </row>
    <row r="520">
      <c r="A520" t="str">
        <f t="shared" si="1"/>
        <v>Rogue34</v>
      </c>
      <c r="B520" t="s">
        <v>1767</v>
      </c>
      <c r="C520" t="s">
        <v>680</v>
      </c>
      <c r="D520" t="s">
        <v>70</v>
      </c>
      <c r="E520" t="s">
        <v>15</v>
      </c>
      <c r="F520">
        <v>4.0</v>
      </c>
      <c r="G520" t="s">
        <v>162</v>
      </c>
    </row>
    <row r="521">
      <c r="A521" t="str">
        <f t="shared" si="1"/>
        <v>Neutral215</v>
      </c>
      <c r="B521" t="s">
        <v>1767</v>
      </c>
      <c r="C521" t="s">
        <v>1158</v>
      </c>
      <c r="D521" t="s">
        <v>77</v>
      </c>
      <c r="E521" t="s">
        <v>15</v>
      </c>
      <c r="F521">
        <v>3.0</v>
      </c>
      <c r="G521" t="s">
        <v>188</v>
      </c>
    </row>
    <row r="522">
      <c r="A522" t="str">
        <f t="shared" si="1"/>
        <v>Neutral216</v>
      </c>
      <c r="B522" t="s">
        <v>1767</v>
      </c>
      <c r="C522" t="s">
        <v>1472</v>
      </c>
      <c r="D522" t="s">
        <v>77</v>
      </c>
      <c r="E522" t="s">
        <v>23</v>
      </c>
      <c r="F522">
        <v>6.0</v>
      </c>
      <c r="G522" t="s">
        <v>188</v>
      </c>
    </row>
    <row r="523">
      <c r="A523" t="str">
        <f t="shared" si="1"/>
        <v>Rogue35</v>
      </c>
      <c r="B523" t="s">
        <v>1767</v>
      </c>
      <c r="C523" t="s">
        <v>724</v>
      </c>
      <c r="D523" t="s">
        <v>70</v>
      </c>
      <c r="E523" t="s">
        <v>23</v>
      </c>
      <c r="F523">
        <v>6.0</v>
      </c>
      <c r="G523" t="s">
        <v>188</v>
      </c>
    </row>
    <row r="524">
      <c r="A524" t="str">
        <f t="shared" si="1"/>
        <v>Druid35</v>
      </c>
      <c r="B524" t="s">
        <v>1767</v>
      </c>
      <c r="C524" t="s">
        <v>264</v>
      </c>
      <c r="D524" t="s">
        <v>60</v>
      </c>
      <c r="E524" t="s">
        <v>22</v>
      </c>
      <c r="F524">
        <v>9.0</v>
      </c>
      <c r="G524" t="s">
        <v>162</v>
      </c>
    </row>
    <row r="525">
      <c r="A525" t="str">
        <f t="shared" si="1"/>
        <v>Neutral217</v>
      </c>
      <c r="B525" t="s">
        <v>1767</v>
      </c>
      <c r="C525" t="s">
        <v>1484</v>
      </c>
      <c r="D525" t="s">
        <v>77</v>
      </c>
      <c r="E525" t="s">
        <v>23</v>
      </c>
      <c r="F525">
        <v>7.0</v>
      </c>
      <c r="G525" t="s">
        <v>188</v>
      </c>
    </row>
    <row r="526">
      <c r="A526" t="str">
        <f t="shared" si="1"/>
        <v>Mage34</v>
      </c>
      <c r="B526" t="s">
        <v>1767</v>
      </c>
      <c r="C526" t="s">
        <v>413</v>
      </c>
      <c r="D526" t="s">
        <v>65</v>
      </c>
      <c r="E526" t="s">
        <v>21</v>
      </c>
      <c r="F526">
        <v>2.0</v>
      </c>
      <c r="G526" t="s">
        <v>162</v>
      </c>
    </row>
    <row r="527">
      <c r="A527" t="str">
        <f t="shared" si="1"/>
        <v>Priest33</v>
      </c>
      <c r="B527" t="s">
        <v>1767</v>
      </c>
      <c r="C527" t="s">
        <v>612</v>
      </c>
      <c r="D527" t="s">
        <v>69</v>
      </c>
      <c r="E527" t="s">
        <v>21</v>
      </c>
      <c r="F527">
        <v>5.0</v>
      </c>
      <c r="G527" t="s">
        <v>188</v>
      </c>
      <c r="H527" t="s">
        <v>198</v>
      </c>
    </row>
    <row r="528">
      <c r="A528" t="str">
        <f t="shared" si="1"/>
        <v>Priest34</v>
      </c>
      <c r="B528" t="s">
        <v>1767</v>
      </c>
      <c r="C528" t="s">
        <v>583</v>
      </c>
      <c r="D528" t="s">
        <v>69</v>
      </c>
      <c r="E528" t="s">
        <v>15</v>
      </c>
      <c r="F528">
        <v>3.0</v>
      </c>
      <c r="G528" t="s">
        <v>162</v>
      </c>
    </row>
    <row r="529">
      <c r="A529" t="str">
        <f t="shared" si="1"/>
        <v>Shaman34</v>
      </c>
      <c r="B529" t="s">
        <v>1767</v>
      </c>
      <c r="C529" t="s">
        <v>779</v>
      </c>
      <c r="D529" t="s">
        <v>72</v>
      </c>
      <c r="E529" t="s">
        <v>21</v>
      </c>
      <c r="F529">
        <v>2.0</v>
      </c>
      <c r="G529" t="s">
        <v>188</v>
      </c>
      <c r="H529" t="s">
        <v>737</v>
      </c>
    </row>
    <row r="530">
      <c r="A530" t="str">
        <f t="shared" si="1"/>
        <v>Priest35</v>
      </c>
      <c r="B530" t="s">
        <v>1767</v>
      </c>
      <c r="C530" t="s">
        <v>630</v>
      </c>
      <c r="D530" t="s">
        <v>69</v>
      </c>
      <c r="E530" t="s">
        <v>23</v>
      </c>
      <c r="F530">
        <v>5.0</v>
      </c>
      <c r="G530" t="s">
        <v>188</v>
      </c>
    </row>
    <row r="531">
      <c r="A531" t="str">
        <f t="shared" si="1"/>
        <v>Warrior35</v>
      </c>
      <c r="B531" t="s">
        <v>1767</v>
      </c>
      <c r="C531" t="s">
        <v>927</v>
      </c>
      <c r="D531" t="s">
        <v>75</v>
      </c>
      <c r="E531" t="s">
        <v>15</v>
      </c>
      <c r="F531">
        <v>1.0</v>
      </c>
      <c r="G531" t="s">
        <v>188</v>
      </c>
      <c r="H531" t="s">
        <v>198</v>
      </c>
    </row>
    <row r="532">
      <c r="A532" t="str">
        <f t="shared" si="1"/>
        <v>Mage35</v>
      </c>
      <c r="B532" t="s">
        <v>1767</v>
      </c>
      <c r="C532" t="s">
        <v>443</v>
      </c>
      <c r="D532" t="s">
        <v>65</v>
      </c>
      <c r="E532" t="s">
        <v>22</v>
      </c>
      <c r="F532">
        <v>4.0</v>
      </c>
      <c r="G532" t="s">
        <v>188</v>
      </c>
    </row>
    <row r="533">
      <c r="A533" t="str">
        <f t="shared" si="1"/>
        <v>Shaman35</v>
      </c>
      <c r="B533" t="s">
        <v>1767</v>
      </c>
      <c r="C533" t="s">
        <v>767</v>
      </c>
      <c r="D533" t="s">
        <v>72</v>
      </c>
      <c r="E533" t="s">
        <v>15</v>
      </c>
      <c r="F533">
        <v>2.0</v>
      </c>
      <c r="G533" t="s">
        <v>188</v>
      </c>
      <c r="H533" t="s">
        <v>198</v>
      </c>
    </row>
    <row r="534">
      <c r="A534" t="str">
        <f t="shared" si="1"/>
        <v>Rogue36</v>
      </c>
      <c r="B534" t="s">
        <v>1768</v>
      </c>
      <c r="C534" t="s">
        <v>678</v>
      </c>
      <c r="D534" t="s">
        <v>70</v>
      </c>
      <c r="E534" t="s">
        <v>15</v>
      </c>
      <c r="F534">
        <v>4.0</v>
      </c>
      <c r="G534" t="s">
        <v>188</v>
      </c>
    </row>
    <row r="535">
      <c r="A535" t="str">
        <f t="shared" si="1"/>
        <v>Paladin36</v>
      </c>
      <c r="B535" t="s">
        <v>1768</v>
      </c>
      <c r="C535" t="s">
        <v>475</v>
      </c>
      <c r="D535" t="s">
        <v>68</v>
      </c>
      <c r="E535" t="s">
        <v>15</v>
      </c>
      <c r="F535">
        <v>1.0</v>
      </c>
      <c r="G535" t="s">
        <v>162</v>
      </c>
      <c r="H535" t="s">
        <v>299</v>
      </c>
    </row>
    <row r="536">
      <c r="A536" t="str">
        <f t="shared" si="1"/>
        <v>Neutral218</v>
      </c>
      <c r="B536" t="s">
        <v>1768</v>
      </c>
      <c r="C536" t="s">
        <v>1417</v>
      </c>
      <c r="D536" t="s">
        <v>77</v>
      </c>
      <c r="E536" t="s">
        <v>23</v>
      </c>
      <c r="F536">
        <v>4.0</v>
      </c>
      <c r="G536" t="s">
        <v>188</v>
      </c>
    </row>
    <row r="537">
      <c r="A537" t="str">
        <f t="shared" si="1"/>
        <v>Neutral219</v>
      </c>
      <c r="B537" t="s">
        <v>1768</v>
      </c>
      <c r="C537" t="s">
        <v>1129</v>
      </c>
      <c r="D537" t="s">
        <v>77</v>
      </c>
      <c r="E537" t="s">
        <v>15</v>
      </c>
      <c r="F537">
        <v>3.0</v>
      </c>
      <c r="G537" t="s">
        <v>188</v>
      </c>
    </row>
    <row r="538">
      <c r="A538" t="str">
        <f t="shared" si="1"/>
        <v>Priest36</v>
      </c>
      <c r="B538" t="s">
        <v>1768</v>
      </c>
      <c r="C538" t="s">
        <v>579</v>
      </c>
      <c r="D538" t="s">
        <v>69</v>
      </c>
      <c r="E538" t="s">
        <v>15</v>
      </c>
      <c r="F538">
        <v>3.0</v>
      </c>
      <c r="G538" t="s">
        <v>188</v>
      </c>
    </row>
    <row r="539">
      <c r="A539" t="str">
        <f t="shared" si="1"/>
        <v>Warrior36</v>
      </c>
      <c r="B539" t="s">
        <v>1768</v>
      </c>
      <c r="C539" t="s">
        <v>949</v>
      </c>
      <c r="D539" t="s">
        <v>75</v>
      </c>
      <c r="E539" t="s">
        <v>15</v>
      </c>
      <c r="F539">
        <v>4.0</v>
      </c>
      <c r="G539" t="s">
        <v>304</v>
      </c>
    </row>
    <row r="540">
      <c r="A540" t="str">
        <f t="shared" si="1"/>
        <v>Neutral220</v>
      </c>
      <c r="B540" t="s">
        <v>1768</v>
      </c>
      <c r="C540" t="s">
        <v>1272</v>
      </c>
      <c r="D540" t="s">
        <v>77</v>
      </c>
      <c r="E540" t="s">
        <v>21</v>
      </c>
      <c r="F540">
        <v>3.0</v>
      </c>
      <c r="G540" t="s">
        <v>188</v>
      </c>
    </row>
    <row r="541">
      <c r="A541" t="str">
        <f t="shared" si="1"/>
        <v>Mage36</v>
      </c>
      <c r="B541" t="s">
        <v>1768</v>
      </c>
      <c r="C541" t="s">
        <v>395</v>
      </c>
      <c r="D541" t="s">
        <v>65</v>
      </c>
      <c r="E541" t="s">
        <v>15</v>
      </c>
      <c r="F541">
        <v>3.0</v>
      </c>
      <c r="G541" t="s">
        <v>162</v>
      </c>
      <c r="H541" t="s">
        <v>299</v>
      </c>
    </row>
    <row r="542">
      <c r="A542" t="str">
        <f t="shared" si="1"/>
        <v>Neutral221</v>
      </c>
      <c r="B542" t="s">
        <v>1768</v>
      </c>
      <c r="C542" t="s">
        <v>1348</v>
      </c>
      <c r="D542" t="s">
        <v>77</v>
      </c>
      <c r="E542" t="s">
        <v>22</v>
      </c>
      <c r="F542">
        <v>2.0</v>
      </c>
      <c r="G542" t="s">
        <v>188</v>
      </c>
    </row>
    <row r="543">
      <c r="A543" t="str">
        <f t="shared" si="1"/>
        <v>Neutral222</v>
      </c>
      <c r="B543" t="s">
        <v>1768</v>
      </c>
      <c r="C543" t="s">
        <v>1429</v>
      </c>
      <c r="D543" t="s">
        <v>77</v>
      </c>
      <c r="E543" t="s">
        <v>23</v>
      </c>
      <c r="F543">
        <v>5.0</v>
      </c>
      <c r="G543" t="s">
        <v>188</v>
      </c>
    </row>
    <row r="544">
      <c r="A544" t="str">
        <f t="shared" si="1"/>
        <v>Neutral223</v>
      </c>
      <c r="B544" t="s">
        <v>1768</v>
      </c>
      <c r="C544" t="s">
        <v>1097</v>
      </c>
      <c r="D544" t="s">
        <v>77</v>
      </c>
      <c r="E544" t="s">
        <v>15</v>
      </c>
      <c r="F544">
        <v>2.0</v>
      </c>
      <c r="G544" t="s">
        <v>188</v>
      </c>
      <c r="H544" t="s">
        <v>238</v>
      </c>
    </row>
    <row r="545">
      <c r="A545" t="str">
        <f t="shared" si="1"/>
        <v>Neutral224</v>
      </c>
      <c r="B545" t="s">
        <v>1768</v>
      </c>
      <c r="C545" t="s">
        <v>1491</v>
      </c>
      <c r="D545" t="s">
        <v>77</v>
      </c>
      <c r="E545" t="s">
        <v>23</v>
      </c>
      <c r="F545">
        <v>8.0</v>
      </c>
      <c r="G545" t="s">
        <v>188</v>
      </c>
    </row>
    <row r="546">
      <c r="A546" t="str">
        <f t="shared" si="1"/>
        <v>Neutral225</v>
      </c>
      <c r="B546" t="s">
        <v>1768</v>
      </c>
      <c r="C546" t="s">
        <v>1437</v>
      </c>
      <c r="D546" t="s">
        <v>77</v>
      </c>
      <c r="E546" t="s">
        <v>23</v>
      </c>
      <c r="F546">
        <v>5.0</v>
      </c>
      <c r="G546" t="s">
        <v>188</v>
      </c>
    </row>
    <row r="547">
      <c r="A547" t="str">
        <f t="shared" si="1"/>
        <v>Neutral226</v>
      </c>
      <c r="B547" t="s">
        <v>1768</v>
      </c>
      <c r="C547" t="s">
        <v>1107</v>
      </c>
      <c r="D547" t="s">
        <v>77</v>
      </c>
      <c r="E547" t="s">
        <v>15</v>
      </c>
      <c r="F547">
        <v>2.0</v>
      </c>
      <c r="G547" t="s">
        <v>188</v>
      </c>
    </row>
    <row r="548">
      <c r="A548" t="str">
        <f t="shared" si="1"/>
        <v>Neutral227</v>
      </c>
      <c r="B548" t="s">
        <v>1768</v>
      </c>
      <c r="C548" t="s">
        <v>1461</v>
      </c>
      <c r="D548" t="s">
        <v>77</v>
      </c>
      <c r="E548" t="s">
        <v>23</v>
      </c>
      <c r="F548">
        <v>6.0</v>
      </c>
      <c r="G548" t="s">
        <v>188</v>
      </c>
    </row>
    <row r="549">
      <c r="A549" t="str">
        <f t="shared" si="1"/>
        <v>Neutral228</v>
      </c>
      <c r="B549" t="s">
        <v>1768</v>
      </c>
      <c r="C549" t="s">
        <v>1112</v>
      </c>
      <c r="D549" t="s">
        <v>77</v>
      </c>
      <c r="E549" t="s">
        <v>15</v>
      </c>
      <c r="F549">
        <v>2.0</v>
      </c>
      <c r="G549" t="s">
        <v>188</v>
      </c>
    </row>
    <row r="550">
      <c r="A550" t="str">
        <f t="shared" si="1"/>
        <v>Neutral229</v>
      </c>
      <c r="B550" t="s">
        <v>1768</v>
      </c>
      <c r="C550" t="s">
        <v>1254</v>
      </c>
      <c r="D550" t="s">
        <v>77</v>
      </c>
      <c r="E550" t="s">
        <v>21</v>
      </c>
      <c r="F550">
        <v>2.0</v>
      </c>
      <c r="G550" t="s">
        <v>188</v>
      </c>
    </row>
    <row r="551">
      <c r="A551" t="str">
        <f t="shared" si="1"/>
        <v>Druid36</v>
      </c>
      <c r="B551" t="s">
        <v>1768</v>
      </c>
      <c r="C551" t="s">
        <v>212</v>
      </c>
      <c r="D551" t="s">
        <v>60</v>
      </c>
      <c r="E551" t="s">
        <v>15</v>
      </c>
      <c r="F551">
        <v>4.0</v>
      </c>
      <c r="G551" t="s">
        <v>162</v>
      </c>
    </row>
    <row r="552">
      <c r="A552" t="str">
        <f t="shared" si="1"/>
        <v>Shaman36</v>
      </c>
      <c r="B552" t="s">
        <v>1768</v>
      </c>
      <c r="C552" t="s">
        <v>762</v>
      </c>
      <c r="D552" t="s">
        <v>72</v>
      </c>
      <c r="E552" t="s">
        <v>15</v>
      </c>
      <c r="F552">
        <v>2.0</v>
      </c>
      <c r="G552" t="s">
        <v>162</v>
      </c>
    </row>
    <row r="553">
      <c r="A553" t="str">
        <f t="shared" si="1"/>
        <v>Neutral230</v>
      </c>
      <c r="B553" t="s">
        <v>1768</v>
      </c>
      <c r="C553" t="s">
        <v>1364</v>
      </c>
      <c r="D553" t="s">
        <v>77</v>
      </c>
      <c r="E553" t="s">
        <v>22</v>
      </c>
      <c r="F553">
        <v>3.0</v>
      </c>
      <c r="G553" t="s">
        <v>188</v>
      </c>
    </row>
    <row r="554">
      <c r="A554" t="str">
        <f t="shared" si="1"/>
        <v>Neutral231</v>
      </c>
      <c r="B554" t="s">
        <v>1768</v>
      </c>
      <c r="C554" t="s">
        <v>1329</v>
      </c>
      <c r="D554" t="s">
        <v>77</v>
      </c>
      <c r="E554" t="s">
        <v>21</v>
      </c>
      <c r="F554">
        <v>5.0</v>
      </c>
      <c r="G554" t="s">
        <v>188</v>
      </c>
    </row>
    <row r="555">
      <c r="A555" t="str">
        <f t="shared" si="1"/>
        <v>Neutral232</v>
      </c>
      <c r="B555" t="s">
        <v>1768</v>
      </c>
      <c r="C555" t="s">
        <v>1204</v>
      </c>
      <c r="D555" t="s">
        <v>77</v>
      </c>
      <c r="E555" t="s">
        <v>15</v>
      </c>
      <c r="F555">
        <v>5.0</v>
      </c>
      <c r="G555" t="s">
        <v>188</v>
      </c>
    </row>
    <row r="556">
      <c r="A556" t="str">
        <f t="shared" si="1"/>
        <v>Neutral233</v>
      </c>
      <c r="B556" t="s">
        <v>1768</v>
      </c>
      <c r="C556" t="s">
        <v>1443</v>
      </c>
      <c r="D556" t="s">
        <v>77</v>
      </c>
      <c r="E556" t="s">
        <v>23</v>
      </c>
      <c r="F556">
        <v>5.0</v>
      </c>
      <c r="G556" t="s">
        <v>188</v>
      </c>
    </row>
    <row r="557">
      <c r="A557" t="str">
        <f t="shared" si="1"/>
        <v>Neutral234</v>
      </c>
      <c r="B557" t="s">
        <v>1768</v>
      </c>
      <c r="C557" t="s">
        <v>1153</v>
      </c>
      <c r="D557" t="s">
        <v>77</v>
      </c>
      <c r="E557" t="s">
        <v>15</v>
      </c>
      <c r="F557">
        <v>3.0</v>
      </c>
      <c r="G557" t="s">
        <v>188</v>
      </c>
    </row>
    <row r="558">
      <c r="A558" t="str">
        <f t="shared" si="1"/>
        <v>Neutral235</v>
      </c>
      <c r="B558" t="s">
        <v>1768</v>
      </c>
      <c r="C558" t="s">
        <v>1073</v>
      </c>
      <c r="D558" t="s">
        <v>77</v>
      </c>
      <c r="E558" t="s">
        <v>15</v>
      </c>
      <c r="F558">
        <v>1.0</v>
      </c>
      <c r="G558" t="s">
        <v>188</v>
      </c>
    </row>
    <row r="559">
      <c r="A559" t="str">
        <f t="shared" si="1"/>
        <v>Neutral236</v>
      </c>
      <c r="B559" t="s">
        <v>1768</v>
      </c>
      <c r="C559" t="s">
        <v>1119</v>
      </c>
      <c r="D559" t="s">
        <v>77</v>
      </c>
      <c r="E559" t="s">
        <v>15</v>
      </c>
      <c r="F559">
        <v>2.0</v>
      </c>
      <c r="G559" t="s">
        <v>188</v>
      </c>
    </row>
    <row r="560">
      <c r="A560" t="str">
        <f t="shared" si="1"/>
        <v>Warlock36</v>
      </c>
      <c r="B560" t="s">
        <v>1768</v>
      </c>
      <c r="C560" t="s">
        <v>859</v>
      </c>
      <c r="D560" t="s">
        <v>73</v>
      </c>
      <c r="E560" t="s">
        <v>15</v>
      </c>
      <c r="F560">
        <v>4.0</v>
      </c>
      <c r="G560" t="s">
        <v>188</v>
      </c>
      <c r="H560" t="s">
        <v>828</v>
      </c>
    </row>
    <row r="561">
      <c r="A561" t="str">
        <f t="shared" si="1"/>
        <v>Neutral237</v>
      </c>
      <c r="B561" t="s">
        <v>1768</v>
      </c>
      <c r="C561" t="s">
        <v>1317</v>
      </c>
      <c r="D561" t="s">
        <v>77</v>
      </c>
      <c r="E561" t="s">
        <v>21</v>
      </c>
      <c r="F561">
        <v>4.0</v>
      </c>
      <c r="G561" t="s">
        <v>188</v>
      </c>
    </row>
    <row r="562">
      <c r="A562" t="str">
        <f t="shared" si="1"/>
        <v>Hunter36</v>
      </c>
      <c r="B562" t="s">
        <v>1768</v>
      </c>
      <c r="C562" t="s">
        <v>294</v>
      </c>
      <c r="D562" t="s">
        <v>63</v>
      </c>
      <c r="E562" t="s">
        <v>15</v>
      </c>
      <c r="F562">
        <v>1.0</v>
      </c>
      <c r="G562" t="s">
        <v>188</v>
      </c>
      <c r="H562" t="s">
        <v>238</v>
      </c>
    </row>
    <row r="563">
      <c r="A563" t="str">
        <f t="shared" si="1"/>
        <v>Neutral238</v>
      </c>
      <c r="B563" t="s">
        <v>1768</v>
      </c>
      <c r="C563" t="s">
        <v>1078</v>
      </c>
      <c r="D563" t="s">
        <v>77</v>
      </c>
      <c r="E563" t="s">
        <v>15</v>
      </c>
      <c r="F563">
        <v>1.0</v>
      </c>
      <c r="G563" t="s">
        <v>188</v>
      </c>
    </row>
    <row r="564">
      <c r="A564" t="str">
        <f t="shared" si="1"/>
        <v>Neutral239</v>
      </c>
      <c r="B564" t="s">
        <v>1769</v>
      </c>
      <c r="C564" t="s">
        <v>1427</v>
      </c>
      <c r="D564" t="s">
        <v>77</v>
      </c>
      <c r="E564" t="s">
        <v>23</v>
      </c>
      <c r="F564">
        <v>5.0</v>
      </c>
      <c r="G564" t="s">
        <v>188</v>
      </c>
    </row>
    <row r="565">
      <c r="A565" t="str">
        <f t="shared" si="1"/>
        <v>Neutral240</v>
      </c>
      <c r="B565" t="s">
        <v>1769</v>
      </c>
      <c r="C565" t="s">
        <v>1453</v>
      </c>
      <c r="D565" t="s">
        <v>77</v>
      </c>
      <c r="E565" t="s">
        <v>23</v>
      </c>
      <c r="F565">
        <v>6.0</v>
      </c>
      <c r="G565" t="s">
        <v>188</v>
      </c>
    </row>
    <row r="566">
      <c r="A566" t="str">
        <f t="shared" si="1"/>
        <v>Neutral241</v>
      </c>
      <c r="B566" t="s">
        <v>1770</v>
      </c>
      <c r="C566" t="s">
        <v>1344</v>
      </c>
      <c r="D566" t="s">
        <v>77</v>
      </c>
      <c r="E566" t="s">
        <v>22</v>
      </c>
      <c r="F566">
        <v>2.0</v>
      </c>
      <c r="G566" t="s">
        <v>188</v>
      </c>
      <c r="H566" t="s">
        <v>238</v>
      </c>
    </row>
    <row r="567">
      <c r="A567" t="str">
        <f t="shared" si="1"/>
        <v>Neutral242</v>
      </c>
      <c r="B567" t="s">
        <v>1770</v>
      </c>
      <c r="C567" t="s">
        <v>1421</v>
      </c>
      <c r="D567" t="s">
        <v>77</v>
      </c>
      <c r="E567" t="s">
        <v>23</v>
      </c>
      <c r="F567">
        <v>4.0</v>
      </c>
      <c r="G567" t="s">
        <v>188</v>
      </c>
      <c r="H567" t="s">
        <v>498</v>
      </c>
    </row>
    <row r="568">
      <c r="A568" t="str">
        <f t="shared" si="1"/>
        <v>Hunter37</v>
      </c>
      <c r="B568" t="s">
        <v>105</v>
      </c>
      <c r="C568" t="s">
        <v>360</v>
      </c>
      <c r="D568" t="s">
        <v>63</v>
      </c>
      <c r="E568" t="s">
        <v>23</v>
      </c>
      <c r="F568">
        <v>7.0</v>
      </c>
      <c r="G568" t="s">
        <v>188</v>
      </c>
      <c r="H568" t="s">
        <v>238</v>
      </c>
    </row>
    <row r="569">
      <c r="A569" t="str">
        <f t="shared" si="1"/>
        <v>Warrior37</v>
      </c>
      <c r="B569" t="s">
        <v>105</v>
      </c>
      <c r="C569" t="s">
        <v>953</v>
      </c>
      <c r="D569" t="s">
        <v>75</v>
      </c>
      <c r="E569" t="s">
        <v>21</v>
      </c>
      <c r="F569">
        <v>2.0</v>
      </c>
      <c r="G569" t="s">
        <v>188</v>
      </c>
    </row>
    <row r="570">
      <c r="A570" t="str">
        <f t="shared" si="1"/>
        <v>Shaman37</v>
      </c>
      <c r="B570" t="s">
        <v>105</v>
      </c>
      <c r="C570" t="s">
        <v>1771</v>
      </c>
      <c r="D570" t="s">
        <v>72</v>
      </c>
      <c r="E570" t="s">
        <v>15</v>
      </c>
      <c r="F570">
        <v>2.0</v>
      </c>
      <c r="G570" t="s">
        <v>162</v>
      </c>
    </row>
    <row r="571">
      <c r="A571" t="str">
        <f t="shared" si="1"/>
        <v>Rogue37</v>
      </c>
      <c r="B571" t="s">
        <v>105</v>
      </c>
      <c r="C571" t="s">
        <v>726</v>
      </c>
      <c r="D571" t="s">
        <v>70</v>
      </c>
      <c r="E571" t="s">
        <v>23</v>
      </c>
      <c r="F571">
        <v>9.0</v>
      </c>
      <c r="G571" t="s">
        <v>188</v>
      </c>
    </row>
    <row r="572">
      <c r="A572" t="str">
        <f t="shared" si="1"/>
        <v>Mage37</v>
      </c>
      <c r="B572" t="s">
        <v>105</v>
      </c>
      <c r="C572" t="s">
        <v>435</v>
      </c>
      <c r="D572" t="s">
        <v>65</v>
      </c>
      <c r="E572" t="s">
        <v>22</v>
      </c>
      <c r="F572">
        <v>1.0</v>
      </c>
      <c r="G572" t="s">
        <v>162</v>
      </c>
    </row>
    <row r="573">
      <c r="A573" t="str">
        <f t="shared" si="1"/>
        <v>Neutral243</v>
      </c>
      <c r="B573" t="s">
        <v>105</v>
      </c>
      <c r="C573" t="s">
        <v>1125</v>
      </c>
      <c r="D573" t="s">
        <v>77</v>
      </c>
      <c r="E573" t="s">
        <v>15</v>
      </c>
      <c r="F573">
        <v>3.0</v>
      </c>
      <c r="G573" t="s">
        <v>188</v>
      </c>
    </row>
    <row r="574">
      <c r="A574" t="str">
        <f t="shared" si="1"/>
        <v>Paladin37</v>
      </c>
      <c r="B574" t="s">
        <v>105</v>
      </c>
      <c r="C574" t="s">
        <v>504</v>
      </c>
      <c r="D574" t="s">
        <v>68</v>
      </c>
      <c r="E574" t="s">
        <v>21</v>
      </c>
      <c r="F574">
        <v>2.0</v>
      </c>
      <c r="G574" t="s">
        <v>304</v>
      </c>
    </row>
    <row r="575">
      <c r="A575" t="str">
        <f t="shared" si="1"/>
        <v>Neutral244</v>
      </c>
      <c r="B575" t="s">
        <v>105</v>
      </c>
      <c r="C575" t="s">
        <v>1242</v>
      </c>
      <c r="D575" t="s">
        <v>77</v>
      </c>
      <c r="E575" t="s">
        <v>21</v>
      </c>
      <c r="F575">
        <v>2.0</v>
      </c>
      <c r="G575" t="s">
        <v>188</v>
      </c>
    </row>
    <row r="576">
      <c r="A576" t="str">
        <f t="shared" si="1"/>
        <v>Neutral245</v>
      </c>
      <c r="B576" t="s">
        <v>105</v>
      </c>
      <c r="C576" t="s">
        <v>1304</v>
      </c>
      <c r="D576" t="s">
        <v>77</v>
      </c>
      <c r="E576" t="s">
        <v>21</v>
      </c>
      <c r="F576">
        <v>4.0</v>
      </c>
      <c r="G576" t="s">
        <v>188</v>
      </c>
      <c r="H576" t="s">
        <v>238</v>
      </c>
    </row>
    <row r="577">
      <c r="A577" t="str">
        <f t="shared" si="1"/>
        <v>Druid37</v>
      </c>
      <c r="B577" t="s">
        <v>105</v>
      </c>
      <c r="C577" t="s">
        <v>1772</v>
      </c>
      <c r="D577" t="s">
        <v>60</v>
      </c>
      <c r="E577" t="s">
        <v>22</v>
      </c>
      <c r="F577">
        <v>4.0</v>
      </c>
      <c r="G577" t="s">
        <v>162</v>
      </c>
    </row>
    <row r="578">
      <c r="A578" t="str">
        <f t="shared" si="1"/>
        <v>Druid38</v>
      </c>
      <c r="B578" t="s">
        <v>105</v>
      </c>
      <c r="C578" t="s">
        <v>268</v>
      </c>
      <c r="D578" t="s">
        <v>60</v>
      </c>
      <c r="E578" t="s">
        <v>23</v>
      </c>
      <c r="F578">
        <v>9.0</v>
      </c>
      <c r="G578" t="s">
        <v>188</v>
      </c>
    </row>
    <row r="579">
      <c r="A579" t="str">
        <f t="shared" si="1"/>
        <v>Hunter38</v>
      </c>
      <c r="B579" t="s">
        <v>105</v>
      </c>
      <c r="C579" t="s">
        <v>340</v>
      </c>
      <c r="D579" t="s">
        <v>63</v>
      </c>
      <c r="E579" t="s">
        <v>21</v>
      </c>
      <c r="F579">
        <v>6.0</v>
      </c>
      <c r="G579" t="s">
        <v>162</v>
      </c>
    </row>
    <row r="580">
      <c r="A580" t="str">
        <f t="shared" si="1"/>
        <v>Warrior38</v>
      </c>
      <c r="B580" t="s">
        <v>105</v>
      </c>
      <c r="C580" t="s">
        <v>939</v>
      </c>
      <c r="D580" t="s">
        <v>75</v>
      </c>
      <c r="E580" t="s">
        <v>15</v>
      </c>
      <c r="F580">
        <v>3.0</v>
      </c>
      <c r="G580" t="s">
        <v>162</v>
      </c>
    </row>
    <row r="581">
      <c r="A581" t="str">
        <f t="shared" si="1"/>
        <v>Hunter39</v>
      </c>
      <c r="B581" t="s">
        <v>105</v>
      </c>
      <c r="C581" t="s">
        <v>296</v>
      </c>
      <c r="D581" t="s">
        <v>63</v>
      </c>
      <c r="E581" t="s">
        <v>15</v>
      </c>
      <c r="F581">
        <v>2.0</v>
      </c>
      <c r="G581" t="s">
        <v>162</v>
      </c>
      <c r="H581" t="s">
        <v>299</v>
      </c>
    </row>
    <row r="582">
      <c r="A582" t="str">
        <f t="shared" si="1"/>
        <v>Rogue38</v>
      </c>
      <c r="B582" t="s">
        <v>105</v>
      </c>
      <c r="C582" t="s">
        <v>712</v>
      </c>
      <c r="D582" t="s">
        <v>70</v>
      </c>
      <c r="E582" t="s">
        <v>22</v>
      </c>
      <c r="F582">
        <v>3.0</v>
      </c>
      <c r="G582" t="s">
        <v>1773</v>
      </c>
    </row>
    <row r="583">
      <c r="A583" t="str">
        <f t="shared" si="1"/>
        <v>Neutral246</v>
      </c>
      <c r="B583" t="s">
        <v>105</v>
      </c>
      <c r="C583" t="s">
        <v>1445</v>
      </c>
      <c r="D583" t="s">
        <v>77</v>
      </c>
      <c r="E583" t="s">
        <v>23</v>
      </c>
      <c r="F583">
        <v>6.0</v>
      </c>
      <c r="G583" t="s">
        <v>188</v>
      </c>
    </row>
    <row r="584">
      <c r="A584" t="str">
        <f t="shared" si="1"/>
        <v>Warrior39</v>
      </c>
      <c r="B584" t="s">
        <v>105</v>
      </c>
      <c r="C584" t="s">
        <v>931</v>
      </c>
      <c r="D584" t="s">
        <v>75</v>
      </c>
      <c r="E584" t="s">
        <v>15</v>
      </c>
      <c r="F584">
        <v>2.0</v>
      </c>
      <c r="G584" t="s">
        <v>162</v>
      </c>
    </row>
    <row r="585">
      <c r="A585" t="str">
        <f t="shared" si="1"/>
        <v>Neutral247</v>
      </c>
      <c r="B585" t="s">
        <v>105</v>
      </c>
      <c r="C585" t="s">
        <v>1086</v>
      </c>
      <c r="D585" t="s">
        <v>77</v>
      </c>
      <c r="E585" t="s">
        <v>15</v>
      </c>
      <c r="F585">
        <v>2.0</v>
      </c>
      <c r="G585" t="s">
        <v>188</v>
      </c>
    </row>
    <row r="586">
      <c r="A586" t="str">
        <f t="shared" si="1"/>
        <v>Hunter40</v>
      </c>
      <c r="B586" t="s">
        <v>105</v>
      </c>
      <c r="C586" t="s">
        <v>292</v>
      </c>
      <c r="D586" t="s">
        <v>63</v>
      </c>
      <c r="E586" t="s">
        <v>15</v>
      </c>
      <c r="F586">
        <v>1.0</v>
      </c>
      <c r="G586" t="s">
        <v>188</v>
      </c>
    </row>
    <row r="587">
      <c r="A587" t="str">
        <f t="shared" si="1"/>
        <v>Rogue39</v>
      </c>
      <c r="B587" t="s">
        <v>105</v>
      </c>
      <c r="C587" t="s">
        <v>659</v>
      </c>
      <c r="D587" t="s">
        <v>70</v>
      </c>
      <c r="E587" t="s">
        <v>15</v>
      </c>
      <c r="F587">
        <v>1.0</v>
      </c>
      <c r="G587" t="s">
        <v>188</v>
      </c>
    </row>
    <row r="588">
      <c r="A588" t="str">
        <f t="shared" si="1"/>
        <v>Rogue40</v>
      </c>
      <c r="B588" t="s">
        <v>105</v>
      </c>
      <c r="C588" t="s">
        <v>690</v>
      </c>
      <c r="D588" t="s">
        <v>70</v>
      </c>
      <c r="E588" t="s">
        <v>21</v>
      </c>
      <c r="F588">
        <v>3.0</v>
      </c>
      <c r="G588" t="s">
        <v>162</v>
      </c>
    </row>
    <row r="589">
      <c r="A589" t="str">
        <f t="shared" si="1"/>
        <v>Neutral248</v>
      </c>
      <c r="B589" t="s">
        <v>105</v>
      </c>
      <c r="C589" t="s">
        <v>1774</v>
      </c>
      <c r="D589" t="s">
        <v>77</v>
      </c>
      <c r="E589" t="s">
        <v>15</v>
      </c>
      <c r="F589">
        <v>7.0</v>
      </c>
      <c r="G589" t="s">
        <v>188</v>
      </c>
      <c r="H589" t="s">
        <v>238</v>
      </c>
    </row>
    <row r="590">
      <c r="A590" t="str">
        <f t="shared" si="1"/>
        <v>Shaman38</v>
      </c>
      <c r="B590" t="s">
        <v>105</v>
      </c>
      <c r="C590" t="s">
        <v>805</v>
      </c>
      <c r="D590" t="s">
        <v>72</v>
      </c>
      <c r="E590" t="s">
        <v>22</v>
      </c>
      <c r="F590">
        <v>4.0</v>
      </c>
      <c r="G590" t="s">
        <v>304</v>
      </c>
    </row>
    <row r="591">
      <c r="A591" t="str">
        <f t="shared" si="1"/>
        <v>Neutral249</v>
      </c>
      <c r="B591" t="s">
        <v>105</v>
      </c>
      <c r="C591" t="s">
        <v>1476</v>
      </c>
      <c r="D591" t="s">
        <v>77</v>
      </c>
      <c r="E591" t="s">
        <v>23</v>
      </c>
      <c r="F591">
        <v>7.0</v>
      </c>
      <c r="G591" t="s">
        <v>188</v>
      </c>
      <c r="H591" t="s">
        <v>446</v>
      </c>
    </row>
    <row r="592">
      <c r="A592" t="str">
        <f t="shared" si="1"/>
        <v>Neutral250</v>
      </c>
      <c r="B592" t="s">
        <v>105</v>
      </c>
      <c r="C592" t="s">
        <v>1193</v>
      </c>
      <c r="D592" t="s">
        <v>77</v>
      </c>
      <c r="E592" t="s">
        <v>15</v>
      </c>
      <c r="F592">
        <v>5.0</v>
      </c>
      <c r="G592" t="s">
        <v>188</v>
      </c>
      <c r="H592" t="s">
        <v>198</v>
      </c>
    </row>
    <row r="593">
      <c r="A593" t="str">
        <f t="shared" si="1"/>
        <v>Mage38</v>
      </c>
      <c r="B593" t="s">
        <v>105</v>
      </c>
      <c r="C593" t="s">
        <v>445</v>
      </c>
      <c r="D593" t="s">
        <v>65</v>
      </c>
      <c r="E593" t="s">
        <v>22</v>
      </c>
      <c r="F593">
        <v>6.0</v>
      </c>
      <c r="G593" t="s">
        <v>188</v>
      </c>
      <c r="H593" t="s">
        <v>446</v>
      </c>
    </row>
    <row r="594">
      <c r="A594" t="str">
        <f t="shared" si="1"/>
        <v>Neutral251</v>
      </c>
      <c r="B594" t="s">
        <v>105</v>
      </c>
      <c r="C594" t="s">
        <v>1270</v>
      </c>
      <c r="D594" t="s">
        <v>77</v>
      </c>
      <c r="E594" t="s">
        <v>21</v>
      </c>
      <c r="F594">
        <v>3.0</v>
      </c>
      <c r="G594" t="s">
        <v>188</v>
      </c>
    </row>
    <row r="595">
      <c r="A595" t="str">
        <f t="shared" si="1"/>
        <v>Paladin38</v>
      </c>
      <c r="B595" t="s">
        <v>105</v>
      </c>
      <c r="C595" t="s">
        <v>502</v>
      </c>
      <c r="D595" t="s">
        <v>68</v>
      </c>
      <c r="E595" t="s">
        <v>21</v>
      </c>
      <c r="F595">
        <v>1.0</v>
      </c>
      <c r="G595" t="s">
        <v>162</v>
      </c>
      <c r="H595" t="s">
        <v>299</v>
      </c>
    </row>
    <row r="596">
      <c r="A596" t="str">
        <f t="shared" si="1"/>
        <v>Priest37</v>
      </c>
      <c r="B596" t="s">
        <v>105</v>
      </c>
      <c r="C596" t="s">
        <v>632</v>
      </c>
      <c r="D596" t="s">
        <v>69</v>
      </c>
      <c r="E596" t="s">
        <v>23</v>
      </c>
      <c r="F596">
        <v>7.0</v>
      </c>
      <c r="G596" t="s">
        <v>188</v>
      </c>
    </row>
    <row r="597">
      <c r="A597" t="str">
        <f t="shared" si="1"/>
        <v>Priest38</v>
      </c>
      <c r="B597" t="s">
        <v>105</v>
      </c>
      <c r="C597" t="s">
        <v>618</v>
      </c>
      <c r="D597" t="s">
        <v>69</v>
      </c>
      <c r="E597" t="s">
        <v>22</v>
      </c>
      <c r="F597">
        <v>2.0</v>
      </c>
      <c r="G597" t="s">
        <v>162</v>
      </c>
    </row>
    <row r="598">
      <c r="A598" t="str">
        <f t="shared" si="1"/>
        <v>Priest39</v>
      </c>
      <c r="B598" t="s">
        <v>105</v>
      </c>
      <c r="C598" t="s">
        <v>594</v>
      </c>
      <c r="D598" t="s">
        <v>69</v>
      </c>
      <c r="E598" t="s">
        <v>21</v>
      </c>
      <c r="F598">
        <v>2.0</v>
      </c>
      <c r="G598" t="s">
        <v>162</v>
      </c>
    </row>
    <row r="599">
      <c r="A599" t="str">
        <f t="shared" si="1"/>
        <v>Neutral252</v>
      </c>
      <c r="B599" t="s">
        <v>105</v>
      </c>
      <c r="C599" t="s">
        <v>1368</v>
      </c>
      <c r="D599" t="s">
        <v>77</v>
      </c>
      <c r="E599" t="s">
        <v>22</v>
      </c>
      <c r="F599">
        <v>4.0</v>
      </c>
      <c r="G599" t="s">
        <v>188</v>
      </c>
    </row>
    <row r="600">
      <c r="A600" t="str">
        <f t="shared" si="1"/>
        <v>Rogue41</v>
      </c>
      <c r="B600" t="s">
        <v>105</v>
      </c>
      <c r="C600" t="s">
        <v>686</v>
      </c>
      <c r="D600" t="s">
        <v>70</v>
      </c>
      <c r="E600" t="s">
        <v>21</v>
      </c>
      <c r="F600">
        <v>2.0</v>
      </c>
      <c r="G600" t="s">
        <v>188</v>
      </c>
    </row>
    <row r="601">
      <c r="A601" t="str">
        <f t="shared" si="1"/>
        <v>Warlock37</v>
      </c>
      <c r="B601" t="s">
        <v>105</v>
      </c>
      <c r="C601" t="s">
        <v>898</v>
      </c>
      <c r="D601" t="s">
        <v>73</v>
      </c>
      <c r="E601" t="s">
        <v>22</v>
      </c>
      <c r="F601">
        <v>6.0</v>
      </c>
      <c r="G601" t="s">
        <v>162</v>
      </c>
    </row>
    <row r="602">
      <c r="A602" t="str">
        <f t="shared" si="1"/>
        <v>Druid39</v>
      </c>
      <c r="B602" t="s">
        <v>105</v>
      </c>
      <c r="C602" t="s">
        <v>228</v>
      </c>
      <c r="D602" t="s">
        <v>60</v>
      </c>
      <c r="E602" t="s">
        <v>21</v>
      </c>
      <c r="F602">
        <v>2.0</v>
      </c>
      <c r="G602" t="s">
        <v>188</v>
      </c>
    </row>
    <row r="603">
      <c r="A603" t="str">
        <f t="shared" si="1"/>
        <v>Warlock38</v>
      </c>
      <c r="B603" t="s">
        <v>105</v>
      </c>
      <c r="C603" t="s">
        <v>849</v>
      </c>
      <c r="D603" t="s">
        <v>73</v>
      </c>
      <c r="E603" t="s">
        <v>15</v>
      </c>
      <c r="F603">
        <v>2.0</v>
      </c>
      <c r="G603" t="s">
        <v>162</v>
      </c>
    </row>
    <row r="604">
      <c r="A604" t="str">
        <f t="shared" si="1"/>
        <v>Mage39</v>
      </c>
      <c r="B604" t="s">
        <v>105</v>
      </c>
      <c r="C604" t="s">
        <v>1775</v>
      </c>
      <c r="D604" t="s">
        <v>65</v>
      </c>
      <c r="E604" t="s">
        <v>15</v>
      </c>
      <c r="F604">
        <v>4.0</v>
      </c>
      <c r="G604" t="s">
        <v>188</v>
      </c>
    </row>
    <row r="605">
      <c r="A605" t="str">
        <f t="shared" si="1"/>
        <v>Shaman39</v>
      </c>
      <c r="B605" t="s">
        <v>105</v>
      </c>
      <c r="C605" t="s">
        <v>793</v>
      </c>
      <c r="D605" t="s">
        <v>72</v>
      </c>
      <c r="E605" t="s">
        <v>21</v>
      </c>
      <c r="F605">
        <v>4.0</v>
      </c>
      <c r="G605" t="s">
        <v>188</v>
      </c>
    </row>
    <row r="606">
      <c r="A606" t="str">
        <f t="shared" si="1"/>
        <v>Neutral253</v>
      </c>
      <c r="B606" t="s">
        <v>105</v>
      </c>
      <c r="C606" t="s">
        <v>1131</v>
      </c>
      <c r="D606" t="s">
        <v>77</v>
      </c>
      <c r="E606" t="s">
        <v>15</v>
      </c>
      <c r="F606">
        <v>3.0</v>
      </c>
      <c r="G606" t="s">
        <v>188</v>
      </c>
    </row>
    <row r="607">
      <c r="A607" t="str">
        <f t="shared" si="1"/>
        <v>Hunter41</v>
      </c>
      <c r="B607" t="s">
        <v>105</v>
      </c>
      <c r="C607" t="s">
        <v>358</v>
      </c>
      <c r="D607" t="s">
        <v>63</v>
      </c>
      <c r="E607" t="s">
        <v>23</v>
      </c>
      <c r="F607">
        <v>3.0</v>
      </c>
      <c r="G607" t="s">
        <v>188</v>
      </c>
      <c r="H607" t="s">
        <v>238</v>
      </c>
    </row>
    <row r="608">
      <c r="A608" t="str">
        <f t="shared" si="1"/>
        <v>Warlock39</v>
      </c>
      <c r="B608" t="s">
        <v>105</v>
      </c>
      <c r="C608" t="s">
        <v>888</v>
      </c>
      <c r="D608" t="s">
        <v>73</v>
      </c>
      <c r="E608" t="s">
        <v>22</v>
      </c>
      <c r="F608">
        <v>4.0</v>
      </c>
      <c r="G608" t="s">
        <v>188</v>
      </c>
      <c r="H608" t="s">
        <v>828</v>
      </c>
    </row>
    <row r="609">
      <c r="A609" t="str">
        <f t="shared" si="1"/>
        <v>Druid40</v>
      </c>
      <c r="B609" t="s">
        <v>105</v>
      </c>
      <c r="C609" t="s">
        <v>201</v>
      </c>
      <c r="D609" t="s">
        <v>60</v>
      </c>
      <c r="E609" t="s">
        <v>15</v>
      </c>
      <c r="F609">
        <v>2.0</v>
      </c>
      <c r="G609" t="s">
        <v>188</v>
      </c>
    </row>
    <row r="610">
      <c r="A610" t="str">
        <f t="shared" si="1"/>
        <v>Paladin39</v>
      </c>
      <c r="B610" t="s">
        <v>105</v>
      </c>
      <c r="C610" t="s">
        <v>542</v>
      </c>
      <c r="D610" t="s">
        <v>68</v>
      </c>
      <c r="E610" t="s">
        <v>23</v>
      </c>
      <c r="F610">
        <v>7.0</v>
      </c>
      <c r="G610" t="s">
        <v>188</v>
      </c>
    </row>
    <row r="611">
      <c r="A611" t="str">
        <f t="shared" si="1"/>
        <v>Mage40</v>
      </c>
      <c r="B611" t="s">
        <v>105</v>
      </c>
      <c r="C611" t="s">
        <v>417</v>
      </c>
      <c r="D611" t="s">
        <v>65</v>
      </c>
      <c r="E611" t="s">
        <v>21</v>
      </c>
      <c r="F611">
        <v>3.0</v>
      </c>
      <c r="G611" t="s">
        <v>162</v>
      </c>
      <c r="H611" t="s">
        <v>299</v>
      </c>
    </row>
    <row r="612">
      <c r="A612" t="str">
        <f t="shared" si="1"/>
        <v>Shaman40</v>
      </c>
      <c r="B612" t="s">
        <v>105</v>
      </c>
      <c r="C612" t="s">
        <v>799</v>
      </c>
      <c r="D612" t="s">
        <v>72</v>
      </c>
      <c r="E612" t="s">
        <v>22</v>
      </c>
      <c r="F612">
        <v>3.0</v>
      </c>
      <c r="G612" t="s">
        <v>162</v>
      </c>
    </row>
    <row r="613">
      <c r="A613" t="str">
        <f t="shared" si="1"/>
        <v>Paladin40</v>
      </c>
      <c r="B613" t="s">
        <v>105</v>
      </c>
      <c r="C613" t="s">
        <v>534</v>
      </c>
      <c r="D613" t="s">
        <v>68</v>
      </c>
      <c r="E613" t="s">
        <v>22</v>
      </c>
      <c r="F613">
        <v>6.0</v>
      </c>
      <c r="G613" t="s">
        <v>162</v>
      </c>
    </row>
    <row r="614">
      <c r="A614" t="str">
        <f t="shared" si="1"/>
        <v>Neutral254</v>
      </c>
      <c r="B614" t="s">
        <v>105</v>
      </c>
      <c r="C614" t="s">
        <v>1170</v>
      </c>
      <c r="D614" t="s">
        <v>77</v>
      </c>
      <c r="E614" t="s">
        <v>15</v>
      </c>
      <c r="F614">
        <v>4.0</v>
      </c>
      <c r="G614" t="s">
        <v>188</v>
      </c>
    </row>
    <row r="615">
      <c r="A615" t="str">
        <f t="shared" si="1"/>
        <v>Neutral255</v>
      </c>
      <c r="B615" t="s">
        <v>105</v>
      </c>
      <c r="C615" t="s">
        <v>1409</v>
      </c>
      <c r="D615" t="s">
        <v>77</v>
      </c>
      <c r="E615" t="s">
        <v>23</v>
      </c>
      <c r="F615">
        <v>3.0</v>
      </c>
      <c r="G615" t="s">
        <v>188</v>
      </c>
    </row>
    <row r="616">
      <c r="A616" t="str">
        <f t="shared" si="1"/>
        <v>Mage41</v>
      </c>
      <c r="B616" t="s">
        <v>105</v>
      </c>
      <c r="C616" t="s">
        <v>411</v>
      </c>
      <c r="D616" t="s">
        <v>65</v>
      </c>
      <c r="E616" t="s">
        <v>21</v>
      </c>
      <c r="F616">
        <v>2.0</v>
      </c>
      <c r="G616" t="s">
        <v>188</v>
      </c>
    </row>
    <row r="617">
      <c r="A617" t="str">
        <f t="shared" si="1"/>
        <v>Warlock40</v>
      </c>
      <c r="B617" t="s">
        <v>105</v>
      </c>
      <c r="C617" t="s">
        <v>863</v>
      </c>
      <c r="D617" t="s">
        <v>73</v>
      </c>
      <c r="E617" t="s">
        <v>15</v>
      </c>
      <c r="F617">
        <v>7.0</v>
      </c>
      <c r="G617" t="s">
        <v>188</v>
      </c>
      <c r="H617" t="s">
        <v>828</v>
      </c>
    </row>
    <row r="618">
      <c r="A618" t="str">
        <f t="shared" si="1"/>
        <v>Neutral256</v>
      </c>
      <c r="B618" t="s">
        <v>105</v>
      </c>
      <c r="C618" t="s">
        <v>1278</v>
      </c>
      <c r="D618" t="s">
        <v>77</v>
      </c>
      <c r="E618" t="s">
        <v>21</v>
      </c>
      <c r="F618">
        <v>3.0</v>
      </c>
      <c r="G618" t="s">
        <v>188</v>
      </c>
    </row>
    <row r="619">
      <c r="A619" t="str">
        <f t="shared" si="1"/>
        <v>Warlock41</v>
      </c>
      <c r="B619" t="s">
        <v>105</v>
      </c>
      <c r="C619" t="s">
        <v>876</v>
      </c>
      <c r="D619" t="s">
        <v>73</v>
      </c>
      <c r="E619" t="s">
        <v>21</v>
      </c>
      <c r="F619">
        <v>4.0</v>
      </c>
      <c r="G619" t="s">
        <v>162</v>
      </c>
    </row>
    <row r="620">
      <c r="A620" t="str">
        <f t="shared" si="1"/>
        <v>Neutral257</v>
      </c>
      <c r="B620" t="s">
        <v>105</v>
      </c>
      <c r="C620" t="s">
        <v>1411</v>
      </c>
      <c r="D620" t="s">
        <v>77</v>
      </c>
      <c r="E620" t="s">
        <v>23</v>
      </c>
      <c r="F620">
        <v>3.0</v>
      </c>
      <c r="G620" t="s">
        <v>188</v>
      </c>
    </row>
    <row r="621">
      <c r="A621" t="str">
        <f t="shared" si="1"/>
        <v>Neutral258</v>
      </c>
      <c r="B621" t="s">
        <v>105</v>
      </c>
      <c r="C621" t="s">
        <v>1094</v>
      </c>
      <c r="D621" t="s">
        <v>77</v>
      </c>
      <c r="E621" t="s">
        <v>15</v>
      </c>
      <c r="F621">
        <v>2.0</v>
      </c>
      <c r="G621" t="s">
        <v>188</v>
      </c>
    </row>
    <row r="622">
      <c r="A622" t="str">
        <f t="shared" si="1"/>
        <v>Mage42</v>
      </c>
      <c r="B622" t="s">
        <v>105</v>
      </c>
      <c r="C622" t="s">
        <v>409</v>
      </c>
      <c r="D622" t="s">
        <v>65</v>
      </c>
      <c r="E622" t="s">
        <v>15</v>
      </c>
      <c r="F622">
        <v>5.0</v>
      </c>
      <c r="G622" t="s">
        <v>162</v>
      </c>
    </row>
    <row r="623">
      <c r="A623" t="str">
        <f t="shared" si="1"/>
        <v>Priest40</v>
      </c>
      <c r="B623" t="s">
        <v>105</v>
      </c>
      <c r="C623" t="s">
        <v>569</v>
      </c>
      <c r="D623" t="s">
        <v>69</v>
      </c>
      <c r="E623" t="s">
        <v>15</v>
      </c>
      <c r="F623">
        <v>1.0</v>
      </c>
      <c r="G623" t="s">
        <v>162</v>
      </c>
    </row>
    <row r="624">
      <c r="A624" t="str">
        <f t="shared" si="1"/>
        <v>Neutral259</v>
      </c>
      <c r="B624" t="s">
        <v>105</v>
      </c>
      <c r="C624" t="s">
        <v>1171</v>
      </c>
      <c r="D624" t="s">
        <v>77</v>
      </c>
      <c r="E624" t="s">
        <v>15</v>
      </c>
      <c r="F624">
        <v>4.0</v>
      </c>
      <c r="G624" t="s">
        <v>188</v>
      </c>
    </row>
    <row r="625">
      <c r="A625" t="str">
        <f t="shared" si="1"/>
        <v>Neutral260</v>
      </c>
      <c r="B625" t="s">
        <v>105</v>
      </c>
      <c r="C625" t="s">
        <v>1391</v>
      </c>
      <c r="D625" t="s">
        <v>77</v>
      </c>
      <c r="E625" t="s">
        <v>22</v>
      </c>
      <c r="F625">
        <v>10.0</v>
      </c>
      <c r="G625" t="s">
        <v>188</v>
      </c>
    </row>
    <row r="626">
      <c r="A626" t="str">
        <f t="shared" si="1"/>
        <v>Neutral261</v>
      </c>
      <c r="B626" t="s">
        <v>105</v>
      </c>
      <c r="C626" t="s">
        <v>1062</v>
      </c>
      <c r="D626" t="s">
        <v>77</v>
      </c>
      <c r="E626" t="s">
        <v>15</v>
      </c>
      <c r="F626">
        <v>1.0</v>
      </c>
      <c r="G626" t="s">
        <v>188</v>
      </c>
    </row>
    <row r="627">
      <c r="A627" t="str">
        <f t="shared" si="1"/>
        <v>Neutral262</v>
      </c>
      <c r="B627" t="s">
        <v>105</v>
      </c>
      <c r="C627" t="s">
        <v>1350</v>
      </c>
      <c r="D627" t="s">
        <v>77</v>
      </c>
      <c r="E627" t="s">
        <v>22</v>
      </c>
      <c r="F627">
        <v>2.0</v>
      </c>
      <c r="G627" t="s">
        <v>188</v>
      </c>
    </row>
    <row r="628">
      <c r="A628" t="str">
        <f t="shared" si="1"/>
        <v>Neutral263</v>
      </c>
      <c r="B628" t="s">
        <v>105</v>
      </c>
      <c r="C628" t="s">
        <v>1419</v>
      </c>
      <c r="D628" t="s">
        <v>77</v>
      </c>
      <c r="E628" t="s">
        <v>23</v>
      </c>
      <c r="F628">
        <v>4.0</v>
      </c>
      <c r="G628" t="s">
        <v>188</v>
      </c>
    </row>
    <row r="629">
      <c r="A629" t="str">
        <f t="shared" si="1"/>
        <v>Neutral264</v>
      </c>
      <c r="B629" t="s">
        <v>105</v>
      </c>
      <c r="C629" t="s">
        <v>1383</v>
      </c>
      <c r="D629" t="s">
        <v>77</v>
      </c>
      <c r="E629" t="s">
        <v>22</v>
      </c>
      <c r="F629">
        <v>6.0</v>
      </c>
      <c r="G629" t="s">
        <v>188</v>
      </c>
    </row>
    <row r="630">
      <c r="A630" t="str">
        <f t="shared" si="1"/>
        <v>Shaman41</v>
      </c>
      <c r="B630" t="s">
        <v>105</v>
      </c>
      <c r="C630" t="s">
        <v>783</v>
      </c>
      <c r="D630" t="s">
        <v>72</v>
      </c>
      <c r="E630" t="s">
        <v>21</v>
      </c>
      <c r="F630">
        <v>3.0</v>
      </c>
      <c r="G630" t="s">
        <v>162</v>
      </c>
    </row>
    <row r="631">
      <c r="A631" t="str">
        <f t="shared" si="1"/>
        <v>Priest41</v>
      </c>
      <c r="B631" t="s">
        <v>105</v>
      </c>
      <c r="C631" t="s">
        <v>1776</v>
      </c>
      <c r="D631" t="s">
        <v>69</v>
      </c>
      <c r="E631" t="s">
        <v>15</v>
      </c>
      <c r="F631">
        <v>4.0</v>
      </c>
      <c r="G631" t="s">
        <v>188</v>
      </c>
    </row>
    <row r="632">
      <c r="A632" t="str">
        <f t="shared" si="1"/>
        <v>Neutral265</v>
      </c>
      <c r="B632" t="s">
        <v>105</v>
      </c>
      <c r="C632" t="s">
        <v>1142</v>
      </c>
      <c r="D632" t="s">
        <v>77</v>
      </c>
      <c r="E632" t="s">
        <v>15</v>
      </c>
      <c r="F632">
        <v>3.0</v>
      </c>
      <c r="G632" t="s">
        <v>188</v>
      </c>
    </row>
    <row r="633">
      <c r="A633" t="str">
        <f t="shared" si="1"/>
        <v>Neutral266</v>
      </c>
      <c r="B633" t="s">
        <v>105</v>
      </c>
      <c r="C633" t="s">
        <v>1499</v>
      </c>
      <c r="D633" t="s">
        <v>77</v>
      </c>
      <c r="E633" t="s">
        <v>23</v>
      </c>
      <c r="F633">
        <v>9.0</v>
      </c>
      <c r="G633" t="s">
        <v>188</v>
      </c>
    </row>
    <row r="634">
      <c r="A634" t="str">
        <f t="shared" si="1"/>
        <v>Neutral267</v>
      </c>
      <c r="B634" t="s">
        <v>105</v>
      </c>
      <c r="C634" t="s">
        <v>1231</v>
      </c>
      <c r="D634" t="s">
        <v>77</v>
      </c>
      <c r="E634" t="s">
        <v>21</v>
      </c>
      <c r="F634">
        <v>1.0</v>
      </c>
      <c r="G634" t="s">
        <v>188</v>
      </c>
    </row>
    <row r="635">
      <c r="A635" t="str">
        <f t="shared" si="1"/>
        <v>Neutral268</v>
      </c>
      <c r="B635" t="s">
        <v>105</v>
      </c>
      <c r="C635" t="s">
        <v>1459</v>
      </c>
      <c r="D635" t="s">
        <v>77</v>
      </c>
      <c r="E635" t="s">
        <v>23</v>
      </c>
      <c r="F635">
        <v>6.0</v>
      </c>
      <c r="G635" t="s">
        <v>188</v>
      </c>
    </row>
    <row r="636">
      <c r="A636" t="str">
        <f t="shared" si="1"/>
        <v>Warrior40</v>
      </c>
      <c r="B636" t="s">
        <v>105</v>
      </c>
      <c r="C636" t="s">
        <v>965</v>
      </c>
      <c r="D636" t="s">
        <v>75</v>
      </c>
      <c r="E636" t="s">
        <v>21</v>
      </c>
      <c r="F636">
        <v>3.0</v>
      </c>
      <c r="G636" t="s">
        <v>304</v>
      </c>
    </row>
    <row r="637">
      <c r="A637" t="str">
        <f t="shared" si="1"/>
        <v>Hunter42</v>
      </c>
      <c r="B637" t="s">
        <v>105</v>
      </c>
      <c r="C637" t="s">
        <v>306</v>
      </c>
      <c r="D637" t="s">
        <v>63</v>
      </c>
      <c r="E637" t="s">
        <v>15</v>
      </c>
      <c r="F637">
        <v>2.0</v>
      </c>
      <c r="G637" t="s">
        <v>188</v>
      </c>
    </row>
    <row r="638">
      <c r="A638" t="str">
        <f t="shared" si="1"/>
        <v>Druid41</v>
      </c>
      <c r="B638" t="s">
        <v>105</v>
      </c>
      <c r="C638" t="s">
        <v>248</v>
      </c>
      <c r="D638" t="s">
        <v>60</v>
      </c>
      <c r="E638" t="s">
        <v>21</v>
      </c>
      <c r="F638">
        <v>7.0</v>
      </c>
      <c r="G638" t="s">
        <v>188</v>
      </c>
    </row>
    <row r="639">
      <c r="A639" t="str">
        <f t="shared" si="1"/>
        <v>Neutral269</v>
      </c>
      <c r="B639" t="s">
        <v>105</v>
      </c>
      <c r="C639" t="s">
        <v>1385</v>
      </c>
      <c r="D639" t="s">
        <v>77</v>
      </c>
      <c r="E639" t="s">
        <v>22</v>
      </c>
      <c r="F639">
        <v>6.0</v>
      </c>
      <c r="G639" t="s">
        <v>188</v>
      </c>
    </row>
    <row r="640">
      <c r="A640" t="str">
        <f t="shared" si="1"/>
        <v>Neutral270</v>
      </c>
      <c r="B640" t="s">
        <v>105</v>
      </c>
      <c r="C640" t="s">
        <v>1196</v>
      </c>
      <c r="D640" t="s">
        <v>77</v>
      </c>
      <c r="E640" t="s">
        <v>15</v>
      </c>
      <c r="F640">
        <v>5.0</v>
      </c>
      <c r="G640" t="s">
        <v>188</v>
      </c>
    </row>
    <row r="641">
      <c r="A641" t="str">
        <f t="shared" si="1"/>
        <v>Neutral271</v>
      </c>
      <c r="B641" t="s">
        <v>105</v>
      </c>
      <c r="C641" t="s">
        <v>1777</v>
      </c>
      <c r="D641" t="s">
        <v>77</v>
      </c>
      <c r="E641" t="s">
        <v>15</v>
      </c>
      <c r="F641">
        <v>2.0</v>
      </c>
      <c r="G641" t="s">
        <v>188</v>
      </c>
    </row>
    <row r="642">
      <c r="A642" t="str">
        <f t="shared" si="1"/>
        <v>Neutral272</v>
      </c>
      <c r="B642" t="s">
        <v>105</v>
      </c>
      <c r="C642" t="s">
        <v>1290</v>
      </c>
      <c r="D642" t="s">
        <v>77</v>
      </c>
      <c r="E642" t="s">
        <v>21</v>
      </c>
      <c r="F642">
        <v>3.0</v>
      </c>
      <c r="G642" t="s">
        <v>188</v>
      </c>
    </row>
    <row r="643">
      <c r="A643" t="str">
        <f t="shared" si="1"/>
        <v>Druid42</v>
      </c>
      <c r="B643" t="s">
        <v>105</v>
      </c>
      <c r="C643" t="s">
        <v>191</v>
      </c>
      <c r="D643" t="s">
        <v>60</v>
      </c>
      <c r="E643" t="s">
        <v>15</v>
      </c>
      <c r="F643">
        <v>1.0</v>
      </c>
      <c r="G643" t="s">
        <v>162</v>
      </c>
    </row>
    <row r="644">
      <c r="A644" t="str">
        <f t="shared" si="1"/>
        <v>Hunter43</v>
      </c>
      <c r="B644" t="s">
        <v>105</v>
      </c>
      <c r="C644" t="s">
        <v>348</v>
      </c>
      <c r="D644" t="s">
        <v>63</v>
      </c>
      <c r="E644" t="s">
        <v>22</v>
      </c>
      <c r="F644">
        <v>2.0</v>
      </c>
      <c r="G644" t="s">
        <v>162</v>
      </c>
    </row>
    <row r="645">
      <c r="A645" t="str">
        <f t="shared" si="1"/>
        <v>Neutral273</v>
      </c>
      <c r="B645" t="s">
        <v>105</v>
      </c>
      <c r="C645" t="s">
        <v>1066</v>
      </c>
      <c r="D645" t="s">
        <v>77</v>
      </c>
      <c r="E645" t="s">
        <v>15</v>
      </c>
      <c r="F645">
        <v>1.0</v>
      </c>
      <c r="G645" t="s">
        <v>188</v>
      </c>
    </row>
    <row r="646">
      <c r="A646" t="str">
        <f t="shared" si="1"/>
        <v>Warrior41</v>
      </c>
      <c r="B646" t="s">
        <v>105</v>
      </c>
      <c r="C646" t="s">
        <v>979</v>
      </c>
      <c r="D646" t="s">
        <v>75</v>
      </c>
      <c r="E646" t="s">
        <v>22</v>
      </c>
      <c r="F646">
        <v>4.0</v>
      </c>
      <c r="G646" t="s">
        <v>188</v>
      </c>
    </row>
    <row r="647">
      <c r="A647" t="str">
        <f t="shared" si="1"/>
        <v>Neutral274</v>
      </c>
      <c r="B647" t="s">
        <v>105</v>
      </c>
      <c r="C647" t="s">
        <v>1176</v>
      </c>
      <c r="D647" t="s">
        <v>77</v>
      </c>
      <c r="E647" t="s">
        <v>15</v>
      </c>
      <c r="F647">
        <v>4.0</v>
      </c>
      <c r="G647" t="s">
        <v>188</v>
      </c>
    </row>
    <row r="648">
      <c r="A648" t="str">
        <f t="shared" si="1"/>
        <v>Neutral275</v>
      </c>
      <c r="B648" t="s">
        <v>105</v>
      </c>
      <c r="C648" t="s">
        <v>1337</v>
      </c>
      <c r="D648" t="s">
        <v>77</v>
      </c>
      <c r="E648" t="s">
        <v>21</v>
      </c>
      <c r="F648">
        <v>6.0</v>
      </c>
      <c r="G648" t="s">
        <v>188</v>
      </c>
    </row>
    <row r="649">
      <c r="A649" t="str">
        <f t="shared" si="1"/>
        <v>Neutral276</v>
      </c>
      <c r="B649" t="s">
        <v>105</v>
      </c>
      <c r="C649" t="s">
        <v>1360</v>
      </c>
      <c r="D649" t="s">
        <v>77</v>
      </c>
      <c r="E649" t="s">
        <v>22</v>
      </c>
      <c r="F649">
        <v>3.0</v>
      </c>
      <c r="G649" t="s">
        <v>188</v>
      </c>
    </row>
    <row r="650">
      <c r="A650" t="str">
        <f t="shared" si="1"/>
        <v>Neutral277</v>
      </c>
      <c r="B650" t="s">
        <v>105</v>
      </c>
      <c r="C650" t="s">
        <v>1339</v>
      </c>
      <c r="D650" t="s">
        <v>77</v>
      </c>
      <c r="E650" t="s">
        <v>21</v>
      </c>
      <c r="F650">
        <v>6.0</v>
      </c>
      <c r="G650" t="s">
        <v>188</v>
      </c>
    </row>
    <row r="651">
      <c r="A651" t="str">
        <f t="shared" si="1"/>
        <v>Neutral278</v>
      </c>
      <c r="B651" t="s">
        <v>105</v>
      </c>
      <c r="C651" t="s">
        <v>1198</v>
      </c>
      <c r="D651" t="s">
        <v>77</v>
      </c>
      <c r="E651" t="s">
        <v>15</v>
      </c>
      <c r="F651">
        <v>5.0</v>
      </c>
      <c r="G651" t="s">
        <v>188</v>
      </c>
      <c r="H651" t="s">
        <v>238</v>
      </c>
    </row>
    <row r="652">
      <c r="A652" t="str">
        <f t="shared" si="1"/>
        <v>Druid43</v>
      </c>
      <c r="B652" t="s">
        <v>105</v>
      </c>
      <c r="C652" t="s">
        <v>252</v>
      </c>
      <c r="D652" t="s">
        <v>60</v>
      </c>
      <c r="E652" t="s">
        <v>22</v>
      </c>
      <c r="F652">
        <v>3.0</v>
      </c>
      <c r="G652" t="s">
        <v>162</v>
      </c>
    </row>
    <row r="653">
      <c r="A653" t="str">
        <f t="shared" si="1"/>
        <v>Paladin41</v>
      </c>
      <c r="B653" t="s">
        <v>105</v>
      </c>
      <c r="C653" t="s">
        <v>497</v>
      </c>
      <c r="D653" t="s">
        <v>68</v>
      </c>
      <c r="E653" t="s">
        <v>15</v>
      </c>
      <c r="F653">
        <v>4.0</v>
      </c>
      <c r="G653" t="s">
        <v>188</v>
      </c>
      <c r="H653" t="s">
        <v>498</v>
      </c>
    </row>
    <row r="654">
      <c r="A654" t="str">
        <f t="shared" si="1"/>
        <v>Paladin42</v>
      </c>
      <c r="B654" t="s">
        <v>105</v>
      </c>
      <c r="C654" t="s">
        <v>536</v>
      </c>
      <c r="D654" t="s">
        <v>68</v>
      </c>
      <c r="E654" t="s">
        <v>22</v>
      </c>
      <c r="F654">
        <v>6.0</v>
      </c>
      <c r="G654" t="s">
        <v>188</v>
      </c>
    </row>
    <row r="655">
      <c r="A655" t="str">
        <f t="shared" si="1"/>
        <v>Neutral279</v>
      </c>
      <c r="B655" t="s">
        <v>105</v>
      </c>
      <c r="C655" t="s">
        <v>1441</v>
      </c>
      <c r="D655" t="s">
        <v>77</v>
      </c>
      <c r="E655" t="s">
        <v>23</v>
      </c>
      <c r="F655">
        <v>5.0</v>
      </c>
      <c r="G655" t="s">
        <v>188</v>
      </c>
    </row>
    <row r="656">
      <c r="A656" t="str">
        <f t="shared" si="1"/>
        <v>Neutral280</v>
      </c>
      <c r="B656" t="s">
        <v>105</v>
      </c>
      <c r="C656" t="s">
        <v>1222</v>
      </c>
      <c r="D656" t="s">
        <v>77</v>
      </c>
      <c r="E656" t="s">
        <v>15</v>
      </c>
      <c r="F656">
        <v>9.0</v>
      </c>
      <c r="G656" t="s">
        <v>188</v>
      </c>
    </row>
    <row r="657">
      <c r="A657" t="str">
        <f t="shared" si="1"/>
        <v>Warrior42</v>
      </c>
      <c r="B657" t="s">
        <v>105</v>
      </c>
      <c r="C657" t="s">
        <v>943</v>
      </c>
      <c r="D657" t="s">
        <v>75</v>
      </c>
      <c r="E657" t="s">
        <v>15</v>
      </c>
      <c r="F657">
        <v>3.0</v>
      </c>
      <c r="G657" t="s">
        <v>188</v>
      </c>
    </row>
    <row r="658">
      <c r="A658" t="str">
        <f t="shared" si="1"/>
        <v>Neutral281</v>
      </c>
      <c r="B658" t="s">
        <v>105</v>
      </c>
      <c r="C658" t="s">
        <v>1200</v>
      </c>
      <c r="D658" t="s">
        <v>77</v>
      </c>
      <c r="E658" t="s">
        <v>15</v>
      </c>
      <c r="F658">
        <v>5.0</v>
      </c>
      <c r="G658" t="s">
        <v>188</v>
      </c>
    </row>
    <row r="659">
      <c r="A659" t="str">
        <f t="shared" si="1"/>
        <v>Rogue42</v>
      </c>
      <c r="B659" t="s">
        <v>105</v>
      </c>
      <c r="C659" t="s">
        <v>716</v>
      </c>
      <c r="D659" t="s">
        <v>70</v>
      </c>
      <c r="E659" t="s">
        <v>22</v>
      </c>
      <c r="F659">
        <v>4.0</v>
      </c>
      <c r="G659" t="s">
        <v>304</v>
      </c>
    </row>
    <row r="660">
      <c r="A660" t="str">
        <f t="shared" si="1"/>
        <v>Mage43</v>
      </c>
      <c r="B660" t="s">
        <v>105</v>
      </c>
      <c r="C660" t="s">
        <v>423</v>
      </c>
      <c r="D660" t="s">
        <v>65</v>
      </c>
      <c r="E660" t="s">
        <v>21</v>
      </c>
      <c r="F660">
        <v>3.0</v>
      </c>
      <c r="G660" t="s">
        <v>162</v>
      </c>
    </row>
    <row r="661">
      <c r="A661" t="str">
        <f t="shared" si="1"/>
        <v>Priest42</v>
      </c>
      <c r="B661" t="s">
        <v>105</v>
      </c>
      <c r="C661" t="s">
        <v>573</v>
      </c>
      <c r="D661" t="s">
        <v>69</v>
      </c>
      <c r="E661" t="s">
        <v>15</v>
      </c>
      <c r="F661">
        <v>1.0</v>
      </c>
      <c r="G661" t="s">
        <v>1773</v>
      </c>
    </row>
    <row r="662">
      <c r="A662" t="str">
        <f t="shared" si="1"/>
        <v>Hunter44</v>
      </c>
      <c r="B662" t="s">
        <v>105</v>
      </c>
      <c r="C662" t="s">
        <v>330</v>
      </c>
      <c r="D662" t="s">
        <v>63</v>
      </c>
      <c r="E662" t="s">
        <v>21</v>
      </c>
      <c r="F662">
        <v>3.0</v>
      </c>
      <c r="G662" t="s">
        <v>162</v>
      </c>
    </row>
    <row r="663">
      <c r="A663" t="str">
        <f t="shared" si="1"/>
        <v>Hunter45</v>
      </c>
      <c r="B663" t="s">
        <v>105</v>
      </c>
      <c r="C663" t="s">
        <v>338</v>
      </c>
      <c r="D663" t="s">
        <v>63</v>
      </c>
      <c r="E663" t="s">
        <v>21</v>
      </c>
      <c r="F663">
        <v>5.0</v>
      </c>
      <c r="G663" t="s">
        <v>188</v>
      </c>
    </row>
    <row r="664">
      <c r="A664" t="str">
        <f t="shared" si="1"/>
        <v>Neutral282</v>
      </c>
      <c r="B664" t="s">
        <v>105</v>
      </c>
      <c r="C664" t="s">
        <v>1381</v>
      </c>
      <c r="D664" t="s">
        <v>77</v>
      </c>
      <c r="E664" t="s">
        <v>22</v>
      </c>
      <c r="F664">
        <v>5.0</v>
      </c>
      <c r="G664" t="s">
        <v>188</v>
      </c>
    </row>
    <row r="665">
      <c r="A665" t="str">
        <f t="shared" si="1"/>
        <v>Neutral283</v>
      </c>
      <c r="B665" t="s">
        <v>105</v>
      </c>
      <c r="C665" t="s">
        <v>1183</v>
      </c>
      <c r="D665" t="s">
        <v>77</v>
      </c>
      <c r="E665" t="s">
        <v>15</v>
      </c>
      <c r="F665">
        <v>4.0</v>
      </c>
      <c r="G665" t="s">
        <v>188</v>
      </c>
    </row>
    <row r="666">
      <c r="A666" t="str">
        <f t="shared" si="1"/>
        <v>Mage44</v>
      </c>
      <c r="B666" t="s">
        <v>105</v>
      </c>
      <c r="C666" t="s">
        <v>454</v>
      </c>
      <c r="D666" t="s">
        <v>65</v>
      </c>
      <c r="E666" t="s">
        <v>23</v>
      </c>
      <c r="F666">
        <v>8.0</v>
      </c>
      <c r="G666" t="s">
        <v>188</v>
      </c>
    </row>
    <row r="667">
      <c r="A667" t="str">
        <f t="shared" si="1"/>
        <v>Neutral284</v>
      </c>
      <c r="B667" t="s">
        <v>105</v>
      </c>
      <c r="C667" t="s">
        <v>1298</v>
      </c>
      <c r="D667" t="s">
        <v>77</v>
      </c>
      <c r="E667" t="s">
        <v>21</v>
      </c>
      <c r="F667">
        <v>3.0</v>
      </c>
      <c r="G667" t="s">
        <v>188</v>
      </c>
    </row>
    <row r="668">
      <c r="A668" t="str">
        <f t="shared" si="1"/>
        <v>Druid44</v>
      </c>
      <c r="B668" t="s">
        <v>105</v>
      </c>
      <c r="C668" t="s">
        <v>237</v>
      </c>
      <c r="D668" t="s">
        <v>60</v>
      </c>
      <c r="E668" t="s">
        <v>21</v>
      </c>
      <c r="F668">
        <v>4.0</v>
      </c>
      <c r="G668" t="s">
        <v>188</v>
      </c>
      <c r="H668" t="s">
        <v>238</v>
      </c>
    </row>
    <row r="669">
      <c r="A669" t="str">
        <f t="shared" si="1"/>
        <v>Warrior43</v>
      </c>
      <c r="B669" t="s">
        <v>105</v>
      </c>
      <c r="C669" t="s">
        <v>983</v>
      </c>
      <c r="D669" t="s">
        <v>75</v>
      </c>
      <c r="E669" t="s">
        <v>22</v>
      </c>
      <c r="F669">
        <v>6.0</v>
      </c>
      <c r="G669" t="s">
        <v>188</v>
      </c>
    </row>
    <row r="670">
      <c r="A670" t="str">
        <f t="shared" si="1"/>
        <v>Paladin43</v>
      </c>
      <c r="B670" t="s">
        <v>105</v>
      </c>
      <c r="C670" t="s">
        <v>493</v>
      </c>
      <c r="D670" t="s">
        <v>68</v>
      </c>
      <c r="E670" t="s">
        <v>15</v>
      </c>
      <c r="F670">
        <v>3.0</v>
      </c>
      <c r="G670" t="s">
        <v>162</v>
      </c>
    </row>
    <row r="671">
      <c r="A671" t="str">
        <f t="shared" si="1"/>
        <v>Rogue43</v>
      </c>
      <c r="B671" t="s">
        <v>105</v>
      </c>
      <c r="C671" t="s">
        <v>1778</v>
      </c>
      <c r="D671" t="s">
        <v>70</v>
      </c>
      <c r="E671" t="s">
        <v>15</v>
      </c>
      <c r="F671">
        <v>5.0</v>
      </c>
      <c r="G671" t="s">
        <v>188</v>
      </c>
    </row>
    <row r="672">
      <c r="A672" t="str">
        <f t="shared" si="1"/>
        <v>Priest43</v>
      </c>
      <c r="B672" t="s">
        <v>105</v>
      </c>
      <c r="C672" t="s">
        <v>620</v>
      </c>
      <c r="D672" t="s">
        <v>69</v>
      </c>
      <c r="E672" t="s">
        <v>22</v>
      </c>
      <c r="F672">
        <v>3.0</v>
      </c>
      <c r="G672" t="s">
        <v>188</v>
      </c>
    </row>
    <row r="673">
      <c r="A673" t="str">
        <f t="shared" si="1"/>
        <v>Rogue44</v>
      </c>
      <c r="B673" t="s">
        <v>105</v>
      </c>
      <c r="C673" t="s">
        <v>698</v>
      </c>
      <c r="D673" t="s">
        <v>70</v>
      </c>
      <c r="E673" t="s">
        <v>21</v>
      </c>
      <c r="F673">
        <v>3.0</v>
      </c>
      <c r="G673" t="s">
        <v>188</v>
      </c>
    </row>
    <row r="674">
      <c r="A674" t="str">
        <f t="shared" si="1"/>
        <v>Neutral285</v>
      </c>
      <c r="B674" t="s">
        <v>105</v>
      </c>
      <c r="C674" t="s">
        <v>1779</v>
      </c>
      <c r="D674" t="s">
        <v>77</v>
      </c>
      <c r="E674" t="s">
        <v>22</v>
      </c>
      <c r="F674">
        <v>6.0</v>
      </c>
      <c r="G674" t="s">
        <v>188</v>
      </c>
    </row>
    <row r="675">
      <c r="A675" t="str">
        <f t="shared" si="1"/>
        <v>Neutral286</v>
      </c>
      <c r="B675" t="s">
        <v>105</v>
      </c>
      <c r="C675" t="s">
        <v>1148</v>
      </c>
      <c r="D675" t="s">
        <v>77</v>
      </c>
      <c r="E675" t="s">
        <v>15</v>
      </c>
      <c r="F675">
        <v>3.0</v>
      </c>
      <c r="G675" t="s">
        <v>188</v>
      </c>
    </row>
    <row r="676">
      <c r="A676" t="str">
        <f t="shared" si="1"/>
        <v>Neutral287</v>
      </c>
      <c r="B676" t="s">
        <v>105</v>
      </c>
      <c r="C676" t="s">
        <v>1150</v>
      </c>
      <c r="D676" t="s">
        <v>77</v>
      </c>
      <c r="E676" t="s">
        <v>15</v>
      </c>
      <c r="F676">
        <v>3.0</v>
      </c>
      <c r="G676" t="s">
        <v>188</v>
      </c>
    </row>
    <row r="677">
      <c r="A677" t="str">
        <f t="shared" si="1"/>
        <v>Neutral288</v>
      </c>
      <c r="B677" t="s">
        <v>105</v>
      </c>
      <c r="C677" t="s">
        <v>1482</v>
      </c>
      <c r="D677" t="s">
        <v>77</v>
      </c>
      <c r="E677" t="s">
        <v>23</v>
      </c>
      <c r="F677">
        <v>7.0</v>
      </c>
      <c r="G677" t="s">
        <v>188</v>
      </c>
      <c r="H677" t="s">
        <v>660</v>
      </c>
    </row>
    <row r="678">
      <c r="A678" t="str">
        <f t="shared" si="1"/>
        <v>Warrior44</v>
      </c>
      <c r="B678" t="s">
        <v>105</v>
      </c>
      <c r="C678" t="s">
        <v>961</v>
      </c>
      <c r="D678" t="s">
        <v>75</v>
      </c>
      <c r="E678" t="s">
        <v>21</v>
      </c>
      <c r="F678">
        <v>2.0</v>
      </c>
      <c r="G678" t="s">
        <v>188</v>
      </c>
    </row>
    <row r="679">
      <c r="A679" t="str">
        <f t="shared" si="1"/>
        <v>Priest44</v>
      </c>
      <c r="B679" t="s">
        <v>105</v>
      </c>
      <c r="C679" t="s">
        <v>610</v>
      </c>
      <c r="D679" t="s">
        <v>69</v>
      </c>
      <c r="E679" t="s">
        <v>21</v>
      </c>
      <c r="F679">
        <v>4.0</v>
      </c>
      <c r="G679" t="s">
        <v>188</v>
      </c>
    </row>
    <row r="680">
      <c r="A680" t="str">
        <f t="shared" si="1"/>
        <v>Mage45</v>
      </c>
      <c r="B680" t="s">
        <v>105</v>
      </c>
      <c r="C680" t="s">
        <v>401</v>
      </c>
      <c r="D680" t="s">
        <v>65</v>
      </c>
      <c r="E680" t="s">
        <v>15</v>
      </c>
      <c r="F680">
        <v>3.0</v>
      </c>
      <c r="G680" t="s">
        <v>188</v>
      </c>
    </row>
    <row r="681">
      <c r="A681" t="str">
        <f t="shared" si="1"/>
        <v>Hunter46</v>
      </c>
      <c r="B681" t="s">
        <v>105</v>
      </c>
      <c r="C681" t="s">
        <v>354</v>
      </c>
      <c r="D681" t="s">
        <v>63</v>
      </c>
      <c r="E681" t="s">
        <v>22</v>
      </c>
      <c r="F681">
        <v>3.0</v>
      </c>
      <c r="G681" t="s">
        <v>188</v>
      </c>
    </row>
    <row r="682">
      <c r="A682" t="str">
        <f t="shared" si="1"/>
        <v>Shaman42</v>
      </c>
      <c r="B682" t="s">
        <v>105</v>
      </c>
      <c r="C682" t="s">
        <v>813</v>
      </c>
      <c r="D682" t="s">
        <v>72</v>
      </c>
      <c r="E682" t="s">
        <v>23</v>
      </c>
      <c r="F682">
        <v>6.0</v>
      </c>
      <c r="G682" t="s">
        <v>188</v>
      </c>
    </row>
    <row r="683">
      <c r="A683" t="str">
        <f t="shared" si="1"/>
        <v>Neutral289</v>
      </c>
      <c r="B683" t="s">
        <v>105</v>
      </c>
      <c r="C683" t="s">
        <v>1780</v>
      </c>
      <c r="D683" t="s">
        <v>77</v>
      </c>
      <c r="E683" t="s">
        <v>23</v>
      </c>
      <c r="F683">
        <v>6.0</v>
      </c>
      <c r="G683" t="s">
        <v>188</v>
      </c>
    </row>
    <row r="684">
      <c r="A684" t="str">
        <f t="shared" si="1"/>
        <v>Shaman43</v>
      </c>
      <c r="B684" t="s">
        <v>105</v>
      </c>
      <c r="C684" t="s">
        <v>797</v>
      </c>
      <c r="D684" t="s">
        <v>72</v>
      </c>
      <c r="E684" t="s">
        <v>21</v>
      </c>
      <c r="F684">
        <v>5.0</v>
      </c>
      <c r="G684" t="s">
        <v>188</v>
      </c>
    </row>
    <row r="685">
      <c r="A685" t="str">
        <f t="shared" si="1"/>
        <v>Warlock42</v>
      </c>
      <c r="B685" t="s">
        <v>105</v>
      </c>
      <c r="C685" t="s">
        <v>866</v>
      </c>
      <c r="D685" t="s">
        <v>73</v>
      </c>
      <c r="E685" t="s">
        <v>21</v>
      </c>
      <c r="F685">
        <v>2.0</v>
      </c>
      <c r="G685" t="s">
        <v>188</v>
      </c>
      <c r="H685" t="s">
        <v>828</v>
      </c>
    </row>
    <row r="686">
      <c r="A686" t="str">
        <f t="shared" si="1"/>
        <v>Shaman44</v>
      </c>
      <c r="B686" t="s">
        <v>105</v>
      </c>
      <c r="C686" t="s">
        <v>766</v>
      </c>
      <c r="D686" t="s">
        <v>72</v>
      </c>
      <c r="E686" t="s">
        <v>15</v>
      </c>
      <c r="F686">
        <v>2.0</v>
      </c>
      <c r="G686" t="s">
        <v>188</v>
      </c>
      <c r="H686" t="s">
        <v>737</v>
      </c>
    </row>
    <row r="687">
      <c r="A687" t="str">
        <f t="shared" si="1"/>
        <v>Neutral290</v>
      </c>
      <c r="B687" t="s">
        <v>105</v>
      </c>
      <c r="C687" t="s">
        <v>1071</v>
      </c>
      <c r="D687" t="s">
        <v>77</v>
      </c>
      <c r="E687" t="s">
        <v>15</v>
      </c>
      <c r="F687">
        <v>1.0</v>
      </c>
      <c r="G687" t="s">
        <v>188</v>
      </c>
    </row>
    <row r="688">
      <c r="A688" t="str">
        <f t="shared" si="1"/>
        <v>Neutral291</v>
      </c>
      <c r="B688" t="s">
        <v>105</v>
      </c>
      <c r="C688" t="s">
        <v>1187</v>
      </c>
      <c r="D688" t="s">
        <v>77</v>
      </c>
      <c r="E688" t="s">
        <v>15</v>
      </c>
      <c r="F688">
        <v>4.0</v>
      </c>
      <c r="G688" t="s">
        <v>188</v>
      </c>
    </row>
    <row r="689">
      <c r="A689" t="str">
        <f t="shared" si="1"/>
        <v>Paladin44</v>
      </c>
      <c r="B689" t="s">
        <v>105</v>
      </c>
      <c r="C689" t="s">
        <v>524</v>
      </c>
      <c r="D689" t="s">
        <v>68</v>
      </c>
      <c r="E689" t="s">
        <v>21</v>
      </c>
      <c r="F689">
        <v>5.0</v>
      </c>
      <c r="G689" t="s">
        <v>188</v>
      </c>
    </row>
    <row r="690">
      <c r="A690" t="str">
        <f t="shared" si="1"/>
        <v>Shaman45</v>
      </c>
      <c r="B690" t="s">
        <v>105</v>
      </c>
      <c r="C690" t="s">
        <v>769</v>
      </c>
      <c r="D690" t="s">
        <v>72</v>
      </c>
      <c r="E690" t="s">
        <v>15</v>
      </c>
      <c r="F690">
        <v>3.0</v>
      </c>
      <c r="G690" t="s">
        <v>188</v>
      </c>
    </row>
    <row r="691">
      <c r="A691" t="str">
        <f t="shared" si="1"/>
        <v>Neutral292</v>
      </c>
      <c r="B691" t="s">
        <v>105</v>
      </c>
      <c r="C691" t="s">
        <v>1374</v>
      </c>
      <c r="D691" t="s">
        <v>77</v>
      </c>
      <c r="E691" t="s">
        <v>22</v>
      </c>
      <c r="F691">
        <v>4.0</v>
      </c>
      <c r="G691" t="s">
        <v>188</v>
      </c>
      <c r="H691" t="s">
        <v>446</v>
      </c>
    </row>
    <row r="692">
      <c r="A692" t="str">
        <f t="shared" si="1"/>
        <v>Rogue45</v>
      </c>
      <c r="B692" t="s">
        <v>105</v>
      </c>
      <c r="C692" t="s">
        <v>1781</v>
      </c>
      <c r="D692" t="s">
        <v>70</v>
      </c>
      <c r="E692" t="s">
        <v>15</v>
      </c>
      <c r="F692">
        <v>2.0</v>
      </c>
      <c r="G692" t="s">
        <v>188</v>
      </c>
    </row>
    <row r="693">
      <c r="A693" t="str">
        <f t="shared" si="1"/>
        <v>Warrior45</v>
      </c>
      <c r="B693" t="s">
        <v>105</v>
      </c>
      <c r="C693" t="s">
        <v>993</v>
      </c>
      <c r="D693" t="s">
        <v>75</v>
      </c>
      <c r="E693" t="s">
        <v>23</v>
      </c>
      <c r="F693">
        <v>10.0</v>
      </c>
      <c r="G693" t="s">
        <v>188</v>
      </c>
    </row>
    <row r="694">
      <c r="A694" t="str">
        <f t="shared" si="1"/>
        <v>Warlock43</v>
      </c>
      <c r="B694" t="s">
        <v>105</v>
      </c>
      <c r="C694" t="s">
        <v>886</v>
      </c>
      <c r="D694" t="s">
        <v>73</v>
      </c>
      <c r="E694" t="s">
        <v>21</v>
      </c>
      <c r="F694">
        <v>6.0</v>
      </c>
      <c r="G694" t="s">
        <v>188</v>
      </c>
      <c r="H694" t="s">
        <v>828</v>
      </c>
    </row>
    <row r="695">
      <c r="A695" t="str">
        <f t="shared" si="1"/>
        <v>Paladin45</v>
      </c>
      <c r="B695" t="s">
        <v>105</v>
      </c>
      <c r="C695" t="s">
        <v>495</v>
      </c>
      <c r="D695" t="s">
        <v>68</v>
      </c>
      <c r="E695" t="s">
        <v>15</v>
      </c>
      <c r="F695">
        <v>3.0</v>
      </c>
      <c r="G695" t="s">
        <v>188</v>
      </c>
    </row>
    <row r="696">
      <c r="A696" t="str">
        <f t="shared" si="1"/>
        <v>Druid45</v>
      </c>
      <c r="B696" t="s">
        <v>105</v>
      </c>
      <c r="C696" t="s">
        <v>219</v>
      </c>
      <c r="D696" t="s">
        <v>60</v>
      </c>
      <c r="E696" t="s">
        <v>15</v>
      </c>
      <c r="F696">
        <v>4.0</v>
      </c>
      <c r="G696" t="s">
        <v>188</v>
      </c>
    </row>
    <row r="697">
      <c r="A697" t="str">
        <f t="shared" si="1"/>
        <v>Warlock44</v>
      </c>
      <c r="B697" t="s">
        <v>105</v>
      </c>
      <c r="C697" t="s">
        <v>902</v>
      </c>
      <c r="D697" t="s">
        <v>73</v>
      </c>
      <c r="E697" t="s">
        <v>23</v>
      </c>
      <c r="F697">
        <v>6.0</v>
      </c>
      <c r="G697" t="s">
        <v>188</v>
      </c>
    </row>
    <row r="698">
      <c r="A698" t="str">
        <f t="shared" si="1"/>
        <v>Warlock45</v>
      </c>
      <c r="B698" t="s">
        <v>105</v>
      </c>
      <c r="C698" t="s">
        <v>851</v>
      </c>
      <c r="D698" t="s">
        <v>73</v>
      </c>
      <c r="E698" t="s">
        <v>15</v>
      </c>
      <c r="F698">
        <v>2.0</v>
      </c>
      <c r="G698" t="s">
        <v>188</v>
      </c>
      <c r="H698" t="s">
        <v>828</v>
      </c>
    </row>
    <row r="699">
      <c r="A699" t="str">
        <f t="shared" si="1"/>
        <v>Priest45</v>
      </c>
      <c r="B699" t="s">
        <v>105</v>
      </c>
      <c r="C699" t="s">
        <v>1782</v>
      </c>
      <c r="D699" t="s">
        <v>69</v>
      </c>
      <c r="E699" t="s">
        <v>21</v>
      </c>
      <c r="F699">
        <v>2.0</v>
      </c>
      <c r="G699" t="s">
        <v>188</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