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HA\Desktop\"/>
    </mc:Choice>
  </mc:AlternateContent>
  <bookViews>
    <workbookView xWindow="0" yWindow="0" windowWidth="9792" windowHeight="703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P23" i="2"/>
  <c r="O23" i="2"/>
  <c r="N23" i="2"/>
  <c r="M23" i="2"/>
  <c r="K23" i="2"/>
  <c r="S16" i="2"/>
  <c r="S17" i="2"/>
  <c r="R17" i="2"/>
  <c r="R16" i="2"/>
  <c r="P17" i="2"/>
  <c r="P16" i="2"/>
  <c r="O16" i="2"/>
  <c r="O17" i="2"/>
  <c r="N17" i="2"/>
  <c r="N16" i="2"/>
  <c r="K17" i="2"/>
  <c r="L17" i="2" s="1"/>
  <c r="K16" i="2"/>
  <c r="L16" i="2" s="1"/>
  <c r="G126" i="1" l="1"/>
  <c r="G124" i="1"/>
  <c r="G123" i="1"/>
  <c r="E133" i="1"/>
  <c r="E126" i="1"/>
  <c r="E129" i="1"/>
  <c r="E130" i="1"/>
  <c r="E131" i="1"/>
  <c r="E132" i="1"/>
  <c r="E128" i="1"/>
  <c r="E122" i="1"/>
  <c r="E123" i="1"/>
  <c r="E124" i="1"/>
  <c r="E125" i="1"/>
  <c r="E121" i="1"/>
  <c r="D124" i="1"/>
  <c r="D122" i="1"/>
  <c r="D123" i="1"/>
  <c r="D121" i="1"/>
  <c r="D125" i="1"/>
  <c r="D131" i="1"/>
  <c r="D132" i="1"/>
  <c r="D130" i="1"/>
  <c r="D129" i="1"/>
  <c r="D128" i="1"/>
  <c r="E110" i="1"/>
  <c r="C110" i="1"/>
  <c r="F109" i="1"/>
  <c r="G109" i="1" s="1"/>
  <c r="H109" i="1" s="1"/>
  <c r="F105" i="1"/>
  <c r="G105" i="1" s="1"/>
  <c r="H105" i="1" s="1"/>
  <c r="F100" i="1"/>
  <c r="G100" i="1" s="1"/>
  <c r="H100" i="1" s="1"/>
  <c r="F102" i="1"/>
  <c r="G102" i="1" s="1"/>
  <c r="H102" i="1" s="1"/>
  <c r="F108" i="1"/>
  <c r="G108" i="1" s="1"/>
  <c r="H108" i="1" s="1"/>
  <c r="F104" i="1"/>
  <c r="G104" i="1" s="1"/>
  <c r="F107" i="1"/>
  <c r="G107" i="1" s="1"/>
  <c r="F103" i="1"/>
  <c r="G103" i="1" s="1"/>
  <c r="H103" i="1" s="1"/>
  <c r="F106" i="1"/>
  <c r="G106" i="1" s="1"/>
  <c r="H106" i="1" s="1"/>
  <c r="F101" i="1"/>
  <c r="G101" i="1" s="1"/>
  <c r="H101" i="1" s="1"/>
  <c r="H104" i="1" l="1"/>
  <c r="H107" i="1"/>
  <c r="C90" i="1"/>
  <c r="J82" i="1"/>
  <c r="J77" i="1"/>
  <c r="J80" i="1"/>
  <c r="I80" i="1"/>
  <c r="B90" i="1"/>
  <c r="G78" i="1" l="1"/>
  <c r="J79" i="1"/>
  <c r="I81" i="1"/>
  <c r="B82" i="1"/>
  <c r="C82" i="1"/>
  <c r="K80" i="1"/>
  <c r="C73" i="1"/>
  <c r="I77" i="1"/>
  <c r="H77" i="1"/>
  <c r="H78" i="1"/>
  <c r="I78" i="1"/>
  <c r="J78" i="1"/>
  <c r="K78" i="1"/>
  <c r="G79" i="1"/>
  <c r="H79" i="1"/>
  <c r="I79" i="1"/>
  <c r="K79" i="1"/>
  <c r="G80" i="1"/>
  <c r="H80" i="1"/>
  <c r="G81" i="1"/>
  <c r="H81" i="1"/>
  <c r="J81" i="1"/>
  <c r="K81" i="1"/>
  <c r="G82" i="1"/>
  <c r="H82" i="1"/>
  <c r="I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K77" i="1"/>
  <c r="G77" i="1"/>
  <c r="B73" i="1"/>
  <c r="B66" i="1"/>
  <c r="C49" i="1"/>
  <c r="C33" i="1"/>
  <c r="L8" i="1"/>
  <c r="L5" i="1"/>
  <c r="D6" i="1"/>
  <c r="D13" i="1" s="1"/>
  <c r="D50" i="1" l="1"/>
  <c r="C50" i="1"/>
  <c r="F13" i="1"/>
  <c r="G13" i="1"/>
  <c r="D7" i="1"/>
  <c r="D12" i="1"/>
  <c r="D11" i="1"/>
  <c r="C51" i="1" l="1"/>
  <c r="D51" i="1"/>
  <c r="D24" i="1"/>
  <c r="D23" i="1"/>
  <c r="G7" i="1"/>
  <c r="D20" i="1"/>
  <c r="D21" i="1"/>
  <c r="D22" i="1"/>
  <c r="F12" i="1"/>
  <c r="G12" i="1"/>
  <c r="H12" i="1" s="1"/>
  <c r="F11" i="1"/>
  <c r="G11" i="1"/>
  <c r="H11" i="1" s="1"/>
  <c r="H13" i="1"/>
  <c r="C52" i="1" l="1"/>
  <c r="D52" i="1"/>
  <c r="F20" i="1"/>
  <c r="G20" i="1"/>
  <c r="L9" i="1"/>
  <c r="L10" i="1" s="1"/>
  <c r="L11" i="1" s="1"/>
  <c r="F21" i="1"/>
  <c r="G21" i="1"/>
  <c r="H21" i="1" s="1"/>
  <c r="G14" i="1"/>
  <c r="F22" i="1"/>
  <c r="G22" i="1"/>
  <c r="H22" i="1" s="1"/>
  <c r="F23" i="1"/>
  <c r="G23" i="1"/>
  <c r="H23" i="1" s="1"/>
  <c r="F14" i="1"/>
  <c r="F24" i="1"/>
  <c r="G24" i="1"/>
  <c r="H24" i="1" s="1"/>
  <c r="C53" i="1" l="1"/>
  <c r="D53" i="1"/>
  <c r="H20" i="1"/>
  <c r="G25" i="1"/>
  <c r="F25" i="1"/>
  <c r="F27" i="1" s="1"/>
  <c r="C54" i="1" l="1"/>
  <c r="D54" i="1"/>
  <c r="C55" i="1" l="1"/>
  <c r="D55" i="1"/>
  <c r="D59" i="1" s="1"/>
  <c r="C56" i="1" l="1"/>
  <c r="D56" i="1"/>
  <c r="C57" i="1" l="1"/>
  <c r="D57" i="1"/>
  <c r="C58" i="1" l="1"/>
  <c r="D58" i="1"/>
</calcChain>
</file>

<file path=xl/sharedStrings.xml><?xml version="1.0" encoding="utf-8"?>
<sst xmlns="http://schemas.openxmlformats.org/spreadsheetml/2006/main" count="230" uniqueCount="126">
  <si>
    <t>Market Share</t>
  </si>
  <si>
    <t>CC</t>
  </si>
  <si>
    <t>Existing EC</t>
  </si>
  <si>
    <t>%</t>
  </si>
  <si>
    <t>Electric Car market share</t>
  </si>
  <si>
    <t>i-gen</t>
  </si>
  <si>
    <t>fluent</t>
  </si>
  <si>
    <t>sky EV</t>
  </si>
  <si>
    <t>Conventional car</t>
  </si>
  <si>
    <t>speedx</t>
  </si>
  <si>
    <t>GMW Model T</t>
  </si>
  <si>
    <t>BoltMV</t>
  </si>
  <si>
    <t>Chance-p</t>
  </si>
  <si>
    <t>Blink -ZX</t>
  </si>
  <si>
    <t>Cars</t>
  </si>
  <si>
    <t>cars</t>
  </si>
  <si>
    <t>Rs (1000)</t>
  </si>
  <si>
    <t>Rs(1000)</t>
  </si>
  <si>
    <t>Total</t>
  </si>
  <si>
    <t>total</t>
  </si>
  <si>
    <t>e</t>
  </si>
  <si>
    <t>(1000s)</t>
  </si>
  <si>
    <t>cars shifts</t>
  </si>
  <si>
    <t>fixed</t>
  </si>
  <si>
    <t>max revenue loss</t>
  </si>
  <si>
    <t>Revenue</t>
  </si>
  <si>
    <t>Revenue loss</t>
  </si>
  <si>
    <t>Market share</t>
  </si>
  <si>
    <t>grow</t>
  </si>
  <si>
    <t xml:space="preserve">Electra </t>
  </si>
  <si>
    <t>New 2021</t>
  </si>
  <si>
    <t>5% definetly shift</t>
  </si>
  <si>
    <t>25% of all expensive</t>
  </si>
  <si>
    <t>2nd</t>
  </si>
  <si>
    <t>Cost</t>
  </si>
  <si>
    <t>Fluent</t>
  </si>
  <si>
    <t>in this year</t>
  </si>
  <si>
    <t>Growth</t>
  </si>
  <si>
    <t>Revenue in year</t>
  </si>
  <si>
    <t>Marketing mix strategy</t>
  </si>
  <si>
    <t>Budget</t>
  </si>
  <si>
    <t>million</t>
  </si>
  <si>
    <t>Events</t>
  </si>
  <si>
    <t>social media</t>
  </si>
  <si>
    <t>TV</t>
  </si>
  <si>
    <t>Print</t>
  </si>
  <si>
    <t>Online</t>
  </si>
  <si>
    <t>Tv</t>
  </si>
  <si>
    <t>online</t>
  </si>
  <si>
    <t>Percentage of budget</t>
  </si>
  <si>
    <t>C</t>
  </si>
  <si>
    <t>Mumbai</t>
  </si>
  <si>
    <t>Delhi</t>
  </si>
  <si>
    <t>Bangalore</t>
  </si>
  <si>
    <t>Hyderabad</t>
  </si>
  <si>
    <t>Ahmedabad</t>
  </si>
  <si>
    <t>Chennai</t>
  </si>
  <si>
    <t>Kolkata</t>
  </si>
  <si>
    <t>Surat</t>
  </si>
  <si>
    <t>Pune</t>
  </si>
  <si>
    <t>Jaipur</t>
  </si>
  <si>
    <t>Income Rank</t>
  </si>
  <si>
    <t>Wr</t>
  </si>
  <si>
    <t>Final Rank</t>
  </si>
  <si>
    <t>Population</t>
  </si>
  <si>
    <t>Rank</t>
  </si>
  <si>
    <t>PCI</t>
  </si>
  <si>
    <t xml:space="preserve">Rank </t>
  </si>
  <si>
    <t>commission</t>
  </si>
  <si>
    <t>A</t>
  </si>
  <si>
    <t>B</t>
  </si>
  <si>
    <t>D</t>
  </si>
  <si>
    <t>E</t>
  </si>
  <si>
    <t>Unit</t>
  </si>
  <si>
    <t>F</t>
  </si>
  <si>
    <t>G</t>
  </si>
  <si>
    <t>H</t>
  </si>
  <si>
    <t>I</t>
  </si>
  <si>
    <t>J</t>
  </si>
  <si>
    <t xml:space="preserve">each </t>
  </si>
  <si>
    <t>Car model</t>
  </si>
  <si>
    <t>Capacity</t>
  </si>
  <si>
    <t>Engine Displacement (in cc)</t>
  </si>
  <si>
    <t>Hatchback</t>
  </si>
  <si>
    <t>SUV</t>
  </si>
  <si>
    <t>Sedan</t>
  </si>
  <si>
    <t>City</t>
  </si>
  <si>
    <t>Subsidy(On Ex-Showroom price)</t>
  </si>
  <si>
    <t>Below 900</t>
  </si>
  <si>
    <t>900-1500</t>
  </si>
  <si>
    <t>1500 and above</t>
  </si>
  <si>
    <t>Seating capacity</t>
  </si>
  <si>
    <t>Road tax(whichever is higher)</t>
  </si>
  <si>
    <t>4</t>
  </si>
  <si>
    <t>5.5% of Ex-showroom price or  30000</t>
  </si>
  <si>
    <t>5-6</t>
  </si>
  <si>
    <t xml:space="preserve">7% of Ex-showroom price or 45000 </t>
  </si>
  <si>
    <t>7-9</t>
  </si>
  <si>
    <t>10%  of Ex-showroom price or 55000</t>
  </si>
  <si>
    <t>5.5% of Ex-showroom price  or  40000</t>
  </si>
  <si>
    <t xml:space="preserve">7% of Ex-showroom price or  55000 </t>
  </si>
  <si>
    <t>10% of Ex-showroom price  or 80000</t>
  </si>
  <si>
    <t>5.5% of Ex-showroom price  or  35000</t>
  </si>
  <si>
    <t xml:space="preserve">7% of Ex-showroom price or 50000 </t>
  </si>
  <si>
    <t>10% of Ex-showroom price or 75000</t>
  </si>
  <si>
    <t>Ex showroom price(in lacs)</t>
  </si>
  <si>
    <t>Insurance</t>
  </si>
  <si>
    <t>Duration (in months)</t>
  </si>
  <si>
    <t>Interest Per Year*</t>
  </si>
  <si>
    <t>lakhs</t>
  </si>
  <si>
    <t>Road tax</t>
  </si>
  <si>
    <t>GS</t>
  </si>
  <si>
    <t>PER</t>
  </si>
  <si>
    <t>ON ROAD PRICE</t>
  </si>
  <si>
    <t>DP</t>
  </si>
  <si>
    <t>Interst</t>
  </si>
  <si>
    <t>TCI final</t>
  </si>
  <si>
    <t>Maintenance cost per year</t>
  </si>
  <si>
    <t xml:space="preserve">Mileage (Km/KWhr) </t>
  </si>
  <si>
    <t>State</t>
  </si>
  <si>
    <t>Electricity price per KWhr</t>
  </si>
  <si>
    <t>orp</t>
  </si>
  <si>
    <t>Rm</t>
  </si>
  <si>
    <t>Interest</t>
  </si>
  <si>
    <t>TM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</si>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</sst>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₹-4009]\ * #,##0.00_ ;_ [$₹-4009]\ * \-#,##0.00_ ;_ [$₹-4009]\ * &quot;-&quot;??_ ;_ @_ 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4" fillId="0" borderId="0" xfId="0" applyFont="1"/>
    <xf numFmtId="0" fontId="0" fillId="0" borderId="0" xfId="0" applyFill="1"/>
    <xf numFmtId="0" fontId="0" fillId="0" borderId="0" xfId="0" applyFill="1" applyBorder="1"/>
    <xf numFmtId="0" fontId="4" fillId="8" borderId="0" xfId="0" applyFont="1" applyFill="1"/>
    <xf numFmtId="9" fontId="0" fillId="4" borderId="0" xfId="0" applyNumberFormat="1" applyFill="1"/>
    <xf numFmtId="0" fontId="6" fillId="7" borderId="0" xfId="0" applyFont="1" applyFill="1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9" fontId="0" fillId="0" borderId="9" xfId="0" applyNumberFormat="1" applyBorder="1"/>
    <xf numFmtId="0" fontId="0" fillId="0" borderId="10" xfId="0" applyBorder="1"/>
    <xf numFmtId="0" fontId="4" fillId="9" borderId="4" xfId="0" applyFont="1" applyFill="1" applyBorder="1"/>
    <xf numFmtId="0" fontId="4" fillId="9" borderId="5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0" fontId="3" fillId="0" borderId="0" xfId="0" applyFont="1"/>
    <xf numFmtId="0" fontId="3" fillId="4" borderId="0" xfId="0" applyFont="1" applyFill="1"/>
    <xf numFmtId="0" fontId="7" fillId="0" borderId="0" xfId="0" applyFont="1"/>
    <xf numFmtId="0" fontId="2" fillId="10" borderId="0" xfId="0" applyFont="1" applyFill="1"/>
    <xf numFmtId="0" fontId="3" fillId="11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3" xfId="0" applyFont="1" applyBorder="1"/>
    <xf numFmtId="0" fontId="3" fillId="11" borderId="15" xfId="0" applyFont="1" applyFill="1" applyBorder="1"/>
    <xf numFmtId="0" fontId="3" fillId="11" borderId="16" xfId="0" applyFont="1" applyFill="1" applyBorder="1"/>
    <xf numFmtId="0" fontId="0" fillId="12" borderId="0" xfId="0" applyFill="1"/>
    <xf numFmtId="164" fontId="0" fillId="0" borderId="0" xfId="0" applyNumberFormat="1"/>
    <xf numFmtId="164" fontId="0" fillId="12" borderId="2" xfId="0" applyNumberFormat="1" applyFill="1" applyBorder="1"/>
    <xf numFmtId="9" fontId="0" fillId="0" borderId="0" xfId="0" applyNumberFormat="1" applyBorder="1"/>
    <xf numFmtId="0" fontId="8" fillId="3" borderId="13" xfId="0" applyFont="1" applyFill="1" applyBorder="1"/>
    <xf numFmtId="0" fontId="8" fillId="11" borderId="13" xfId="0" applyFont="1" applyFill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Fill="1" applyBorder="1"/>
    <xf numFmtId="165" fontId="0" fillId="5" borderId="0" xfId="0" applyNumberFormat="1" applyFill="1" applyBorder="1"/>
    <xf numFmtId="164" fontId="0" fillId="5" borderId="0" xfId="0" applyNumberFormat="1" applyFill="1"/>
    <xf numFmtId="0" fontId="8" fillId="0" borderId="13" xfId="0" applyFont="1" applyFill="1" applyBorder="1"/>
    <xf numFmtId="0" fontId="8" fillId="0" borderId="0" xfId="0" applyFont="1" applyFill="1" applyBorder="1"/>
    <xf numFmtId="165" fontId="3" fillId="11" borderId="0" xfId="0" applyNumberFormat="1" applyFont="1" applyFill="1" applyBorder="1"/>
    <xf numFmtId="164" fontId="3" fillId="11" borderId="0" xfId="0" applyNumberFormat="1" applyFont="1" applyFill="1"/>
    <xf numFmtId="9" fontId="0" fillId="0" borderId="0" xfId="1" applyFont="1"/>
    <xf numFmtId="1" fontId="0" fillId="0" borderId="0" xfId="0" applyNumberFormat="1"/>
    <xf numFmtId="0" fontId="8" fillId="11" borderId="0" xfId="0" applyFont="1" applyFill="1" applyBorder="1"/>
    <xf numFmtId="0" fontId="8" fillId="3" borderId="0" xfId="0" applyFont="1" applyFill="1" applyBorder="1"/>
    <xf numFmtId="164" fontId="0" fillId="3" borderId="0" xfId="0" applyNumberFormat="1" applyFill="1" applyBorder="1"/>
    <xf numFmtId="0" fontId="8" fillId="2" borderId="13" xfId="0" applyFont="1" applyFill="1" applyBorder="1"/>
    <xf numFmtId="9" fontId="0" fillId="2" borderId="0" xfId="0" applyNumberFormat="1" applyFill="1"/>
    <xf numFmtId="9" fontId="0" fillId="2" borderId="0" xfId="1" applyFont="1" applyFill="1"/>
    <xf numFmtId="0" fontId="4" fillId="0" borderId="0" xfId="0" applyFont="1" applyFill="1"/>
    <xf numFmtId="0" fontId="4" fillId="13" borderId="0" xfId="0" applyFont="1" applyFill="1"/>
    <xf numFmtId="0" fontId="4" fillId="14" borderId="0" xfId="0" applyFont="1" applyFill="1"/>
    <xf numFmtId="166" fontId="0" fillId="0" borderId="0" xfId="0" applyNumberFormat="1"/>
    <xf numFmtId="10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3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4" fillId="10" borderId="0" xfId="0" applyFont="1" applyFill="1"/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2989E-3"/>
          <c:y val="0.2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25371828521429E-2"/>
          <c:y val="9.4872776319626706E-2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Sheet1!$G$65</c:f>
              <c:strCache>
                <c:ptCount val="1"/>
                <c:pt idx="0">
                  <c:v>Events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Sheet1!$F$66:$F$76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 formatCode="General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Sheet1!$G$66:$G$76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2-4FC8-8C57-EF31CBD5BA73}"/>
            </c:ext>
          </c:extLst>
        </c:ser>
        <c:ser>
          <c:idx val="1"/>
          <c:order val="1"/>
          <c:tx>
            <c:strRef>
              <c:f>Sheet1!$H$65</c:f>
              <c:strCache>
                <c:ptCount val="1"/>
                <c:pt idx="0">
                  <c:v>social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Sheet1!$F$66:$F$76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 formatCode="General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2-4FC8-8C57-EF31CBD5BA73}"/>
            </c:ext>
          </c:extLst>
        </c:ser>
        <c:ser>
          <c:idx val="2"/>
          <c:order val="2"/>
          <c:tx>
            <c:strRef>
              <c:f>Sheet1!$I$65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Sheet1!$F$66:$F$76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 formatCode="General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Sheet1!$I$66:$I$76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60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2-4FC8-8C57-EF31CBD5BA73}"/>
            </c:ext>
          </c:extLst>
        </c:ser>
        <c:ser>
          <c:idx val="3"/>
          <c:order val="3"/>
          <c:tx>
            <c:strRef>
              <c:f>Sheet1!$J$65</c:f>
              <c:strCache>
                <c:ptCount val="1"/>
                <c:pt idx="0">
                  <c:v>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Sheet1!$F$66:$F$76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 formatCode="General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45</c:v>
                </c:pt>
                <c:pt idx="6">
                  <c:v>65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2-4FC8-8C57-EF31CBD5BA73}"/>
            </c:ext>
          </c:extLst>
        </c:ser>
        <c:ser>
          <c:idx val="4"/>
          <c:order val="4"/>
          <c:tx>
            <c:strRef>
              <c:f>Sheet1!$K$65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Sheet1!$F$66:$F$76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 formatCode="General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Sheet1!$K$66:$K$76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A2-4FC8-8C57-EF31CBD5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54431"/>
        <c:axId val="654765663"/>
      </c:scatterChart>
      <c:valAx>
        <c:axId val="654754431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5663"/>
        <c:crosses val="autoZero"/>
        <c:crossBetween val="midCat"/>
        <c:majorUnit val="10"/>
      </c:valAx>
      <c:valAx>
        <c:axId val="6547656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1156855</xdr:colOff>
      <xdr:row>31</xdr:row>
      <xdr:rowOff>103909</xdr:rowOff>
    </xdr:from>
    <xdr:to>
      <xdr:col>14</xdr:col>
      <xdr:colOff>256309</xdr:colOff>
      <xdr:row>44</xdr:row>
      <xdr:rowOff>69273</xdr:rowOff>
    </xdr:to>
    <xdr:pic>
      <xdr:nvPicPr>
        <xdr:cNvPr id="4" name="Picture 3" descr="ZS Campus Beats Case Challenge.pptx - PowerPoint (Product Activation Failed)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25" t="62958" r="23509" b="6856"/>
        <a:stretch/>
      </xdr:blipFill>
      <xdr:spPr>
        <a:xfrm>
          <a:off x="5188528" y="5839691"/>
          <a:ext cx="7592291" cy="2334491"/>
        </a:xfrm>
        <a:prstGeom prst="rect">
          <a:avLst/>
        </a:prstGeom>
      </xdr:spPr>
    </xdr:pic>
    <xdr:clientData/>
  </xdr:twoCellAnchor>
  <xdr:twoCellAnchor>
    <xdr:from>
      <xdr:col>6</xdr:col>
      <xdr:colOff>34633</xdr:colOff>
      <xdr:row>76</xdr:row>
      <xdr:rowOff>93522</xdr:rowOff>
    </xdr:from>
    <xdr:to>
      <xdr:col>12</xdr:col>
      <xdr:colOff>34633</xdr:colOff>
      <xdr:row>91</xdr:row>
      <xdr:rowOff>135086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603250</xdr:colOff>
      <xdr:row>0</xdr:row>
      <xdr:rowOff>0</xdr:rowOff>
    </xdr:from>
    <xdr:to>
      <xdr:col>21</xdr:col>
      <xdr:colOff>82550</xdr:colOff>
      <xdr:row>30</xdr:row>
      <xdr:rowOff>50800</xdr:rowOff>
    </xdr:to>
    <xdr:pic>
      <xdr:nvPicPr>
        <xdr:cNvPr id="2" name="Picture 1" descr="ZS Campus Beats Case Challenge.pptx - PowerPoint (Product Activation Failed)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6668750" y="0"/>
          <a:ext cx="698500" cy="630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topLeftCell="A96" zoomScale="110" zoomScaleNormal="110" workbookViewId="0">
      <selection activeCell="A139" sqref="A139"/>
    </sheetView>
  </sheetViews>
  <sheetFormatPr defaultRowHeight="14.4" x14ac:dyDescent="0.3"/>
  <cols>
    <col min="1" max="1" width="13.44140625" customWidth="1"/>
    <col min="2" max="2" width="24.5546875" bestFit="1" customWidth="1"/>
    <col min="3" max="3" width="20.6640625" customWidth="1"/>
    <col min="4" max="4" width="19.33203125" bestFit="1" customWidth="1"/>
    <col min="5" max="5" width="8.6640625" bestFit="1" customWidth="1"/>
    <col min="6" max="6" width="11.44140625" customWidth="1"/>
    <col min="7" max="7" width="9.33203125" bestFit="1" customWidth="1"/>
    <col min="8" max="8" width="11.88671875" bestFit="1" customWidth="1"/>
    <col min="11" max="11" width="18.77734375" customWidth="1"/>
  </cols>
  <sheetData>
    <row r="2" spans="2:13" ht="20.399999999999999" x14ac:dyDescent="0.35">
      <c r="B2" s="9">
        <v>2020</v>
      </c>
    </row>
    <row r="3" spans="2:13" x14ac:dyDescent="0.3">
      <c r="L3" s="22">
        <v>1.2</v>
      </c>
    </row>
    <row r="4" spans="2:13" ht="15" thickBot="1" x14ac:dyDescent="0.35">
      <c r="B4" t="s">
        <v>0</v>
      </c>
      <c r="C4">
        <v>100000</v>
      </c>
      <c r="K4" s="19">
        <v>2021</v>
      </c>
      <c r="L4" t="s">
        <v>28</v>
      </c>
      <c r="M4" s="1">
        <v>0.05</v>
      </c>
    </row>
    <row r="5" spans="2:13" x14ac:dyDescent="0.3">
      <c r="B5" s="11"/>
      <c r="C5" s="15" t="s">
        <v>3</v>
      </c>
      <c r="D5" s="16" t="s">
        <v>15</v>
      </c>
      <c r="G5" s="4" t="s">
        <v>15</v>
      </c>
      <c r="H5" s="4" t="s">
        <v>3</v>
      </c>
      <c r="K5" t="s">
        <v>27</v>
      </c>
      <c r="L5">
        <f>(C4*(1+M4))</f>
        <v>105000</v>
      </c>
    </row>
    <row r="6" spans="2:13" ht="15" thickBot="1" x14ac:dyDescent="0.35">
      <c r="B6" s="17" t="s">
        <v>2</v>
      </c>
      <c r="C6" s="10">
        <v>0.1</v>
      </c>
      <c r="D6" s="12">
        <f>C4*C6</f>
        <v>10000</v>
      </c>
      <c r="G6" s="4" t="s">
        <v>20</v>
      </c>
      <c r="H6" s="4">
        <v>12</v>
      </c>
      <c r="K6" t="s">
        <v>29</v>
      </c>
    </row>
    <row r="7" spans="2:13" ht="15" thickBot="1" x14ac:dyDescent="0.35">
      <c r="B7" s="18" t="s">
        <v>1</v>
      </c>
      <c r="C7" s="13">
        <v>0.9</v>
      </c>
      <c r="D7" s="14">
        <f>C4-D6</f>
        <v>90000</v>
      </c>
      <c r="G7" s="4">
        <f>D7+2500</f>
        <v>92500</v>
      </c>
      <c r="H7" s="4"/>
      <c r="K7" s="24" t="s">
        <v>30</v>
      </c>
      <c r="L7" s="25">
        <v>2500</v>
      </c>
    </row>
    <row r="8" spans="2:13" x14ac:dyDescent="0.3">
      <c r="F8" t="s">
        <v>23</v>
      </c>
      <c r="G8" s="1">
        <v>0.05</v>
      </c>
      <c r="K8" s="26" t="s">
        <v>31</v>
      </c>
      <c r="L8" s="27">
        <f>C4*5%</f>
        <v>5000</v>
      </c>
    </row>
    <row r="9" spans="2:13" ht="15.6" x14ac:dyDescent="0.3">
      <c r="B9" s="21" t="s">
        <v>4</v>
      </c>
      <c r="C9" s="21"/>
      <c r="K9" s="26" t="s">
        <v>32</v>
      </c>
      <c r="L9" s="27">
        <f>SUM(D13,D20,D21)*25%</f>
        <v>5125</v>
      </c>
    </row>
    <row r="10" spans="2:13" x14ac:dyDescent="0.3">
      <c r="C10" s="19" t="s">
        <v>3</v>
      </c>
      <c r="D10" s="19" t="s">
        <v>14</v>
      </c>
      <c r="E10" s="19" t="s">
        <v>17</v>
      </c>
      <c r="F10" s="19" t="s">
        <v>25</v>
      </c>
      <c r="G10" s="19" t="s">
        <v>22</v>
      </c>
      <c r="H10" s="19" t="s">
        <v>26</v>
      </c>
      <c r="K10" s="28" t="s">
        <v>18</v>
      </c>
      <c r="L10" s="27">
        <f>SUM(L7:L9)</f>
        <v>12625</v>
      </c>
    </row>
    <row r="11" spans="2:13" ht="15" thickBot="1" x14ac:dyDescent="0.35">
      <c r="B11" s="19" t="s">
        <v>5</v>
      </c>
      <c r="C11" s="1">
        <v>0.3</v>
      </c>
      <c r="D11">
        <f>$D$6*C11</f>
        <v>3000</v>
      </c>
      <c r="E11">
        <v>3500</v>
      </c>
      <c r="F11">
        <f>E11*D11</f>
        <v>10500000</v>
      </c>
      <c r="G11">
        <f>$G$8*D11</f>
        <v>150</v>
      </c>
      <c r="H11" s="5">
        <f>G11*E11</f>
        <v>525000</v>
      </c>
      <c r="K11" s="29" t="s">
        <v>27</v>
      </c>
      <c r="L11" s="30">
        <f>L10*100/L5</f>
        <v>12.023809523809524</v>
      </c>
    </row>
    <row r="12" spans="2:13" x14ac:dyDescent="0.3">
      <c r="B12" s="19" t="s">
        <v>6</v>
      </c>
      <c r="C12" s="1">
        <v>0.45</v>
      </c>
      <c r="D12">
        <f t="shared" ref="D12:D13" si="0">$D$6*C12</f>
        <v>4500</v>
      </c>
      <c r="E12">
        <v>3000</v>
      </c>
      <c r="F12">
        <f t="shared" ref="F12:F13" si="1">E12*D12</f>
        <v>13500000</v>
      </c>
      <c r="G12">
        <f t="shared" ref="G12:G24" si="2">$G$8*D12</f>
        <v>225</v>
      </c>
      <c r="H12" s="5">
        <f t="shared" ref="H12:H13" si="3">G12*E12</f>
        <v>675000</v>
      </c>
    </row>
    <row r="13" spans="2:13" x14ac:dyDescent="0.3">
      <c r="B13" s="20" t="s">
        <v>7</v>
      </c>
      <c r="C13" s="8">
        <v>0.25</v>
      </c>
      <c r="D13" s="3">
        <f t="shared" si="0"/>
        <v>2500</v>
      </c>
      <c r="E13" s="3">
        <v>4000</v>
      </c>
      <c r="F13" s="3">
        <f t="shared" si="1"/>
        <v>10000000</v>
      </c>
      <c r="G13" s="3">
        <f>30%*D13</f>
        <v>750</v>
      </c>
      <c r="H13" s="5">
        <f t="shared" si="3"/>
        <v>3000000</v>
      </c>
    </row>
    <row r="14" spans="2:13" x14ac:dyDescent="0.3">
      <c r="E14" t="s">
        <v>19</v>
      </c>
      <c r="F14" s="2">
        <f>SUM(F11:F13)</f>
        <v>34000000</v>
      </c>
      <c r="G14">
        <f>SUM(G11:G13)</f>
        <v>1125</v>
      </c>
      <c r="I14" s="1"/>
    </row>
    <row r="15" spans="2:13" x14ac:dyDescent="0.3">
      <c r="F15" s="6"/>
    </row>
    <row r="16" spans="2:13" x14ac:dyDescent="0.3">
      <c r="F16" s="6"/>
      <c r="I16" s="1"/>
    </row>
    <row r="17" spans="1:11" x14ac:dyDescent="0.3">
      <c r="F17" s="6"/>
    </row>
    <row r="18" spans="1:11" x14ac:dyDescent="0.3">
      <c r="B18" s="19" t="s">
        <v>8</v>
      </c>
      <c r="C18" s="19"/>
      <c r="J18" s="5"/>
    </row>
    <row r="19" spans="1:11" x14ac:dyDescent="0.3">
      <c r="C19" t="s">
        <v>3</v>
      </c>
      <c r="D19" t="s">
        <v>15</v>
      </c>
      <c r="E19" t="s">
        <v>16</v>
      </c>
      <c r="F19" s="19" t="s">
        <v>25</v>
      </c>
      <c r="G19" s="19" t="s">
        <v>22</v>
      </c>
      <c r="H19" s="19" t="s">
        <v>26</v>
      </c>
    </row>
    <row r="20" spans="1:11" x14ac:dyDescent="0.3">
      <c r="B20" s="3" t="s">
        <v>9</v>
      </c>
      <c r="C20" s="8">
        <v>0.1</v>
      </c>
      <c r="D20" s="3">
        <f>$D$7*C20</f>
        <v>9000</v>
      </c>
      <c r="E20" s="3">
        <v>3600</v>
      </c>
      <c r="F20" s="3">
        <f>E20*D20</f>
        <v>32400000</v>
      </c>
      <c r="G20" s="3">
        <f>30%*D20</f>
        <v>2700</v>
      </c>
      <c r="H20" s="3">
        <f>G20*E20</f>
        <v>9720000</v>
      </c>
    </row>
    <row r="21" spans="1:11" x14ac:dyDescent="0.3">
      <c r="B21" s="3" t="s">
        <v>10</v>
      </c>
      <c r="C21" s="8">
        <v>0.1</v>
      </c>
      <c r="D21" s="3">
        <f t="shared" ref="D21:D24" si="4">$D$7*C21</f>
        <v>9000</v>
      </c>
      <c r="E21" s="3">
        <v>4300</v>
      </c>
      <c r="F21" s="3">
        <f t="shared" ref="F21:F24" si="5">E21*D21</f>
        <v>38700000</v>
      </c>
      <c r="G21" s="3">
        <f>30%*D21</f>
        <v>2700</v>
      </c>
      <c r="H21" s="3">
        <f t="shared" ref="H21:H24" si="6">G21*E21</f>
        <v>11610000</v>
      </c>
      <c r="I21" t="s">
        <v>24</v>
      </c>
      <c r="K21" s="22">
        <v>1.3</v>
      </c>
    </row>
    <row r="22" spans="1:11" x14ac:dyDescent="0.3">
      <c r="B22" t="s">
        <v>11</v>
      </c>
      <c r="C22" s="1">
        <v>0.2</v>
      </c>
      <c r="D22">
        <f t="shared" si="4"/>
        <v>18000</v>
      </c>
      <c r="E22">
        <v>2800</v>
      </c>
      <c r="F22">
        <f t="shared" si="5"/>
        <v>50400000</v>
      </c>
      <c r="G22">
        <f t="shared" si="2"/>
        <v>900</v>
      </c>
      <c r="H22" s="5">
        <f t="shared" si="6"/>
        <v>2520000</v>
      </c>
    </row>
    <row r="23" spans="1:11" x14ac:dyDescent="0.3">
      <c r="B23" t="s">
        <v>12</v>
      </c>
      <c r="C23" s="1">
        <v>0.4</v>
      </c>
      <c r="D23">
        <f t="shared" si="4"/>
        <v>36000</v>
      </c>
      <c r="E23">
        <v>2600</v>
      </c>
      <c r="F23">
        <f t="shared" si="5"/>
        <v>93600000</v>
      </c>
      <c r="G23">
        <f t="shared" si="2"/>
        <v>1800</v>
      </c>
      <c r="H23" s="5">
        <f t="shared" si="6"/>
        <v>4680000</v>
      </c>
    </row>
    <row r="24" spans="1:11" x14ac:dyDescent="0.3">
      <c r="B24" t="s">
        <v>13</v>
      </c>
      <c r="C24" s="1">
        <v>0.2</v>
      </c>
      <c r="D24">
        <f t="shared" si="4"/>
        <v>18000</v>
      </c>
      <c r="E24">
        <v>3250</v>
      </c>
      <c r="F24">
        <f t="shared" si="5"/>
        <v>58500000</v>
      </c>
      <c r="G24">
        <f t="shared" si="2"/>
        <v>900</v>
      </c>
      <c r="H24" s="5">
        <f t="shared" si="6"/>
        <v>2925000</v>
      </c>
    </row>
    <row r="25" spans="1:11" x14ac:dyDescent="0.3">
      <c r="E25" t="s">
        <v>18</v>
      </c>
      <c r="F25" s="2">
        <f>SUM(F20:F24)</f>
        <v>273600000</v>
      </c>
      <c r="G25">
        <f>SUM(G20:G24)</f>
        <v>9000</v>
      </c>
      <c r="H25" s="5"/>
    </row>
    <row r="27" spans="1:11" x14ac:dyDescent="0.3">
      <c r="E27" s="22">
        <v>1.1000000000000001</v>
      </c>
      <c r="F27" s="7">
        <f>(F14+F25)*(1+0.05)</f>
        <v>322980000</v>
      </c>
      <c r="G27" t="s">
        <v>21</v>
      </c>
    </row>
    <row r="29" spans="1:11" s="75" customFormat="1" x14ac:dyDescent="0.3"/>
    <row r="30" spans="1:11" x14ac:dyDescent="0.3">
      <c r="A30" s="19" t="s">
        <v>33</v>
      </c>
    </row>
    <row r="31" spans="1:11" x14ac:dyDescent="0.3">
      <c r="B31" t="s">
        <v>18</v>
      </c>
      <c r="C31">
        <v>12625</v>
      </c>
    </row>
    <row r="32" spans="1:11" ht="15" thickBot="1" x14ac:dyDescent="0.35">
      <c r="B32" t="s">
        <v>34</v>
      </c>
      <c r="C32">
        <v>3500000</v>
      </c>
    </row>
    <row r="33" spans="1:5" ht="15" thickBot="1" x14ac:dyDescent="0.35">
      <c r="A33">
        <v>2021</v>
      </c>
      <c r="B33" s="31" t="s">
        <v>25</v>
      </c>
      <c r="C33" s="33">
        <f>C31*C32</f>
        <v>44187500000</v>
      </c>
    </row>
    <row r="34" spans="1:5" x14ac:dyDescent="0.3">
      <c r="C34" s="19" t="s">
        <v>36</v>
      </c>
    </row>
    <row r="35" spans="1:5" x14ac:dyDescent="0.3">
      <c r="A35" s="48">
        <v>2008</v>
      </c>
      <c r="B35" s="49" t="s">
        <v>35</v>
      </c>
      <c r="C35" s="50">
        <v>15000000</v>
      </c>
    </row>
    <row r="36" spans="1:5" x14ac:dyDescent="0.3">
      <c r="A36" s="48">
        <v>2009</v>
      </c>
      <c r="B36" s="38">
        <v>0.15</v>
      </c>
      <c r="C36" s="37"/>
    </row>
    <row r="37" spans="1:5" x14ac:dyDescent="0.3">
      <c r="A37" s="48">
        <v>2010</v>
      </c>
      <c r="B37" s="38">
        <v>0.12</v>
      </c>
      <c r="C37" s="37"/>
    </row>
    <row r="38" spans="1:5" x14ac:dyDescent="0.3">
      <c r="A38" s="48">
        <v>2011</v>
      </c>
      <c r="B38" s="38">
        <v>0.08</v>
      </c>
      <c r="C38" s="37"/>
    </row>
    <row r="39" spans="1:5" x14ac:dyDescent="0.3">
      <c r="A39" s="48">
        <v>2012</v>
      </c>
      <c r="B39" s="38">
        <v>0.05</v>
      </c>
      <c r="C39" s="37"/>
    </row>
    <row r="40" spans="1:5" x14ac:dyDescent="0.3">
      <c r="A40" s="48">
        <v>2013</v>
      </c>
      <c r="B40" s="38">
        <v>0.05</v>
      </c>
      <c r="C40" s="37"/>
    </row>
    <row r="41" spans="1:5" x14ac:dyDescent="0.3">
      <c r="A41" s="48">
        <v>2014</v>
      </c>
      <c r="B41" s="38">
        <v>0.06</v>
      </c>
      <c r="C41" s="37"/>
    </row>
    <row r="42" spans="1:5" x14ac:dyDescent="0.3">
      <c r="A42" s="48">
        <v>2015</v>
      </c>
      <c r="B42" s="38">
        <v>0.05</v>
      </c>
      <c r="C42" s="37"/>
    </row>
    <row r="43" spans="1:5" x14ac:dyDescent="0.3">
      <c r="A43" s="48">
        <v>2016</v>
      </c>
      <c r="B43" s="38">
        <v>0.04</v>
      </c>
      <c r="C43" s="37"/>
      <c r="E43" s="37"/>
    </row>
    <row r="44" spans="1:5" x14ac:dyDescent="0.3">
      <c r="A44" s="48">
        <v>2017</v>
      </c>
      <c r="B44" s="38">
        <v>0.03</v>
      </c>
      <c r="C44" s="37"/>
    </row>
    <row r="45" spans="1:5" x14ac:dyDescent="0.3">
      <c r="A45" s="48">
        <v>2018</v>
      </c>
      <c r="B45" s="38">
        <v>0.02</v>
      </c>
      <c r="C45" s="37"/>
    </row>
    <row r="46" spans="1:5" x14ac:dyDescent="0.3">
      <c r="A46" s="48">
        <v>2019</v>
      </c>
      <c r="B46" s="38">
        <v>0.02</v>
      </c>
      <c r="C46" s="37"/>
    </row>
    <row r="47" spans="1:5" x14ac:dyDescent="0.3">
      <c r="A47" s="43"/>
      <c r="B47" s="34"/>
      <c r="C47" s="39"/>
    </row>
    <row r="48" spans="1:5" x14ac:dyDescent="0.3">
      <c r="A48" s="42"/>
      <c r="B48" s="44" t="s">
        <v>37</v>
      </c>
      <c r="C48" s="45" t="s">
        <v>38</v>
      </c>
      <c r="D48" s="23" t="s">
        <v>37</v>
      </c>
    </row>
    <row r="49" spans="1:4" x14ac:dyDescent="0.3">
      <c r="A49" s="36">
        <v>2021</v>
      </c>
      <c r="B49" s="38"/>
      <c r="C49" s="39">
        <f>C33</f>
        <v>44187500000</v>
      </c>
    </row>
    <row r="50" spans="1:4" x14ac:dyDescent="0.3">
      <c r="A50" s="36">
        <v>2022</v>
      </c>
      <c r="B50" s="38">
        <v>0.15</v>
      </c>
      <c r="C50" s="32">
        <f>(C49*(1+B50))</f>
        <v>50815624999.999992</v>
      </c>
      <c r="D50">
        <f>(C49*B50)</f>
        <v>6628125000</v>
      </c>
    </row>
    <row r="51" spans="1:4" x14ac:dyDescent="0.3">
      <c r="A51" s="36">
        <v>2023</v>
      </c>
      <c r="B51" s="38">
        <v>0.12</v>
      </c>
      <c r="C51" s="32">
        <f t="shared" ref="C51:C58" si="7">(C50*(1+B51))</f>
        <v>56913500000</v>
      </c>
      <c r="D51">
        <f t="shared" ref="D51:D57" si="8">(C50*B51)</f>
        <v>6097874999.999999</v>
      </c>
    </row>
    <row r="52" spans="1:4" x14ac:dyDescent="0.3">
      <c r="A52" s="36">
        <v>2024</v>
      </c>
      <c r="B52" s="38">
        <v>0.08</v>
      </c>
      <c r="C52" s="32">
        <f t="shared" si="7"/>
        <v>61466580000.000008</v>
      </c>
      <c r="D52">
        <f t="shared" si="8"/>
        <v>4553080000</v>
      </c>
    </row>
    <row r="53" spans="1:4" x14ac:dyDescent="0.3">
      <c r="A53" s="51">
        <v>2025</v>
      </c>
      <c r="B53" s="38">
        <v>6.4000000000000001E-2</v>
      </c>
      <c r="C53" s="32">
        <f t="shared" si="7"/>
        <v>65400441120.000015</v>
      </c>
      <c r="D53">
        <f t="shared" si="8"/>
        <v>3933861120.0000005</v>
      </c>
    </row>
    <row r="54" spans="1:4" x14ac:dyDescent="0.3">
      <c r="A54" s="36">
        <v>2026</v>
      </c>
      <c r="B54" s="38">
        <v>6.4000000000000001E-2</v>
      </c>
      <c r="C54" s="32">
        <f t="shared" si="7"/>
        <v>69586069351.680023</v>
      </c>
      <c r="D54">
        <f t="shared" si="8"/>
        <v>4185628231.6800013</v>
      </c>
    </row>
    <row r="55" spans="1:4" x14ac:dyDescent="0.3">
      <c r="A55" s="36">
        <v>2027</v>
      </c>
      <c r="B55" s="38">
        <v>7.3999999999999996E-2</v>
      </c>
      <c r="C55" s="32">
        <f t="shared" si="7"/>
        <v>74735438483.704346</v>
      </c>
      <c r="D55">
        <f t="shared" si="8"/>
        <v>5149369132.0243216</v>
      </c>
    </row>
    <row r="56" spans="1:4" x14ac:dyDescent="0.3">
      <c r="A56" s="51">
        <v>2028</v>
      </c>
      <c r="B56" s="38">
        <v>0</v>
      </c>
      <c r="C56" s="32">
        <f t="shared" si="7"/>
        <v>74735438483.704346</v>
      </c>
      <c r="D56">
        <f t="shared" si="8"/>
        <v>0</v>
      </c>
    </row>
    <row r="57" spans="1:4" x14ac:dyDescent="0.3">
      <c r="A57" s="35">
        <v>2029</v>
      </c>
      <c r="B57" s="38">
        <v>0</v>
      </c>
      <c r="C57" s="32">
        <f t="shared" si="7"/>
        <v>74735438483.704346</v>
      </c>
      <c r="D57">
        <f t="shared" si="8"/>
        <v>0</v>
      </c>
    </row>
    <row r="58" spans="1:4" x14ac:dyDescent="0.3">
      <c r="A58" s="35">
        <v>2030</v>
      </c>
      <c r="B58" s="40">
        <v>0</v>
      </c>
      <c r="C58" s="41">
        <f t="shared" si="7"/>
        <v>74735438483.704346</v>
      </c>
      <c r="D58">
        <f>(C57*B58)</f>
        <v>0</v>
      </c>
    </row>
    <row r="59" spans="1:4" x14ac:dyDescent="0.3">
      <c r="C59" s="32"/>
      <c r="D59" s="41">
        <f>(SUM(C49,D50:D55))</f>
        <v>74735438483.70433</v>
      </c>
    </row>
    <row r="63" spans="1:4" s="76" customFormat="1" x14ac:dyDescent="0.3"/>
    <row r="65" spans="1:11" x14ac:dyDescent="0.3">
      <c r="A65" t="s">
        <v>39</v>
      </c>
      <c r="G65" t="s">
        <v>42</v>
      </c>
      <c r="H65" t="s">
        <v>43</v>
      </c>
      <c r="I65" t="s">
        <v>47</v>
      </c>
      <c r="J65" t="s">
        <v>45</v>
      </c>
      <c r="K65" t="s">
        <v>48</v>
      </c>
    </row>
    <row r="66" spans="1:11" x14ac:dyDescent="0.3">
      <c r="A66" s="2" t="s">
        <v>40</v>
      </c>
      <c r="B66" s="2">
        <f>10*10^6</f>
        <v>10000000</v>
      </c>
      <c r="C66" t="s">
        <v>41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B67" t="s">
        <v>49</v>
      </c>
      <c r="F67" s="47">
        <v>10</v>
      </c>
      <c r="G67">
        <v>5</v>
      </c>
      <c r="H67">
        <v>20</v>
      </c>
      <c r="I67">
        <v>15</v>
      </c>
      <c r="J67">
        <v>10</v>
      </c>
      <c r="K67">
        <v>5</v>
      </c>
    </row>
    <row r="68" spans="1:11" x14ac:dyDescent="0.3">
      <c r="A68" t="s">
        <v>42</v>
      </c>
      <c r="B68" s="1">
        <v>0.2</v>
      </c>
      <c r="C68">
        <v>50</v>
      </c>
      <c r="F68" s="47">
        <v>20</v>
      </c>
      <c r="G68">
        <v>50</v>
      </c>
      <c r="H68">
        <v>25</v>
      </c>
      <c r="I68">
        <v>25</v>
      </c>
      <c r="J68">
        <v>15</v>
      </c>
      <c r="K68">
        <v>8</v>
      </c>
    </row>
    <row r="69" spans="1:11" x14ac:dyDescent="0.3">
      <c r="A69" t="s">
        <v>43</v>
      </c>
      <c r="B69" s="46">
        <v>0.1</v>
      </c>
      <c r="C69">
        <v>20</v>
      </c>
      <c r="F69" s="47">
        <v>30</v>
      </c>
      <c r="G69">
        <v>70</v>
      </c>
      <c r="H69">
        <v>30</v>
      </c>
      <c r="I69">
        <v>35</v>
      </c>
      <c r="J69">
        <v>20</v>
      </c>
      <c r="K69">
        <v>5</v>
      </c>
    </row>
    <row r="70" spans="1:11" x14ac:dyDescent="0.3">
      <c r="A70" t="s">
        <v>44</v>
      </c>
      <c r="B70" s="1">
        <v>0.5</v>
      </c>
      <c r="C70">
        <v>60</v>
      </c>
      <c r="F70" s="47">
        <v>40</v>
      </c>
      <c r="G70">
        <v>80</v>
      </c>
      <c r="H70">
        <v>40</v>
      </c>
      <c r="I70">
        <v>45</v>
      </c>
      <c r="J70">
        <v>35</v>
      </c>
      <c r="K70">
        <v>15</v>
      </c>
    </row>
    <row r="71" spans="1:11" x14ac:dyDescent="0.3">
      <c r="A71" t="s">
        <v>45</v>
      </c>
      <c r="B71" s="1">
        <v>0.2</v>
      </c>
      <c r="C71">
        <v>15</v>
      </c>
      <c r="F71" s="47">
        <v>50</v>
      </c>
      <c r="G71">
        <v>80</v>
      </c>
      <c r="H71">
        <v>50</v>
      </c>
      <c r="I71">
        <v>60</v>
      </c>
      <c r="J71">
        <v>45</v>
      </c>
      <c r="K71">
        <v>15</v>
      </c>
    </row>
    <row r="72" spans="1:11" x14ac:dyDescent="0.3">
      <c r="A72" t="s">
        <v>46</v>
      </c>
      <c r="B72" s="1"/>
      <c r="F72">
        <v>60</v>
      </c>
      <c r="G72">
        <v>80</v>
      </c>
      <c r="H72">
        <v>60</v>
      </c>
      <c r="I72">
        <v>55</v>
      </c>
      <c r="J72">
        <v>65</v>
      </c>
      <c r="K72">
        <v>20</v>
      </c>
    </row>
    <row r="73" spans="1:11" x14ac:dyDescent="0.3">
      <c r="B73" s="1">
        <f>SUM(B68:B72)</f>
        <v>1</v>
      </c>
      <c r="C73">
        <f>SUM(C68:C71)</f>
        <v>145</v>
      </c>
      <c r="F73" s="47">
        <v>70</v>
      </c>
      <c r="G73">
        <v>80</v>
      </c>
      <c r="H73">
        <v>75</v>
      </c>
      <c r="I73">
        <v>55</v>
      </c>
      <c r="J73">
        <v>69</v>
      </c>
      <c r="K73">
        <v>20</v>
      </c>
    </row>
    <row r="74" spans="1:11" x14ac:dyDescent="0.3">
      <c r="F74" s="47">
        <v>80</v>
      </c>
      <c r="G74">
        <v>80</v>
      </c>
      <c r="H74">
        <v>70</v>
      </c>
      <c r="I74">
        <v>50</v>
      </c>
      <c r="J74">
        <v>70</v>
      </c>
      <c r="K74">
        <v>25</v>
      </c>
    </row>
    <row r="75" spans="1:11" x14ac:dyDescent="0.3">
      <c r="F75" s="47">
        <v>90</v>
      </c>
      <c r="G75">
        <v>80</v>
      </c>
      <c r="H75">
        <v>65</v>
      </c>
      <c r="I75">
        <v>45</v>
      </c>
      <c r="J75">
        <v>71</v>
      </c>
      <c r="K75">
        <v>30</v>
      </c>
    </row>
    <row r="76" spans="1:11" x14ac:dyDescent="0.3">
      <c r="B76" t="s">
        <v>49</v>
      </c>
      <c r="F76" s="47">
        <v>100</v>
      </c>
      <c r="G76">
        <v>80</v>
      </c>
      <c r="H76">
        <v>60</v>
      </c>
      <c r="I76">
        <v>45</v>
      </c>
      <c r="J76">
        <v>72</v>
      </c>
      <c r="K76">
        <v>35</v>
      </c>
    </row>
    <row r="77" spans="1:11" x14ac:dyDescent="0.3">
      <c r="A77" s="2" t="s">
        <v>42</v>
      </c>
      <c r="B77" s="52">
        <v>0.3</v>
      </c>
      <c r="C77">
        <v>70</v>
      </c>
      <c r="G77" s="54">
        <f>(G67-G66)/10</f>
        <v>0.5</v>
      </c>
      <c r="H77" s="54">
        <f>(H67-H66)/10</f>
        <v>2</v>
      </c>
      <c r="I77" s="54">
        <f>(I67-I66)/10</f>
        <v>1.5</v>
      </c>
      <c r="J77" s="54">
        <f>(J67-J66)/10</f>
        <v>1</v>
      </c>
      <c r="K77" s="54">
        <f t="shared" ref="K77" si="9">(K67-K66)/10</f>
        <v>0.5</v>
      </c>
    </row>
    <row r="78" spans="1:11" x14ac:dyDescent="0.3">
      <c r="A78" s="2" t="s">
        <v>43</v>
      </c>
      <c r="B78" s="53">
        <v>0.1</v>
      </c>
      <c r="C78">
        <v>20</v>
      </c>
      <c r="G78" s="54">
        <f>(G68-G67)/10</f>
        <v>4.5</v>
      </c>
      <c r="H78" s="54">
        <f t="shared" ref="H78:K78" si="10">(H68-H67)/10</f>
        <v>0.5</v>
      </c>
      <c r="I78" s="54">
        <f t="shared" si="10"/>
        <v>1</v>
      </c>
      <c r="J78" s="54">
        <f t="shared" si="10"/>
        <v>0.5</v>
      </c>
      <c r="K78" s="54">
        <f t="shared" si="10"/>
        <v>0.3</v>
      </c>
    </row>
    <row r="79" spans="1:11" x14ac:dyDescent="0.3">
      <c r="A79" t="s">
        <v>44</v>
      </c>
      <c r="B79" s="1">
        <v>0.5</v>
      </c>
      <c r="C79">
        <v>60</v>
      </c>
      <c r="G79" s="54">
        <f t="shared" ref="G79:K79" si="11">(G69-G68)/10</f>
        <v>2</v>
      </c>
      <c r="H79" s="54">
        <f t="shared" si="11"/>
        <v>0.5</v>
      </c>
      <c r="I79" s="54">
        <f t="shared" si="11"/>
        <v>1</v>
      </c>
      <c r="J79" s="54">
        <f>(J69-J68)/10</f>
        <v>0.5</v>
      </c>
      <c r="K79" s="54">
        <f t="shared" si="11"/>
        <v>-0.3</v>
      </c>
    </row>
    <row r="80" spans="1:11" x14ac:dyDescent="0.3">
      <c r="A80" t="s">
        <v>45</v>
      </c>
      <c r="B80" s="1">
        <v>0.1</v>
      </c>
      <c r="C80">
        <v>10</v>
      </c>
      <c r="G80" s="54">
        <f t="shared" ref="G80:H80" si="12">(G70-G69)/10</f>
        <v>1</v>
      </c>
      <c r="H80" s="54">
        <f t="shared" si="12"/>
        <v>1</v>
      </c>
      <c r="I80" s="54">
        <f>(I70-I69)/10</f>
        <v>1</v>
      </c>
      <c r="J80" s="54">
        <f>(J70-J69)/10</f>
        <v>1.5</v>
      </c>
      <c r="K80" s="54">
        <f>(K70-K69)/10</f>
        <v>1</v>
      </c>
    </row>
    <row r="81" spans="1:11" x14ac:dyDescent="0.3">
      <c r="A81" t="s">
        <v>46</v>
      </c>
      <c r="B81" s="1"/>
      <c r="G81" s="54">
        <f t="shared" ref="G81:K81" si="13">(G71-G70)/10</f>
        <v>0</v>
      </c>
      <c r="H81" s="54">
        <f t="shared" si="13"/>
        <v>1</v>
      </c>
      <c r="I81" s="54">
        <f>(I71-I70)/10</f>
        <v>1.5</v>
      </c>
      <c r="J81" s="54">
        <f t="shared" si="13"/>
        <v>1</v>
      </c>
      <c r="K81" s="54">
        <f t="shared" si="13"/>
        <v>0</v>
      </c>
    </row>
    <row r="82" spans="1:11" x14ac:dyDescent="0.3">
      <c r="B82" s="1">
        <f>SUM(B77:B81)</f>
        <v>1</v>
      </c>
      <c r="C82">
        <f>SUM(C77:C80)</f>
        <v>160</v>
      </c>
      <c r="G82" s="54">
        <f t="shared" ref="G82:K82" si="14">(G72-G71)/10</f>
        <v>0</v>
      </c>
      <c r="H82" s="54">
        <f t="shared" si="14"/>
        <v>1</v>
      </c>
      <c r="I82" s="54">
        <f t="shared" si="14"/>
        <v>-0.5</v>
      </c>
      <c r="J82" s="54">
        <f>(J72-J71)/10</f>
        <v>2</v>
      </c>
      <c r="K82" s="54">
        <f t="shared" si="14"/>
        <v>0.5</v>
      </c>
    </row>
    <row r="83" spans="1:11" x14ac:dyDescent="0.3">
      <c r="G83" s="54">
        <f t="shared" ref="G83:K83" si="15">(G73-G72)/10</f>
        <v>0</v>
      </c>
      <c r="H83" s="54">
        <f t="shared" si="15"/>
        <v>1.5</v>
      </c>
      <c r="I83" s="54">
        <f t="shared" si="15"/>
        <v>0</v>
      </c>
      <c r="J83" s="54">
        <f t="shared" si="15"/>
        <v>0.4</v>
      </c>
      <c r="K83" s="54">
        <f t="shared" si="15"/>
        <v>0</v>
      </c>
    </row>
    <row r="84" spans="1:11" x14ac:dyDescent="0.3">
      <c r="B84" t="s">
        <v>49</v>
      </c>
      <c r="G84" s="54">
        <f t="shared" ref="G84:K84" si="16">(G74-G73)/10</f>
        <v>0</v>
      </c>
      <c r="H84" s="54">
        <f t="shared" si="16"/>
        <v>-0.5</v>
      </c>
      <c r="I84" s="54">
        <f t="shared" si="16"/>
        <v>-0.5</v>
      </c>
      <c r="J84" s="54">
        <f t="shared" si="16"/>
        <v>0.1</v>
      </c>
      <c r="K84" s="54">
        <f t="shared" si="16"/>
        <v>0.5</v>
      </c>
    </row>
    <row r="85" spans="1:11" x14ac:dyDescent="0.3">
      <c r="A85" t="s">
        <v>42</v>
      </c>
      <c r="B85" s="1">
        <v>0.4</v>
      </c>
      <c r="C85">
        <v>80</v>
      </c>
      <c r="G85" s="54">
        <f t="shared" ref="G85:K85" si="17">(G75-G74)/10</f>
        <v>0</v>
      </c>
      <c r="H85" s="54">
        <f t="shared" si="17"/>
        <v>-0.5</v>
      </c>
      <c r="I85" s="54">
        <f t="shared" si="17"/>
        <v>-0.5</v>
      </c>
      <c r="J85" s="54">
        <f t="shared" si="17"/>
        <v>0.1</v>
      </c>
      <c r="K85" s="54">
        <f t="shared" si="17"/>
        <v>0.5</v>
      </c>
    </row>
    <row r="86" spans="1:11" x14ac:dyDescent="0.3">
      <c r="A86" t="s">
        <v>43</v>
      </c>
      <c r="B86" s="46">
        <v>0.1</v>
      </c>
      <c r="C86">
        <v>20</v>
      </c>
      <c r="G86" s="54">
        <f t="shared" ref="G86:K86" si="18">(G76-G75)/10</f>
        <v>0</v>
      </c>
      <c r="H86" s="54">
        <f t="shared" si="18"/>
        <v>-0.5</v>
      </c>
      <c r="I86" s="54">
        <f t="shared" si="18"/>
        <v>0</v>
      </c>
      <c r="J86" s="54">
        <f t="shared" si="18"/>
        <v>0.1</v>
      </c>
      <c r="K86" s="56">
        <f t="shared" si="18"/>
        <v>0.5</v>
      </c>
    </row>
    <row r="87" spans="1:11" x14ac:dyDescent="0.3">
      <c r="A87" t="s">
        <v>44</v>
      </c>
      <c r="B87" s="1">
        <v>0.5</v>
      </c>
      <c r="C87">
        <v>60</v>
      </c>
    </row>
    <row r="88" spans="1:11" x14ac:dyDescent="0.3">
      <c r="A88" t="s">
        <v>45</v>
      </c>
      <c r="B88" s="1"/>
    </row>
    <row r="89" spans="1:11" x14ac:dyDescent="0.3">
      <c r="A89" t="s">
        <v>46</v>
      </c>
      <c r="B89" s="1"/>
    </row>
    <row r="90" spans="1:11" x14ac:dyDescent="0.3">
      <c r="B90" s="1">
        <f>SUM(B85:B89)</f>
        <v>1</v>
      </c>
      <c r="C90">
        <f>SUM(C85:C89)</f>
        <v>160</v>
      </c>
    </row>
    <row r="97" spans="2:11" s="77" customFormat="1" x14ac:dyDescent="0.3"/>
    <row r="98" spans="2:11" x14ac:dyDescent="0.3">
      <c r="D98" s="1"/>
      <c r="F98" s="1"/>
      <c r="I98">
        <v>0.4</v>
      </c>
      <c r="J98" s="1"/>
      <c r="K98">
        <v>0.6</v>
      </c>
    </row>
    <row r="99" spans="2:11" x14ac:dyDescent="0.3">
      <c r="C99" t="s">
        <v>64</v>
      </c>
      <c r="D99" t="s">
        <v>65</v>
      </c>
      <c r="E99" t="s">
        <v>66</v>
      </c>
      <c r="F99" t="s">
        <v>61</v>
      </c>
      <c r="G99" t="s">
        <v>62</v>
      </c>
      <c r="H99" t="s">
        <v>63</v>
      </c>
    </row>
    <row r="100" spans="2:11" x14ac:dyDescent="0.3">
      <c r="B100" s="2" t="s">
        <v>53</v>
      </c>
      <c r="C100">
        <v>8.4</v>
      </c>
      <c r="D100">
        <v>3</v>
      </c>
      <c r="E100">
        <v>15500</v>
      </c>
      <c r="F100">
        <f t="shared" ref="F100:F109" si="19">RANK(E100,$E$100:$E$109,0)</f>
        <v>2</v>
      </c>
      <c r="G100">
        <f t="shared" ref="G100:G109" si="20">$I$98*D100+$K$98*F100</f>
        <v>2.4000000000000004</v>
      </c>
      <c r="H100">
        <f t="shared" ref="H100:H109" si="21">RANK(G100,$G$100:$G$109,1)</f>
        <v>1</v>
      </c>
    </row>
    <row r="101" spans="2:11" x14ac:dyDescent="0.3">
      <c r="B101" s="2" t="s">
        <v>51</v>
      </c>
      <c r="C101">
        <v>12.4</v>
      </c>
      <c r="D101">
        <v>1</v>
      </c>
      <c r="E101">
        <v>12800</v>
      </c>
      <c r="F101">
        <f t="shared" si="19"/>
        <v>4</v>
      </c>
      <c r="G101">
        <f t="shared" si="20"/>
        <v>2.8</v>
      </c>
      <c r="H101">
        <f t="shared" si="21"/>
        <v>2</v>
      </c>
    </row>
    <row r="102" spans="2:11" x14ac:dyDescent="0.3">
      <c r="B102" s="2" t="s">
        <v>54</v>
      </c>
      <c r="C102">
        <v>6.8</v>
      </c>
      <c r="D102">
        <v>4</v>
      </c>
      <c r="E102">
        <v>14800</v>
      </c>
      <c r="F102">
        <f t="shared" si="19"/>
        <v>3</v>
      </c>
      <c r="G102">
        <f t="shared" si="20"/>
        <v>3.4</v>
      </c>
      <c r="H102">
        <f t="shared" si="21"/>
        <v>3</v>
      </c>
    </row>
    <row r="103" spans="2:11" x14ac:dyDescent="0.3">
      <c r="B103" s="2" t="s">
        <v>58</v>
      </c>
      <c r="C103">
        <v>4.5</v>
      </c>
      <c r="D103">
        <v>8</v>
      </c>
      <c r="E103">
        <v>19400</v>
      </c>
      <c r="F103">
        <f t="shared" si="19"/>
        <v>1</v>
      </c>
      <c r="G103">
        <f t="shared" si="20"/>
        <v>3.8000000000000003</v>
      </c>
      <c r="H103">
        <f t="shared" si="21"/>
        <v>4</v>
      </c>
    </row>
    <row r="104" spans="2:11" x14ac:dyDescent="0.3">
      <c r="B104" s="2" t="s">
        <v>56</v>
      </c>
      <c r="C104">
        <v>4.7</v>
      </c>
      <c r="D104">
        <v>6</v>
      </c>
      <c r="E104">
        <v>9800</v>
      </c>
      <c r="F104">
        <f t="shared" si="19"/>
        <v>6</v>
      </c>
      <c r="G104">
        <f t="shared" si="20"/>
        <v>6</v>
      </c>
      <c r="H104">
        <f t="shared" si="21"/>
        <v>5</v>
      </c>
    </row>
    <row r="105" spans="2:11" x14ac:dyDescent="0.3">
      <c r="B105" t="s">
        <v>52</v>
      </c>
      <c r="C105" s="57">
        <v>11</v>
      </c>
      <c r="D105">
        <v>2</v>
      </c>
      <c r="E105">
        <v>7400</v>
      </c>
      <c r="F105">
        <f t="shared" si="19"/>
        <v>9</v>
      </c>
      <c r="G105">
        <f t="shared" si="20"/>
        <v>6.1999999999999993</v>
      </c>
      <c r="H105">
        <f t="shared" si="21"/>
        <v>6</v>
      </c>
    </row>
    <row r="106" spans="2:11" x14ac:dyDescent="0.3">
      <c r="B106" t="s">
        <v>59</v>
      </c>
      <c r="C106">
        <v>3.1</v>
      </c>
      <c r="D106">
        <v>9</v>
      </c>
      <c r="E106">
        <v>10500</v>
      </c>
      <c r="F106">
        <f t="shared" si="19"/>
        <v>5</v>
      </c>
      <c r="G106">
        <f t="shared" si="20"/>
        <v>6.6</v>
      </c>
      <c r="H106">
        <f t="shared" si="21"/>
        <v>7</v>
      </c>
    </row>
    <row r="107" spans="2:11" x14ac:dyDescent="0.3">
      <c r="B107" t="s">
        <v>57</v>
      </c>
      <c r="C107">
        <v>4.5</v>
      </c>
      <c r="D107">
        <v>7</v>
      </c>
      <c r="E107">
        <v>8400</v>
      </c>
      <c r="F107">
        <f t="shared" si="19"/>
        <v>7</v>
      </c>
      <c r="G107">
        <f t="shared" si="20"/>
        <v>7</v>
      </c>
      <c r="H107">
        <f t="shared" si="21"/>
        <v>8</v>
      </c>
    </row>
    <row r="108" spans="2:11" x14ac:dyDescent="0.3">
      <c r="B108" t="s">
        <v>55</v>
      </c>
      <c r="C108">
        <v>5.6</v>
      </c>
      <c r="D108">
        <v>5</v>
      </c>
      <c r="E108">
        <v>6400</v>
      </c>
      <c r="F108">
        <f t="shared" si="19"/>
        <v>10</v>
      </c>
      <c r="G108">
        <f t="shared" si="20"/>
        <v>8</v>
      </c>
      <c r="H108">
        <f t="shared" si="21"/>
        <v>9</v>
      </c>
    </row>
    <row r="109" spans="2:11" x14ac:dyDescent="0.3">
      <c r="B109" t="s">
        <v>60</v>
      </c>
      <c r="C109">
        <v>3</v>
      </c>
      <c r="D109">
        <v>10</v>
      </c>
      <c r="E109">
        <v>7500</v>
      </c>
      <c r="F109">
        <f t="shared" si="19"/>
        <v>8</v>
      </c>
      <c r="G109">
        <f t="shared" si="20"/>
        <v>8.8000000000000007</v>
      </c>
      <c r="H109">
        <f t="shared" si="21"/>
        <v>10</v>
      </c>
    </row>
    <row r="110" spans="2:11" x14ac:dyDescent="0.3">
      <c r="B110" t="s">
        <v>18</v>
      </c>
      <c r="C110">
        <f>SUM(C100:C109)</f>
        <v>64</v>
      </c>
      <c r="E110">
        <f>SUM(E100:E109)</f>
        <v>112500</v>
      </c>
    </row>
    <row r="113" spans="1:7" x14ac:dyDescent="0.3">
      <c r="A113" t="s">
        <v>67</v>
      </c>
      <c r="B113" t="s">
        <v>68</v>
      </c>
    </row>
    <row r="114" spans="1:7" x14ac:dyDescent="0.3">
      <c r="A114">
        <v>1</v>
      </c>
      <c r="B114" s="58">
        <v>0.02</v>
      </c>
      <c r="D114" s="2">
        <v>1500000</v>
      </c>
    </row>
    <row r="115" spans="1:7" x14ac:dyDescent="0.3">
      <c r="A115">
        <v>2</v>
      </c>
      <c r="B115" s="58">
        <v>1.4999999999999999E-2</v>
      </c>
    </row>
    <row r="116" spans="1:7" x14ac:dyDescent="0.3">
      <c r="A116">
        <v>3</v>
      </c>
      <c r="B116" s="58">
        <v>0.01</v>
      </c>
    </row>
    <row r="117" spans="1:7" x14ac:dyDescent="0.3">
      <c r="A117">
        <v>4</v>
      </c>
      <c r="B117" s="58">
        <v>5.0000000000000001E-3</v>
      </c>
    </row>
    <row r="118" spans="1:7" x14ac:dyDescent="0.3">
      <c r="A118">
        <v>5</v>
      </c>
      <c r="B118" s="58">
        <v>2.5000000000000001E-3</v>
      </c>
    </row>
    <row r="119" spans="1:7" x14ac:dyDescent="0.3">
      <c r="A119" s="1"/>
    </row>
    <row r="120" spans="1:7" x14ac:dyDescent="0.3">
      <c r="B120" t="s">
        <v>73</v>
      </c>
      <c r="C120" t="s">
        <v>65</v>
      </c>
    </row>
    <row r="121" spans="1:7" x14ac:dyDescent="0.3">
      <c r="A121" t="s">
        <v>71</v>
      </c>
      <c r="B121" s="47">
        <v>12</v>
      </c>
      <c r="C121">
        <v>1</v>
      </c>
      <c r="D121">
        <f>$D$114*B121</f>
        <v>18000000</v>
      </c>
      <c r="E121">
        <f>D121*B114</f>
        <v>360000</v>
      </c>
    </row>
    <row r="122" spans="1:7" x14ac:dyDescent="0.3">
      <c r="A122" t="s">
        <v>70</v>
      </c>
      <c r="B122" s="47">
        <v>11</v>
      </c>
      <c r="C122">
        <v>2</v>
      </c>
      <c r="D122">
        <f>$D$114*B122</f>
        <v>16500000</v>
      </c>
      <c r="E122">
        <f t="shared" ref="E122:E125" si="22">D122*B115</f>
        <v>247500</v>
      </c>
    </row>
    <row r="123" spans="1:7" x14ac:dyDescent="0.3">
      <c r="A123" t="s">
        <v>50</v>
      </c>
      <c r="B123" s="47">
        <v>9</v>
      </c>
      <c r="C123">
        <v>3</v>
      </c>
      <c r="D123">
        <f>$D$114*B123</f>
        <v>13500000</v>
      </c>
      <c r="E123">
        <f t="shared" si="22"/>
        <v>135000</v>
      </c>
      <c r="G123">
        <f>E126+E133</f>
        <v>1241250</v>
      </c>
    </row>
    <row r="124" spans="1:7" x14ac:dyDescent="0.3">
      <c r="A124" t="s">
        <v>69</v>
      </c>
      <c r="B124" s="47">
        <v>8</v>
      </c>
      <c r="C124">
        <v>4</v>
      </c>
      <c r="D124">
        <f>$D$114*B124</f>
        <v>12000000</v>
      </c>
      <c r="E124">
        <f t="shared" si="22"/>
        <v>60000</v>
      </c>
      <c r="F124" t="s">
        <v>79</v>
      </c>
      <c r="G124">
        <f>G123/2</f>
        <v>620625</v>
      </c>
    </row>
    <row r="125" spans="1:7" x14ac:dyDescent="0.3">
      <c r="A125" t="s">
        <v>72</v>
      </c>
      <c r="B125" s="47">
        <v>7</v>
      </c>
      <c r="C125">
        <v>5</v>
      </c>
      <c r="D125">
        <f>$D$114*B125</f>
        <v>10500000</v>
      </c>
      <c r="E125">
        <f t="shared" si="22"/>
        <v>26250</v>
      </c>
    </row>
    <row r="126" spans="1:7" x14ac:dyDescent="0.3">
      <c r="E126" s="2">
        <f>SUM(E121:E125)</f>
        <v>828750</v>
      </c>
      <c r="G126" s="55">
        <f>G124*5*4</f>
        <v>12412500</v>
      </c>
    </row>
    <row r="127" spans="1:7" x14ac:dyDescent="0.3">
      <c r="B127" t="s">
        <v>73</v>
      </c>
      <c r="C127" t="s">
        <v>65</v>
      </c>
    </row>
    <row r="128" spans="1:7" x14ac:dyDescent="0.3">
      <c r="A128" t="s">
        <v>78</v>
      </c>
      <c r="B128" s="47">
        <v>7</v>
      </c>
      <c r="C128">
        <v>1</v>
      </c>
      <c r="D128">
        <f>$D$114*B128</f>
        <v>10500000</v>
      </c>
      <c r="E128">
        <f>D128*B114</f>
        <v>210000</v>
      </c>
    </row>
    <row r="129" spans="1:5" x14ac:dyDescent="0.3">
      <c r="A129" t="s">
        <v>77</v>
      </c>
      <c r="B129" s="47">
        <v>5</v>
      </c>
      <c r="C129">
        <v>2</v>
      </c>
      <c r="D129">
        <f>$D$114*B129</f>
        <v>7500000</v>
      </c>
      <c r="E129">
        <f t="shared" ref="E129:E132" si="23">D129*B115</f>
        <v>112500</v>
      </c>
    </row>
    <row r="130" spans="1:5" x14ac:dyDescent="0.3">
      <c r="A130" t="s">
        <v>76</v>
      </c>
      <c r="B130" s="47">
        <v>4</v>
      </c>
      <c r="C130">
        <v>3</v>
      </c>
      <c r="D130">
        <f>$D$114*B130</f>
        <v>6000000</v>
      </c>
      <c r="E130">
        <f t="shared" si="23"/>
        <v>60000</v>
      </c>
    </row>
    <row r="131" spans="1:5" x14ac:dyDescent="0.3">
      <c r="A131" t="s">
        <v>74</v>
      </c>
      <c r="B131" s="47">
        <v>3</v>
      </c>
      <c r="C131">
        <v>4</v>
      </c>
      <c r="D131">
        <f>$D$114*B131</f>
        <v>4500000</v>
      </c>
      <c r="E131">
        <f t="shared" si="23"/>
        <v>22500</v>
      </c>
    </row>
    <row r="132" spans="1:5" x14ac:dyDescent="0.3">
      <c r="A132" t="s">
        <v>75</v>
      </c>
      <c r="B132" s="47">
        <v>2</v>
      </c>
      <c r="C132">
        <v>5</v>
      </c>
      <c r="D132">
        <f>$D$114*B132</f>
        <v>3000000</v>
      </c>
      <c r="E132">
        <f t="shared" si="23"/>
        <v>7500</v>
      </c>
    </row>
    <row r="133" spans="1:5" x14ac:dyDescent="0.3">
      <c r="E133" s="2">
        <f>SUM(E128:E132)</f>
        <v>412500</v>
      </c>
    </row>
    <row r="136" spans="1:5" s="76" customFormat="1" x14ac:dyDescent="0.3"/>
  </sheetData>
  <sortState ref="A128:D132">
    <sortCondition ref="C128"/>
  </sortState>
  <mergeCells count="4">
    <mergeCell ref="A29:XFD29"/>
    <mergeCell ref="A63:XFD63"/>
    <mergeCell ref="A97:XFD97"/>
    <mergeCell ref="A136:XFD1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7"/>
  <sheetViews>
    <sheetView tabSelected="1" topLeftCell="H17" zoomScale="120" zoomScaleNormal="120" workbookViewId="0">
      <selection activeCell="I30" sqref="I30:J31"/>
    </sheetView>
  </sheetViews>
  <sheetFormatPr defaultRowHeight="14.4" x14ac:dyDescent="0.3"/>
  <cols>
    <col min="1" max="1" width="18.77734375" customWidth="1"/>
    <col min="2" max="2" width="10.88671875" customWidth="1"/>
    <col min="3" max="3" width="14.21875" customWidth="1"/>
    <col min="6" max="6" width="14.88671875" customWidth="1"/>
    <col min="8" max="8" width="19.109375" customWidth="1"/>
    <col min="9" max="9" width="17.109375" customWidth="1"/>
    <col min="10" max="10" width="35.88671875" customWidth="1"/>
    <col min="16" max="16" width="14.5546875" customWidth="1"/>
    <col min="17" max="17" width="10" bestFit="1" customWidth="1"/>
  </cols>
  <sheetData>
    <row r="3" spans="1:19" x14ac:dyDescent="0.3">
      <c r="A3" s="59" t="s">
        <v>80</v>
      </c>
      <c r="B3" s="59" t="s">
        <v>81</v>
      </c>
      <c r="C3" s="59" t="s">
        <v>82</v>
      </c>
      <c r="H3" s="62" t="s">
        <v>91</v>
      </c>
      <c r="I3" s="62" t="s">
        <v>86</v>
      </c>
      <c r="J3" s="62" t="s">
        <v>92</v>
      </c>
      <c r="K3" s="63"/>
    </row>
    <row r="4" spans="1:19" x14ac:dyDescent="0.3">
      <c r="A4" s="60" t="s">
        <v>83</v>
      </c>
      <c r="B4" s="60">
        <v>4</v>
      </c>
      <c r="C4" s="60">
        <v>1200</v>
      </c>
      <c r="H4" s="64" t="s">
        <v>93</v>
      </c>
      <c r="I4" s="65" t="s">
        <v>52</v>
      </c>
      <c r="J4" s="66" t="s">
        <v>94</v>
      </c>
      <c r="K4" s="63"/>
    </row>
    <row r="5" spans="1:19" x14ac:dyDescent="0.3">
      <c r="A5" s="60" t="s">
        <v>84</v>
      </c>
      <c r="B5" s="60">
        <v>7</v>
      </c>
      <c r="C5" s="60">
        <v>2300</v>
      </c>
      <c r="H5" s="64" t="s">
        <v>95</v>
      </c>
      <c r="I5" s="65" t="s">
        <v>52</v>
      </c>
      <c r="J5" s="66" t="s">
        <v>96</v>
      </c>
      <c r="K5" s="63"/>
    </row>
    <row r="6" spans="1:19" x14ac:dyDescent="0.3">
      <c r="A6" s="60" t="s">
        <v>85</v>
      </c>
      <c r="B6" s="60">
        <v>5</v>
      </c>
      <c r="C6" s="60">
        <v>1600</v>
      </c>
      <c r="H6" s="64" t="s">
        <v>97</v>
      </c>
      <c r="I6" s="65" t="s">
        <v>52</v>
      </c>
      <c r="J6" s="66" t="s">
        <v>98</v>
      </c>
      <c r="K6" s="63"/>
    </row>
    <row r="7" spans="1:19" x14ac:dyDescent="0.3">
      <c r="H7" s="64" t="s">
        <v>93</v>
      </c>
      <c r="I7" s="65" t="s">
        <v>51</v>
      </c>
      <c r="J7" s="66" t="s">
        <v>99</v>
      </c>
      <c r="K7" s="63"/>
    </row>
    <row r="8" spans="1:19" x14ac:dyDescent="0.3">
      <c r="H8" s="64" t="s">
        <v>95</v>
      </c>
      <c r="I8" s="65" t="s">
        <v>51</v>
      </c>
      <c r="J8" s="66" t="s">
        <v>100</v>
      </c>
      <c r="K8" s="63"/>
    </row>
    <row r="9" spans="1:19" x14ac:dyDescent="0.3">
      <c r="H9" s="64" t="s">
        <v>97</v>
      </c>
      <c r="I9" s="65" t="s">
        <v>51</v>
      </c>
      <c r="J9" s="66" t="s">
        <v>101</v>
      </c>
      <c r="K9" s="63"/>
    </row>
    <row r="10" spans="1:19" x14ac:dyDescent="0.3">
      <c r="A10" s="59" t="s">
        <v>82</v>
      </c>
      <c r="B10" s="59" t="s">
        <v>86</v>
      </c>
      <c r="C10" s="59" t="s">
        <v>87</v>
      </c>
      <c r="H10" s="64" t="s">
        <v>93</v>
      </c>
      <c r="I10" s="65" t="s">
        <v>53</v>
      </c>
      <c r="J10" s="66" t="s">
        <v>102</v>
      </c>
      <c r="K10" s="63"/>
    </row>
    <row r="11" spans="1:19" x14ac:dyDescent="0.3">
      <c r="A11" s="61" t="s">
        <v>88</v>
      </c>
      <c r="B11" s="60" t="s">
        <v>52</v>
      </c>
      <c r="C11" s="10">
        <v>0.02</v>
      </c>
      <c r="H11" s="64" t="s">
        <v>95</v>
      </c>
      <c r="I11" s="65" t="s">
        <v>53</v>
      </c>
      <c r="J11" s="66" t="s">
        <v>103</v>
      </c>
      <c r="K11" s="63"/>
    </row>
    <row r="12" spans="1:19" x14ac:dyDescent="0.3">
      <c r="A12" s="61" t="s">
        <v>89</v>
      </c>
      <c r="B12" s="60" t="s">
        <v>52</v>
      </c>
      <c r="C12" s="10">
        <v>0.06</v>
      </c>
      <c r="H12" s="64" t="s">
        <v>97</v>
      </c>
      <c r="I12" s="65" t="s">
        <v>53</v>
      </c>
      <c r="J12" s="66" t="s">
        <v>104</v>
      </c>
      <c r="K12" s="63"/>
      <c r="M12" t="s">
        <v>114</v>
      </c>
      <c r="N12">
        <v>400000</v>
      </c>
    </row>
    <row r="13" spans="1:19" x14ac:dyDescent="0.3">
      <c r="A13" s="61" t="s">
        <v>90</v>
      </c>
      <c r="B13" s="60" t="s">
        <v>52</v>
      </c>
      <c r="C13" s="10">
        <v>0.05</v>
      </c>
    </row>
    <row r="14" spans="1:19" x14ac:dyDescent="0.3">
      <c r="A14" s="70" t="s">
        <v>88</v>
      </c>
      <c r="B14" s="68" t="s">
        <v>51</v>
      </c>
      <c r="C14" s="71">
        <v>0.03</v>
      </c>
    </row>
    <row r="15" spans="1:19" x14ac:dyDescent="0.3">
      <c r="A15" s="70" t="s">
        <v>89</v>
      </c>
      <c r="B15" s="68" t="s">
        <v>51</v>
      </c>
      <c r="C15" s="71">
        <v>0.04</v>
      </c>
      <c r="K15" t="s">
        <v>109</v>
      </c>
      <c r="L15" t="s">
        <v>112</v>
      </c>
      <c r="M15" t="s">
        <v>110</v>
      </c>
      <c r="N15" t="s">
        <v>106</v>
      </c>
      <c r="O15" t="s">
        <v>111</v>
      </c>
      <c r="P15" t="s">
        <v>113</v>
      </c>
      <c r="R15" t="s">
        <v>115</v>
      </c>
      <c r="S15" t="s">
        <v>116</v>
      </c>
    </row>
    <row r="16" spans="1:19" x14ac:dyDescent="0.3">
      <c r="A16" s="70" t="s">
        <v>90</v>
      </c>
      <c r="B16" s="68" t="s">
        <v>51</v>
      </c>
      <c r="C16" s="71">
        <v>0.03</v>
      </c>
      <c r="H16" s="59" t="s">
        <v>80</v>
      </c>
      <c r="I16" s="59" t="s">
        <v>106</v>
      </c>
      <c r="J16" s="2" t="s">
        <v>83</v>
      </c>
      <c r="K16" s="2">
        <f>C26*100000</f>
        <v>550000</v>
      </c>
      <c r="L16" s="2">
        <f>K16*5.5%</f>
        <v>30250</v>
      </c>
      <c r="M16" s="2">
        <v>40000</v>
      </c>
      <c r="N16" s="2">
        <f>I17</f>
        <v>22000</v>
      </c>
      <c r="O16" s="2">
        <f>K16*4%</f>
        <v>22000</v>
      </c>
      <c r="P16" s="2">
        <f>K16+M16+N16-O16</f>
        <v>590000</v>
      </c>
      <c r="Q16" s="2"/>
      <c r="R16" s="2">
        <f>((P16-N12)*I25*3)</f>
        <v>57000</v>
      </c>
      <c r="S16" s="2">
        <f>R16+N12+(P16-N12)</f>
        <v>647000</v>
      </c>
    </row>
    <row r="17" spans="1:19" x14ac:dyDescent="0.3">
      <c r="A17" s="61" t="s">
        <v>88</v>
      </c>
      <c r="B17" s="60" t="s">
        <v>53</v>
      </c>
      <c r="C17" s="10">
        <v>0.03</v>
      </c>
      <c r="H17" s="60" t="s">
        <v>83</v>
      </c>
      <c r="I17" s="60">
        <v>22000</v>
      </c>
      <c r="J17" t="s">
        <v>85</v>
      </c>
      <c r="K17">
        <f>C28*100000</f>
        <v>670000</v>
      </c>
      <c r="L17">
        <f>K17*7%</f>
        <v>46900.000000000007</v>
      </c>
      <c r="M17">
        <v>55000</v>
      </c>
      <c r="N17">
        <f>I19</f>
        <v>53000</v>
      </c>
      <c r="O17">
        <f>K17*3%</f>
        <v>20100</v>
      </c>
      <c r="P17">
        <f>K17+M17+N17-O17</f>
        <v>757900</v>
      </c>
      <c r="Q17" s="2"/>
      <c r="R17">
        <f>((P17-N12)*I25*3)</f>
        <v>107370</v>
      </c>
      <c r="S17">
        <f>R17+N12+(P17-N12)</f>
        <v>865270</v>
      </c>
    </row>
    <row r="18" spans="1:19" x14ac:dyDescent="0.3">
      <c r="A18" s="61" t="s">
        <v>89</v>
      </c>
      <c r="B18" s="60" t="s">
        <v>53</v>
      </c>
      <c r="C18" s="10">
        <v>0.05</v>
      </c>
      <c r="H18" s="60" t="s">
        <v>84</v>
      </c>
      <c r="I18" s="60">
        <v>70000</v>
      </c>
    </row>
    <row r="19" spans="1:19" x14ac:dyDescent="0.3">
      <c r="A19" s="61" t="s">
        <v>90</v>
      </c>
      <c r="B19" s="60" t="s">
        <v>53</v>
      </c>
      <c r="C19" s="10">
        <v>0.04</v>
      </c>
      <c r="H19" s="60" t="s">
        <v>85</v>
      </c>
      <c r="I19" s="60">
        <v>53000</v>
      </c>
    </row>
    <row r="22" spans="1:19" ht="28.8" x14ac:dyDescent="0.3">
      <c r="A22" s="59" t="s">
        <v>80</v>
      </c>
      <c r="B22" s="62" t="s">
        <v>86</v>
      </c>
      <c r="C22" s="67" t="s">
        <v>105</v>
      </c>
      <c r="H22" s="59" t="s">
        <v>107</v>
      </c>
      <c r="I22" s="67" t="s">
        <v>108</v>
      </c>
      <c r="K22" t="s">
        <v>121</v>
      </c>
      <c r="L22" t="s">
        <v>114</v>
      </c>
      <c r="M22" t="s">
        <v>122</v>
      </c>
      <c r="N22" t="s">
        <v>123</v>
      </c>
      <c r="O22" t="s">
        <v>124</v>
      </c>
      <c r="P22" t="s">
        <v>125</v>
      </c>
    </row>
    <row r="23" spans="1:19" x14ac:dyDescent="0.3">
      <c r="A23" s="60" t="s">
        <v>83</v>
      </c>
      <c r="B23" s="65" t="s">
        <v>52</v>
      </c>
      <c r="C23" s="60">
        <v>5.25</v>
      </c>
      <c r="H23" s="60">
        <v>12</v>
      </c>
      <c r="I23" s="10">
        <v>0.1</v>
      </c>
      <c r="J23" t="s">
        <v>83</v>
      </c>
      <c r="K23">
        <f>P16</f>
        <v>590000</v>
      </c>
      <c r="L23">
        <v>400000</v>
      </c>
      <c r="M23" s="2">
        <f>K23-L23</f>
        <v>190000</v>
      </c>
      <c r="N23" s="2">
        <f>M23*I26*3</f>
        <v>57000</v>
      </c>
      <c r="O23" s="2">
        <f>B35*4</f>
        <v>14000</v>
      </c>
      <c r="P23" s="2">
        <f>((I36/F35)*11560*4)</f>
        <v>67433.333333333343</v>
      </c>
      <c r="Q23" s="74">
        <f>SUM(M23:P23)</f>
        <v>328433.33333333337</v>
      </c>
    </row>
    <row r="24" spans="1:19" x14ac:dyDescent="0.3">
      <c r="A24" s="60" t="s">
        <v>84</v>
      </c>
      <c r="B24" s="65" t="s">
        <v>52</v>
      </c>
      <c r="C24" s="60">
        <v>13</v>
      </c>
      <c r="H24" s="60">
        <v>24</v>
      </c>
      <c r="I24" s="10">
        <v>0.1</v>
      </c>
    </row>
    <row r="25" spans="1:19" x14ac:dyDescent="0.3">
      <c r="A25" s="60" t="s">
        <v>85</v>
      </c>
      <c r="B25" s="65" t="s">
        <v>52</v>
      </c>
      <c r="C25" s="60">
        <v>6.7</v>
      </c>
      <c r="H25" s="60">
        <v>36</v>
      </c>
      <c r="I25" s="10">
        <v>0.1</v>
      </c>
    </row>
    <row r="26" spans="1:19" x14ac:dyDescent="0.3">
      <c r="A26" s="68" t="s">
        <v>83</v>
      </c>
      <c r="B26" s="69" t="s">
        <v>51</v>
      </c>
      <c r="C26" s="68">
        <v>5.5</v>
      </c>
      <c r="H26" s="60">
        <v>48</v>
      </c>
      <c r="I26" s="10">
        <v>0.1</v>
      </c>
    </row>
    <row r="27" spans="1:19" x14ac:dyDescent="0.3">
      <c r="A27" s="72" t="s">
        <v>84</v>
      </c>
      <c r="B27" s="73" t="s">
        <v>51</v>
      </c>
      <c r="C27" s="72">
        <v>12</v>
      </c>
    </row>
    <row r="28" spans="1:19" x14ac:dyDescent="0.3">
      <c r="A28" s="68" t="s">
        <v>85</v>
      </c>
      <c r="B28" s="69" t="s">
        <v>51</v>
      </c>
      <c r="C28" s="68">
        <v>6.7</v>
      </c>
    </row>
    <row r="29" spans="1:19" x14ac:dyDescent="0.3">
      <c r="A29" s="60" t="s">
        <v>83</v>
      </c>
      <c r="B29" s="65" t="s">
        <v>53</v>
      </c>
      <c r="C29" s="60">
        <v>5.7</v>
      </c>
    </row>
    <row r="30" spans="1:19" x14ac:dyDescent="0.3">
      <c r="A30" s="60" t="s">
        <v>84</v>
      </c>
      <c r="B30" s="65" t="s">
        <v>53</v>
      </c>
      <c r="C30" s="60">
        <v>14</v>
      </c>
      <c r="J30" s="1"/>
    </row>
    <row r="31" spans="1:19" x14ac:dyDescent="0.3">
      <c r="A31" s="60" t="s">
        <v>85</v>
      </c>
      <c r="B31" s="65" t="s">
        <v>53</v>
      </c>
      <c r="C31" s="60">
        <v>6.9</v>
      </c>
      <c r="J31" s="1"/>
    </row>
    <row r="34" spans="1:9" x14ac:dyDescent="0.3">
      <c r="A34" s="59" t="s">
        <v>80</v>
      </c>
      <c r="B34" s="59" t="s">
        <v>117</v>
      </c>
      <c r="E34" s="59" t="s">
        <v>80</v>
      </c>
      <c r="F34" s="59" t="s">
        <v>118</v>
      </c>
      <c r="H34" s="59" t="s">
        <v>119</v>
      </c>
      <c r="I34" s="59" t="s">
        <v>120</v>
      </c>
    </row>
    <row r="35" spans="1:9" x14ac:dyDescent="0.3">
      <c r="A35" s="60" t="s">
        <v>83</v>
      </c>
      <c r="B35" s="60">
        <v>3500</v>
      </c>
      <c r="E35" s="60" t="s">
        <v>83</v>
      </c>
      <c r="F35" s="60">
        <v>9.6</v>
      </c>
      <c r="H35" s="60" t="s">
        <v>52</v>
      </c>
      <c r="I35" s="60">
        <v>12</v>
      </c>
    </row>
    <row r="36" spans="1:9" x14ac:dyDescent="0.3">
      <c r="A36" s="60" t="s">
        <v>84</v>
      </c>
      <c r="B36" s="60">
        <v>7100</v>
      </c>
      <c r="E36" s="60" t="s">
        <v>84</v>
      </c>
      <c r="F36" s="60">
        <v>5.2</v>
      </c>
      <c r="H36" s="60" t="s">
        <v>51</v>
      </c>
      <c r="I36" s="60">
        <v>14</v>
      </c>
    </row>
    <row r="37" spans="1:9" x14ac:dyDescent="0.3">
      <c r="A37" s="60" t="s">
        <v>85</v>
      </c>
      <c r="B37" s="60">
        <v>5100</v>
      </c>
      <c r="E37" s="60" t="s">
        <v>85</v>
      </c>
      <c r="F37" s="60">
        <v>7</v>
      </c>
      <c r="H37" s="60" t="s">
        <v>53</v>
      </c>
      <c r="I37" s="6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</dc:creator>
  <cp:lastModifiedBy>ASTHA</cp:lastModifiedBy>
  <dcterms:created xsi:type="dcterms:W3CDTF">2022-02-24T09:40:14Z</dcterms:created>
  <dcterms:modified xsi:type="dcterms:W3CDTF">2022-03-07T16:32:18Z</dcterms:modified>
</cp:coreProperties>
</file>