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pulsion\Run Tank\"/>
    </mc:Choice>
  </mc:AlternateContent>
  <xr:revisionPtr revIDLastSave="0" documentId="13_ncr:1_{DCFAA38D-43C0-4FCA-AEAC-A16BEA624B9B}" xr6:coauthVersionLast="45" xr6:coauthVersionMax="45" xr10:uidLastSave="{00000000-0000-0000-0000-000000000000}"/>
  <bookViews>
    <workbookView xWindow="1050" yWindow="0" windowWidth="18465" windowHeight="13365" tabRatio="854" xr2:uid="{838B0196-D158-479E-A7C6-911A07F6EFB7}"/>
  </bookViews>
  <sheets>
    <sheet name="BPV Calcs - T6" sheetId="1" r:id="rId1"/>
    <sheet name="BPV Calcs - T51" sheetId="7" r:id="rId2"/>
    <sheet name="BPV Calcs for No PWHT" sheetId="6" r:id="rId3"/>
    <sheet name="N2O Pressure Calcs" sheetId="2" r:id="rId4"/>
    <sheet name="N2O Ullage Calcs" sheetId="3" r:id="rId5"/>
    <sheet name="Max Mass 4 a set Diptube length" sheetId="11" r:id="rId6"/>
    <sheet name="RT Mounting Bolt Calcs" sheetId="5" r:id="rId7"/>
    <sheet name="Min Yield Strength Allow -Shell" sheetId="9" r:id="rId8"/>
    <sheet name="Min Yield Strength Allow - Head" sheetId="10" r:id="rId9"/>
  </sheets>
  <definedNames>
    <definedName name="_MailAutoSig" localSheetId="5">'Max Mass 4 a set Diptube length'!$N$14</definedName>
    <definedName name="_MailAutoSig" localSheetId="4">'N2O Ullage Calcs'!$N$14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13" i="1"/>
  <c r="B13" i="1" l="1"/>
  <c r="F13" i="1"/>
  <c r="F8" i="1"/>
  <c r="G41" i="11" l="1"/>
  <c r="H41" i="11" s="1"/>
  <c r="F11" i="11"/>
  <c r="G11" i="11" s="1"/>
  <c r="H11" i="11" s="1"/>
  <c r="F12" i="11"/>
  <c r="G12" i="11" s="1"/>
  <c r="H12" i="11" s="1"/>
  <c r="F13" i="11"/>
  <c r="G13" i="11" s="1"/>
  <c r="H13" i="11" s="1"/>
  <c r="F14" i="11"/>
  <c r="G14" i="11" s="1"/>
  <c r="H14" i="11" s="1"/>
  <c r="F15" i="11"/>
  <c r="G15" i="11" s="1"/>
  <c r="H15" i="11" s="1"/>
  <c r="F16" i="11"/>
  <c r="G16" i="11" s="1"/>
  <c r="H16" i="11" s="1"/>
  <c r="F17" i="11"/>
  <c r="G17" i="11" s="1"/>
  <c r="H17" i="11" s="1"/>
  <c r="F18" i="11"/>
  <c r="G18" i="11" s="1"/>
  <c r="H18" i="11" s="1"/>
  <c r="F19" i="11"/>
  <c r="G19" i="11" s="1"/>
  <c r="H19" i="11" s="1"/>
  <c r="F20" i="11"/>
  <c r="G20" i="11" s="1"/>
  <c r="H20" i="11" s="1"/>
  <c r="F21" i="11"/>
  <c r="G21" i="11" s="1"/>
  <c r="H21" i="11" s="1"/>
  <c r="F22" i="11"/>
  <c r="G22" i="11" s="1"/>
  <c r="H22" i="11" s="1"/>
  <c r="F23" i="11"/>
  <c r="G23" i="11" s="1"/>
  <c r="H23" i="11" s="1"/>
  <c r="F24" i="11"/>
  <c r="G24" i="11" s="1"/>
  <c r="H24" i="11" s="1"/>
  <c r="F25" i="11"/>
  <c r="G25" i="11" s="1"/>
  <c r="H25" i="11" s="1"/>
  <c r="F26" i="11"/>
  <c r="G26" i="11" s="1"/>
  <c r="H26" i="11" s="1"/>
  <c r="F27" i="11"/>
  <c r="G27" i="11" s="1"/>
  <c r="H27" i="11" s="1"/>
  <c r="F28" i="11"/>
  <c r="G28" i="11" s="1"/>
  <c r="H28" i="11" s="1"/>
  <c r="F29" i="11"/>
  <c r="G29" i="11" s="1"/>
  <c r="H29" i="11" s="1"/>
  <c r="F30" i="11"/>
  <c r="G30" i="11" s="1"/>
  <c r="H30" i="11" s="1"/>
  <c r="F31" i="11"/>
  <c r="G31" i="11" s="1"/>
  <c r="H31" i="11" s="1"/>
  <c r="F32" i="11"/>
  <c r="G32" i="11" s="1"/>
  <c r="H32" i="11" s="1"/>
  <c r="F33" i="11"/>
  <c r="G33" i="11" s="1"/>
  <c r="H33" i="11" s="1"/>
  <c r="F34" i="11"/>
  <c r="G34" i="11" s="1"/>
  <c r="H34" i="11" s="1"/>
  <c r="F35" i="11"/>
  <c r="G35" i="11" s="1"/>
  <c r="H35" i="11" s="1"/>
  <c r="F36" i="11"/>
  <c r="G36" i="11" s="1"/>
  <c r="H36" i="11" s="1"/>
  <c r="F37" i="11"/>
  <c r="G37" i="11" s="1"/>
  <c r="H37" i="11" s="1"/>
  <c r="F38" i="11"/>
  <c r="G38" i="11" s="1"/>
  <c r="H38" i="11" s="1"/>
  <c r="F39" i="11"/>
  <c r="G39" i="11" s="1"/>
  <c r="H39" i="11" s="1"/>
  <c r="F40" i="11"/>
  <c r="G40" i="11" s="1"/>
  <c r="H40" i="11" s="1"/>
  <c r="F41" i="11"/>
  <c r="F42" i="11"/>
  <c r="G42" i="11" s="1"/>
  <c r="H42" i="11" s="1"/>
  <c r="F43" i="11"/>
  <c r="G43" i="11" s="1"/>
  <c r="H43" i="11" s="1"/>
  <c r="F44" i="11"/>
  <c r="G44" i="11" s="1"/>
  <c r="H44" i="11" s="1"/>
  <c r="F45" i="11"/>
  <c r="G45" i="11" s="1"/>
  <c r="H45" i="11" s="1"/>
  <c r="F46" i="11"/>
  <c r="G46" i="11" s="1"/>
  <c r="H46" i="11" s="1"/>
  <c r="F47" i="11"/>
  <c r="G47" i="11" s="1"/>
  <c r="H47" i="11" s="1"/>
  <c r="F48" i="11"/>
  <c r="G48" i="11" s="1"/>
  <c r="H48" i="11" s="1"/>
  <c r="F49" i="11"/>
  <c r="G49" i="11" s="1"/>
  <c r="H49" i="11" s="1"/>
  <c r="F50" i="11"/>
  <c r="G50" i="11" s="1"/>
  <c r="H50" i="11" s="1"/>
  <c r="F51" i="11"/>
  <c r="G51" i="11" s="1"/>
  <c r="H51" i="11" s="1"/>
  <c r="F52" i="11"/>
  <c r="G52" i="11" s="1"/>
  <c r="H52" i="11" s="1"/>
  <c r="F53" i="11"/>
  <c r="G53" i="11" s="1"/>
  <c r="H53" i="11" s="1"/>
  <c r="F5" i="11"/>
  <c r="G5" i="11" s="1"/>
  <c r="H5" i="11" s="1"/>
  <c r="F6" i="11"/>
  <c r="G6" i="11" s="1"/>
  <c r="H6" i="11" s="1"/>
  <c r="F7" i="11"/>
  <c r="G7" i="11" s="1"/>
  <c r="H7" i="11" s="1"/>
  <c r="F8" i="11"/>
  <c r="G8" i="11" s="1"/>
  <c r="H8" i="11" s="1"/>
  <c r="F9" i="11"/>
  <c r="G9" i="11" s="1"/>
  <c r="H9" i="11" s="1"/>
  <c r="F10" i="11"/>
  <c r="G10" i="11" s="1"/>
  <c r="H10" i="11" s="1"/>
  <c r="F4" i="11"/>
  <c r="I13" i="11" s="1"/>
  <c r="J13" i="11" s="1"/>
  <c r="K13" i="11" s="1"/>
  <c r="E4" i="3"/>
  <c r="R10" i="11"/>
  <c r="R14" i="11" s="1"/>
  <c r="D53" i="11"/>
  <c r="C53" i="11"/>
  <c r="B53" i="11"/>
  <c r="D47" i="11"/>
  <c r="C47" i="11"/>
  <c r="B47" i="11"/>
  <c r="I44" i="11" l="1"/>
  <c r="J44" i="11" s="1"/>
  <c r="K44" i="11" s="1"/>
  <c r="I43" i="11"/>
  <c r="J43" i="11" s="1"/>
  <c r="K43" i="11" s="1"/>
  <c r="I42" i="11"/>
  <c r="J42" i="11" s="1"/>
  <c r="K42" i="11" s="1"/>
  <c r="L13" i="11"/>
  <c r="I28" i="11"/>
  <c r="J28" i="11" s="1"/>
  <c r="K28" i="11" s="1"/>
  <c r="L28" i="11" s="1"/>
  <c r="I27" i="11"/>
  <c r="J27" i="11" s="1"/>
  <c r="K27" i="11" s="1"/>
  <c r="L27" i="11" s="1"/>
  <c r="I26" i="11"/>
  <c r="J26" i="11" s="1"/>
  <c r="K26" i="11" s="1"/>
  <c r="L26" i="11" s="1"/>
  <c r="I12" i="11"/>
  <c r="J12" i="11" s="1"/>
  <c r="K12" i="11" s="1"/>
  <c r="L12" i="11" s="1"/>
  <c r="L42" i="11"/>
  <c r="I11" i="11"/>
  <c r="J11" i="11" s="1"/>
  <c r="K11" i="11" s="1"/>
  <c r="L11" i="11" s="1"/>
  <c r="I10" i="11"/>
  <c r="J10" i="11" s="1"/>
  <c r="K10" i="11" s="1"/>
  <c r="L10" i="11" s="1"/>
  <c r="L43" i="11"/>
  <c r="L34" i="11"/>
  <c r="L15" i="11"/>
  <c r="L44" i="11"/>
  <c r="I25" i="11"/>
  <c r="J25" i="11" s="1"/>
  <c r="K25" i="11" s="1"/>
  <c r="L25" i="11" s="1"/>
  <c r="I40" i="11"/>
  <c r="J40" i="11" s="1"/>
  <c r="K40" i="11" s="1"/>
  <c r="L40" i="11" s="1"/>
  <c r="I24" i="11"/>
  <c r="J24" i="11" s="1"/>
  <c r="K24" i="11" s="1"/>
  <c r="L24" i="11" s="1"/>
  <c r="I8" i="11"/>
  <c r="J8" i="11" s="1"/>
  <c r="K8" i="11" s="1"/>
  <c r="L8" i="11" s="1"/>
  <c r="I4" i="11"/>
  <c r="J4" i="11" s="1"/>
  <c r="K4" i="11" s="1"/>
  <c r="I38" i="11"/>
  <c r="J38" i="11" s="1"/>
  <c r="K38" i="11" s="1"/>
  <c r="L38" i="11" s="1"/>
  <c r="I22" i="11"/>
  <c r="J22" i="11" s="1"/>
  <c r="K22" i="11" s="1"/>
  <c r="L22" i="11" s="1"/>
  <c r="I6" i="11"/>
  <c r="J6" i="11" s="1"/>
  <c r="K6" i="11" s="1"/>
  <c r="L6" i="11" s="1"/>
  <c r="I53" i="11"/>
  <c r="I37" i="11"/>
  <c r="J37" i="11" s="1"/>
  <c r="K37" i="11" s="1"/>
  <c r="L37" i="11" s="1"/>
  <c r="I21" i="11"/>
  <c r="J21" i="11" s="1"/>
  <c r="K21" i="11" s="1"/>
  <c r="L21" i="11" s="1"/>
  <c r="I5" i="11"/>
  <c r="J5" i="11" s="1"/>
  <c r="K5" i="11" s="1"/>
  <c r="L5" i="11" s="1"/>
  <c r="I52" i="11"/>
  <c r="J52" i="11" s="1"/>
  <c r="K52" i="11" s="1"/>
  <c r="L52" i="11" s="1"/>
  <c r="I36" i="11"/>
  <c r="J36" i="11" s="1"/>
  <c r="K36" i="11" s="1"/>
  <c r="L36" i="11" s="1"/>
  <c r="I20" i="11"/>
  <c r="J20" i="11" s="1"/>
  <c r="K20" i="11" s="1"/>
  <c r="L20" i="11" s="1"/>
  <c r="G4" i="11"/>
  <c r="H4" i="11" s="1"/>
  <c r="L4" i="11" s="1"/>
  <c r="I7" i="11"/>
  <c r="J7" i="11" s="1"/>
  <c r="K7" i="11" s="1"/>
  <c r="L7" i="11" s="1"/>
  <c r="I51" i="11"/>
  <c r="J51" i="11" s="1"/>
  <c r="K51" i="11" s="1"/>
  <c r="L51" i="11" s="1"/>
  <c r="I35" i="11"/>
  <c r="J35" i="11" s="1"/>
  <c r="K35" i="11" s="1"/>
  <c r="L35" i="11" s="1"/>
  <c r="I19" i="11"/>
  <c r="J19" i="11" s="1"/>
  <c r="K19" i="11" s="1"/>
  <c r="L19" i="11" s="1"/>
  <c r="I9" i="11"/>
  <c r="J9" i="11" s="1"/>
  <c r="K9" i="11" s="1"/>
  <c r="L9" i="11" s="1"/>
  <c r="I50" i="11"/>
  <c r="J50" i="11" s="1"/>
  <c r="K50" i="11" s="1"/>
  <c r="L50" i="11" s="1"/>
  <c r="I34" i="11"/>
  <c r="J34" i="11" s="1"/>
  <c r="K34" i="11" s="1"/>
  <c r="I18" i="11"/>
  <c r="J18" i="11" s="1"/>
  <c r="K18" i="11" s="1"/>
  <c r="L18" i="11" s="1"/>
  <c r="I49" i="11"/>
  <c r="J49" i="11" s="1"/>
  <c r="K49" i="11" s="1"/>
  <c r="L49" i="11" s="1"/>
  <c r="I33" i="11"/>
  <c r="J33" i="11" s="1"/>
  <c r="K33" i="11" s="1"/>
  <c r="L33" i="11" s="1"/>
  <c r="I17" i="11"/>
  <c r="J17" i="11" s="1"/>
  <c r="K17" i="11" s="1"/>
  <c r="L17" i="11" s="1"/>
  <c r="J53" i="11"/>
  <c r="K53" i="11" s="1"/>
  <c r="L53" i="11" s="1"/>
  <c r="I39" i="11"/>
  <c r="J39" i="11" s="1"/>
  <c r="K39" i="11" s="1"/>
  <c r="L39" i="11" s="1"/>
  <c r="I48" i="11"/>
  <c r="J48" i="11" s="1"/>
  <c r="K48" i="11" s="1"/>
  <c r="L48" i="11" s="1"/>
  <c r="I32" i="11"/>
  <c r="J32" i="11" s="1"/>
  <c r="K32" i="11" s="1"/>
  <c r="L32" i="11" s="1"/>
  <c r="I16" i="11"/>
  <c r="J16" i="11" s="1"/>
  <c r="K16" i="11" s="1"/>
  <c r="L16" i="11" s="1"/>
  <c r="I23" i="11"/>
  <c r="J23" i="11" s="1"/>
  <c r="K23" i="11" s="1"/>
  <c r="L23" i="11" s="1"/>
  <c r="I47" i="11"/>
  <c r="J47" i="11" s="1"/>
  <c r="K47" i="11" s="1"/>
  <c r="L47" i="11" s="1"/>
  <c r="I31" i="11"/>
  <c r="J31" i="11" s="1"/>
  <c r="K31" i="11" s="1"/>
  <c r="L31" i="11" s="1"/>
  <c r="I15" i="11"/>
  <c r="J15" i="11" s="1"/>
  <c r="K15" i="11" s="1"/>
  <c r="I41" i="11"/>
  <c r="J41" i="11" s="1"/>
  <c r="K41" i="11" s="1"/>
  <c r="L41" i="11" s="1"/>
  <c r="I46" i="11"/>
  <c r="J46" i="11" s="1"/>
  <c r="K46" i="11" s="1"/>
  <c r="L46" i="11" s="1"/>
  <c r="I30" i="11"/>
  <c r="J30" i="11" s="1"/>
  <c r="K30" i="11" s="1"/>
  <c r="L30" i="11" s="1"/>
  <c r="I14" i="11"/>
  <c r="J14" i="11" s="1"/>
  <c r="K14" i="11" s="1"/>
  <c r="L14" i="11" s="1"/>
  <c r="I45" i="11"/>
  <c r="J45" i="11" s="1"/>
  <c r="K45" i="11" s="1"/>
  <c r="L45" i="11" s="1"/>
  <c r="I29" i="11"/>
  <c r="J29" i="11" s="1"/>
  <c r="K29" i="11" s="1"/>
  <c r="L29" i="11" s="1"/>
  <c r="R13" i="11"/>
  <c r="R15" i="11" s="1"/>
  <c r="R11" i="11"/>
  <c r="G57" i="3"/>
  <c r="N17" i="3" s="1"/>
  <c r="N18" i="3" s="1"/>
  <c r="N19" i="3" s="1"/>
  <c r="N14" i="3"/>
  <c r="N16" i="3" s="1"/>
  <c r="B13" i="10" l="1"/>
  <c r="B13" i="9" l="1"/>
  <c r="B13" i="7" l="1"/>
  <c r="I54" i="3" l="1"/>
  <c r="B13" i="6"/>
  <c r="E31" i="3" l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B27" i="5" l="1"/>
  <c r="E6" i="5"/>
  <c r="B3" i="5" s="1"/>
  <c r="E13" i="5"/>
  <c r="E8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E9" i="5"/>
  <c r="E2" i="5"/>
  <c r="B22" i="5" s="1"/>
  <c r="B9" i="5" l="1"/>
  <c r="E10" i="5"/>
  <c r="L45" i="3" l="1"/>
  <c r="L46" i="3"/>
  <c r="L47" i="3"/>
  <c r="L48" i="3"/>
  <c r="L49" i="3"/>
  <c r="L50" i="3"/>
  <c r="L51" i="3"/>
  <c r="L52" i="3"/>
  <c r="L53" i="3"/>
  <c r="P2" i="2"/>
  <c r="O2" i="3" l="1"/>
  <c r="O7" i="3"/>
  <c r="G55" i="3"/>
  <c r="J54" i="3" s="1"/>
  <c r="D53" i="3"/>
  <c r="C53" i="3"/>
  <c r="F53" i="3" s="1"/>
  <c r="B53" i="3"/>
  <c r="D47" i="3"/>
  <c r="C47" i="3"/>
  <c r="B47" i="3"/>
  <c r="M7" i="2"/>
  <c r="E14" i="5" s="1"/>
  <c r="E16" i="5" s="1"/>
  <c r="G15" i="3" l="1"/>
  <c r="G27" i="3"/>
  <c r="G39" i="3"/>
  <c r="G51" i="3"/>
  <c r="G42" i="3"/>
  <c r="G7" i="3"/>
  <c r="G43" i="3"/>
  <c r="G21" i="3"/>
  <c r="G34" i="3"/>
  <c r="G23" i="3"/>
  <c r="G35" i="3"/>
  <c r="G24" i="3"/>
  <c r="G48" i="3"/>
  <c r="G25" i="3"/>
  <c r="G49" i="3"/>
  <c r="G4" i="3"/>
  <c r="G56" i="3" s="1"/>
  <c r="G16" i="3"/>
  <c r="G28" i="3"/>
  <c r="G40" i="3"/>
  <c r="G52" i="3"/>
  <c r="G30" i="3"/>
  <c r="G19" i="3"/>
  <c r="G32" i="3"/>
  <c r="G9" i="3"/>
  <c r="G45" i="3"/>
  <c r="G22" i="3"/>
  <c r="G14" i="3"/>
  <c r="G50" i="3"/>
  <c r="G5" i="3"/>
  <c r="G17" i="3"/>
  <c r="G29" i="3"/>
  <c r="G41" i="3"/>
  <c r="G18" i="3"/>
  <c r="G31" i="3"/>
  <c r="G8" i="3"/>
  <c r="G44" i="3"/>
  <c r="G33" i="3"/>
  <c r="G46" i="3"/>
  <c r="G11" i="3"/>
  <c r="G6" i="3"/>
  <c r="G20" i="3"/>
  <c r="G10" i="3"/>
  <c r="G47" i="3"/>
  <c r="G12" i="3"/>
  <c r="G36" i="3"/>
  <c r="G13" i="3"/>
  <c r="G37" i="3"/>
  <c r="G26" i="3"/>
  <c r="G38" i="3"/>
  <c r="F14" i="3"/>
  <c r="I14" i="3" s="1"/>
  <c r="F26" i="3"/>
  <c r="I26" i="3" s="1"/>
  <c r="F38" i="3"/>
  <c r="I38" i="3" s="1"/>
  <c r="F50" i="3"/>
  <c r="I50" i="3" s="1"/>
  <c r="F27" i="3"/>
  <c r="I27" i="3" s="1"/>
  <c r="F51" i="3"/>
  <c r="I51" i="3" s="1"/>
  <c r="F41" i="3"/>
  <c r="I41" i="3" s="1"/>
  <c r="F18" i="3"/>
  <c r="I18" i="3" s="1"/>
  <c r="F4" i="3"/>
  <c r="F31" i="3"/>
  <c r="I31" i="3" s="1"/>
  <c r="F32" i="3"/>
  <c r="I32" i="3" s="1"/>
  <c r="F21" i="3"/>
  <c r="I21" i="3" s="1"/>
  <c r="F45" i="3"/>
  <c r="I45" i="3" s="1"/>
  <c r="F23" i="3"/>
  <c r="I23" i="3" s="1"/>
  <c r="F35" i="3"/>
  <c r="I35" i="3" s="1"/>
  <c r="F36" i="3"/>
  <c r="I36" i="3" s="1"/>
  <c r="F49" i="3"/>
  <c r="I49" i="3" s="1"/>
  <c r="G53" i="3"/>
  <c r="F15" i="3"/>
  <c r="I15" i="3" s="1"/>
  <c r="F39" i="3"/>
  <c r="I39" i="3" s="1"/>
  <c r="F5" i="3"/>
  <c r="I5" i="3" s="1"/>
  <c r="I53" i="3"/>
  <c r="F30" i="3"/>
  <c r="I30" i="3" s="1"/>
  <c r="F19" i="3"/>
  <c r="I19" i="3" s="1"/>
  <c r="F8" i="3"/>
  <c r="I8" i="3" s="1"/>
  <c r="F22" i="3"/>
  <c r="I22" i="3" s="1"/>
  <c r="F24" i="3"/>
  <c r="I24" i="3" s="1"/>
  <c r="F37" i="3"/>
  <c r="I37" i="3" s="1"/>
  <c r="F16" i="3"/>
  <c r="I16" i="3" s="1"/>
  <c r="F28" i="3"/>
  <c r="I28" i="3" s="1"/>
  <c r="F40" i="3"/>
  <c r="I40" i="3" s="1"/>
  <c r="F52" i="3"/>
  <c r="I52" i="3" s="1"/>
  <c r="F17" i="3"/>
  <c r="I17" i="3" s="1"/>
  <c r="F6" i="3"/>
  <c r="I6" i="3" s="1"/>
  <c r="F42" i="3"/>
  <c r="I42" i="3" s="1"/>
  <c r="F7" i="3"/>
  <c r="I7" i="3" s="1"/>
  <c r="F20" i="3"/>
  <c r="I20" i="3" s="1"/>
  <c r="F10" i="3"/>
  <c r="I10" i="3" s="1"/>
  <c r="F47" i="3"/>
  <c r="I47" i="3" s="1"/>
  <c r="F25" i="3"/>
  <c r="I25" i="3" s="1"/>
  <c r="F29" i="3"/>
  <c r="I29" i="3" s="1"/>
  <c r="F43" i="3"/>
  <c r="I43" i="3" s="1"/>
  <c r="F44" i="3"/>
  <c r="I44" i="3" s="1"/>
  <c r="F9" i="3"/>
  <c r="I9" i="3" s="1"/>
  <c r="F33" i="3"/>
  <c r="I33" i="3" s="1"/>
  <c r="F46" i="3"/>
  <c r="I46" i="3" s="1"/>
  <c r="F11" i="3"/>
  <c r="I11" i="3" s="1"/>
  <c r="F48" i="3"/>
  <c r="I48" i="3" s="1"/>
  <c r="F13" i="3"/>
  <c r="I13" i="3" s="1"/>
  <c r="F34" i="3"/>
  <c r="I34" i="3" s="1"/>
  <c r="F12" i="3"/>
  <c r="I12" i="3" s="1"/>
  <c r="E47" i="3"/>
  <c r="E53" i="3"/>
  <c r="B8" i="5"/>
  <c r="B10" i="5" s="1"/>
  <c r="B15" i="5"/>
  <c r="B17" i="5" s="1"/>
  <c r="B26" i="5"/>
  <c r="B28" i="5" s="1"/>
  <c r="B2" i="5"/>
  <c r="B4" i="5" s="1"/>
  <c r="B21" i="5"/>
  <c r="B23" i="5" s="1"/>
  <c r="D47" i="2"/>
  <c r="C47" i="2"/>
  <c r="B47" i="2"/>
  <c r="P3" i="2"/>
  <c r="C53" i="2"/>
  <c r="D53" i="2"/>
  <c r="B53" i="2"/>
  <c r="I4" i="3" l="1"/>
  <c r="J17" i="3"/>
  <c r="K17" i="3" s="1"/>
  <c r="L17" i="3" s="1"/>
  <c r="I47" i="2"/>
  <c r="I53" i="2"/>
  <c r="J52" i="3" l="1"/>
  <c r="J16" i="3"/>
  <c r="K16" i="3" s="1"/>
  <c r="L16" i="3" s="1"/>
  <c r="J39" i="3"/>
  <c r="K39" i="3" s="1"/>
  <c r="L39" i="3" s="1"/>
  <c r="J38" i="3"/>
  <c r="K38" i="3" s="1"/>
  <c r="L38" i="3" s="1"/>
  <c r="J34" i="3"/>
  <c r="K34" i="3" s="1"/>
  <c r="L34" i="3" s="1"/>
  <c r="J43" i="3"/>
  <c r="K43" i="3" s="1"/>
  <c r="L43" i="3" s="1"/>
  <c r="J31" i="3"/>
  <c r="K31" i="3" s="1"/>
  <c r="L31" i="3" s="1"/>
  <c r="J51" i="3"/>
  <c r="J15" i="3"/>
  <c r="K15" i="3" s="1"/>
  <c r="L15" i="3" s="1"/>
  <c r="J11" i="3"/>
  <c r="K11" i="3" s="1"/>
  <c r="L11" i="3" s="1"/>
  <c r="M46" i="3"/>
  <c r="J5" i="3"/>
  <c r="K5" i="3" s="1"/>
  <c r="L5" i="3" s="1"/>
  <c r="J10" i="3"/>
  <c r="K10" i="3" s="1"/>
  <c r="L10" i="3" s="1"/>
  <c r="J7" i="3"/>
  <c r="K7" i="3" s="1"/>
  <c r="L7" i="3" s="1"/>
  <c r="J37" i="3"/>
  <c r="K37" i="3" s="1"/>
  <c r="L37" i="3" s="1"/>
  <c r="J14" i="3"/>
  <c r="K14" i="3" s="1"/>
  <c r="L14" i="3" s="1"/>
  <c r="J30" i="3"/>
  <c r="K30" i="3" s="1"/>
  <c r="L30" i="3" s="1"/>
  <c r="M48" i="3"/>
  <c r="J12" i="3"/>
  <c r="K12" i="3" s="1"/>
  <c r="L12" i="3" s="1"/>
  <c r="J44" i="3"/>
  <c r="K44" i="3" s="1"/>
  <c r="L44" i="3" s="1"/>
  <c r="M53" i="3"/>
  <c r="J27" i="3"/>
  <c r="K27" i="3" s="1"/>
  <c r="L27" i="3" s="1"/>
  <c r="J33" i="3"/>
  <c r="K33" i="3" s="1"/>
  <c r="L33" i="3" s="1"/>
  <c r="M49" i="3"/>
  <c r="J21" i="3"/>
  <c r="K21" i="3" s="1"/>
  <c r="L21" i="3" s="1"/>
  <c r="J18" i="3"/>
  <c r="K18" i="3" s="1"/>
  <c r="L18" i="3" s="1"/>
  <c r="J25" i="3"/>
  <c r="K25" i="3" s="1"/>
  <c r="L25" i="3" s="1"/>
  <c r="J24" i="3"/>
  <c r="K24" i="3" s="1"/>
  <c r="L24" i="3" s="1"/>
  <c r="J9" i="3"/>
  <c r="K9" i="3" s="1"/>
  <c r="L9" i="3" s="1"/>
  <c r="J6" i="3"/>
  <c r="K6" i="3" s="1"/>
  <c r="L6" i="3" s="1"/>
  <c r="J22" i="3"/>
  <c r="K22" i="3" s="1"/>
  <c r="L22" i="3" s="1"/>
  <c r="J47" i="3"/>
  <c r="J32" i="3"/>
  <c r="K32" i="3" s="1"/>
  <c r="L32" i="3" s="1"/>
  <c r="J41" i="3"/>
  <c r="K41" i="3" s="1"/>
  <c r="L41" i="3" s="1"/>
  <c r="J19" i="3"/>
  <c r="K19" i="3" s="1"/>
  <c r="L19" i="3" s="1"/>
  <c r="J26" i="3"/>
  <c r="K26" i="3" s="1"/>
  <c r="L26" i="3" s="1"/>
  <c r="J4" i="3"/>
  <c r="K4" i="3" s="1"/>
  <c r="J36" i="3"/>
  <c r="K36" i="3" s="1"/>
  <c r="L36" i="3" s="1"/>
  <c r="J40" i="3"/>
  <c r="K40" i="3" s="1"/>
  <c r="L40" i="3" s="1"/>
  <c r="J35" i="3"/>
  <c r="K35" i="3" s="1"/>
  <c r="L35" i="3" s="1"/>
  <c r="J20" i="3"/>
  <c r="K20" i="3" s="1"/>
  <c r="L20" i="3" s="1"/>
  <c r="M50" i="3"/>
  <c r="J45" i="3"/>
  <c r="J42" i="3"/>
  <c r="K42" i="3" s="1"/>
  <c r="L42" i="3" s="1"/>
  <c r="J13" i="3"/>
  <c r="K13" i="3" s="1"/>
  <c r="L13" i="3" s="1"/>
  <c r="J29" i="3"/>
  <c r="K29" i="3" s="1"/>
  <c r="L29" i="3" s="1"/>
  <c r="J28" i="3"/>
  <c r="K28" i="3" s="1"/>
  <c r="L28" i="3" s="1"/>
  <c r="J23" i="3"/>
  <c r="K23" i="3" s="1"/>
  <c r="L23" i="3" s="1"/>
  <c r="J8" i="3"/>
  <c r="K8" i="3" s="1"/>
  <c r="L8" i="3" s="1"/>
  <c r="M52" i="3"/>
  <c r="P1" i="2"/>
  <c r="M2" i="2" s="1"/>
  <c r="M45" i="3" l="1"/>
  <c r="J50" i="3"/>
  <c r="M51" i="3"/>
  <c r="J48" i="3"/>
  <c r="J46" i="3"/>
  <c r="J49" i="3"/>
  <c r="M47" i="3"/>
  <c r="J53" i="3"/>
  <c r="G5" i="2"/>
  <c r="H5" i="2" s="1"/>
  <c r="J5" i="2" s="1"/>
  <c r="G17" i="2"/>
  <c r="H17" i="2" s="1"/>
  <c r="J17" i="2" s="1"/>
  <c r="G29" i="2"/>
  <c r="H29" i="2" s="1"/>
  <c r="J29" i="2" s="1"/>
  <c r="G41" i="2"/>
  <c r="H41" i="2" s="1"/>
  <c r="J41" i="2" s="1"/>
  <c r="G65" i="2"/>
  <c r="H65" i="2" s="1"/>
  <c r="J65" i="2" s="1"/>
  <c r="G22" i="2"/>
  <c r="H22" i="2" s="1"/>
  <c r="J22" i="2" s="1"/>
  <c r="G74" i="2"/>
  <c r="H74" i="2" s="1"/>
  <c r="J74" i="2" s="1"/>
  <c r="G60" i="2"/>
  <c r="H60" i="2" s="1"/>
  <c r="J60" i="2" s="1"/>
  <c r="G61" i="2"/>
  <c r="H61" i="2" s="1"/>
  <c r="J61" i="2" s="1"/>
  <c r="G77" i="2"/>
  <c r="H77" i="2" s="1"/>
  <c r="J77" i="2" s="1"/>
  <c r="G50" i="2"/>
  <c r="H50" i="2" s="1"/>
  <c r="J50" i="2" s="1"/>
  <c r="G63" i="2"/>
  <c r="H63" i="2" s="1"/>
  <c r="J63" i="2" s="1"/>
  <c r="G64" i="2"/>
  <c r="H64" i="2" s="1"/>
  <c r="J64" i="2" s="1"/>
  <c r="G6" i="2"/>
  <c r="H6" i="2" s="1"/>
  <c r="J6" i="2" s="1"/>
  <c r="G18" i="2"/>
  <c r="H18" i="2" s="1"/>
  <c r="J18" i="2" s="1"/>
  <c r="G30" i="2"/>
  <c r="H30" i="2" s="1"/>
  <c r="J30" i="2" s="1"/>
  <c r="G42" i="2"/>
  <c r="H42" i="2" s="1"/>
  <c r="J42" i="2" s="1"/>
  <c r="G54" i="2"/>
  <c r="H54" i="2" s="1"/>
  <c r="J54" i="2" s="1"/>
  <c r="G66" i="2"/>
  <c r="H66" i="2" s="1"/>
  <c r="J66" i="2" s="1"/>
  <c r="G10" i="2"/>
  <c r="H10" i="2" s="1"/>
  <c r="J10" i="2" s="1"/>
  <c r="G24" i="2"/>
  <c r="H24" i="2" s="1"/>
  <c r="J24" i="2" s="1"/>
  <c r="G48" i="2"/>
  <c r="H48" i="2" s="1"/>
  <c r="J48" i="2" s="1"/>
  <c r="G76" i="2"/>
  <c r="H76" i="2" s="1"/>
  <c r="J76" i="2" s="1"/>
  <c r="G49" i="2"/>
  <c r="H49" i="2" s="1"/>
  <c r="J49" i="2" s="1"/>
  <c r="G62" i="2"/>
  <c r="H62" i="2" s="1"/>
  <c r="J62" i="2" s="1"/>
  <c r="G15" i="2"/>
  <c r="H15" i="2" s="1"/>
  <c r="J15" i="2" s="1"/>
  <c r="G51" i="2"/>
  <c r="H51" i="2" s="1"/>
  <c r="J51" i="2" s="1"/>
  <c r="G28" i="2"/>
  <c r="H28" i="2" s="1"/>
  <c r="J28" i="2" s="1"/>
  <c r="G4" i="2"/>
  <c r="H4" i="2" s="1"/>
  <c r="J4" i="2" s="1"/>
  <c r="G7" i="2"/>
  <c r="H7" i="2" s="1"/>
  <c r="J7" i="2" s="1"/>
  <c r="G19" i="2"/>
  <c r="H19" i="2" s="1"/>
  <c r="J19" i="2" s="1"/>
  <c r="G31" i="2"/>
  <c r="H31" i="2" s="1"/>
  <c r="J31" i="2" s="1"/>
  <c r="G43" i="2"/>
  <c r="H43" i="2" s="1"/>
  <c r="J43" i="2" s="1"/>
  <c r="G55" i="2"/>
  <c r="H55" i="2" s="1"/>
  <c r="J55" i="2" s="1"/>
  <c r="G67" i="2"/>
  <c r="H67" i="2" s="1"/>
  <c r="J67" i="2" s="1"/>
  <c r="G34" i="2"/>
  <c r="H34" i="2" s="1"/>
  <c r="J34" i="2" s="1"/>
  <c r="G11" i="2"/>
  <c r="H11" i="2" s="1"/>
  <c r="J11" i="2" s="1"/>
  <c r="G59" i="2"/>
  <c r="H59" i="2" s="1"/>
  <c r="J59" i="2" s="1"/>
  <c r="G75" i="2"/>
  <c r="H75" i="2" s="1"/>
  <c r="J75" i="2" s="1"/>
  <c r="G37" i="2"/>
  <c r="H37" i="2" s="1"/>
  <c r="J37" i="2" s="1"/>
  <c r="G26" i="2"/>
  <c r="H26" i="2" s="1"/>
  <c r="J26" i="2" s="1"/>
  <c r="G78" i="2"/>
  <c r="H78" i="2" s="1"/>
  <c r="J78" i="2" s="1"/>
  <c r="G16" i="2"/>
  <c r="H16" i="2" s="1"/>
  <c r="J16" i="2" s="1"/>
  <c r="G8" i="2"/>
  <c r="H8" i="2" s="1"/>
  <c r="J8" i="2" s="1"/>
  <c r="G20" i="2"/>
  <c r="H20" i="2" s="1"/>
  <c r="J20" i="2" s="1"/>
  <c r="G32" i="2"/>
  <c r="H32" i="2" s="1"/>
  <c r="J32" i="2" s="1"/>
  <c r="G44" i="2"/>
  <c r="H44" i="2" s="1"/>
  <c r="J44" i="2" s="1"/>
  <c r="G56" i="2"/>
  <c r="H56" i="2" s="1"/>
  <c r="J56" i="2" s="1"/>
  <c r="G68" i="2"/>
  <c r="H68" i="2" s="1"/>
  <c r="J68" i="2" s="1"/>
  <c r="G58" i="2"/>
  <c r="H58" i="2" s="1"/>
  <c r="J58" i="2" s="1"/>
  <c r="G23" i="2"/>
  <c r="H23" i="2" s="1"/>
  <c r="J23" i="2" s="1"/>
  <c r="G71" i="2"/>
  <c r="H71" i="2" s="1"/>
  <c r="J71" i="2" s="1"/>
  <c r="G36" i="2"/>
  <c r="H36" i="2" s="1"/>
  <c r="J36" i="2" s="1"/>
  <c r="G13" i="2"/>
  <c r="H13" i="2" s="1"/>
  <c r="J13" i="2" s="1"/>
  <c r="G14" i="2"/>
  <c r="H14" i="2" s="1"/>
  <c r="J14" i="2" s="1"/>
  <c r="G27" i="2"/>
  <c r="H27" i="2" s="1"/>
  <c r="J27" i="2" s="1"/>
  <c r="G79" i="2"/>
  <c r="H79" i="2" s="1"/>
  <c r="J79" i="2" s="1"/>
  <c r="G72" i="2"/>
  <c r="H72" i="2" s="1"/>
  <c r="J72" i="2" s="1"/>
  <c r="G9" i="2"/>
  <c r="H9" i="2" s="1"/>
  <c r="J9" i="2" s="1"/>
  <c r="G21" i="2"/>
  <c r="H21" i="2" s="1"/>
  <c r="J21" i="2" s="1"/>
  <c r="G33" i="2"/>
  <c r="H33" i="2" s="1"/>
  <c r="J33" i="2" s="1"/>
  <c r="G45" i="2"/>
  <c r="H45" i="2" s="1"/>
  <c r="J45" i="2" s="1"/>
  <c r="G57" i="2"/>
  <c r="H57" i="2" s="1"/>
  <c r="J57" i="2" s="1"/>
  <c r="G69" i="2"/>
  <c r="H69" i="2" s="1"/>
  <c r="J69" i="2" s="1"/>
  <c r="G73" i="2"/>
  <c r="H73" i="2" s="1"/>
  <c r="J73" i="2" s="1"/>
  <c r="G46" i="2"/>
  <c r="H46" i="2" s="1"/>
  <c r="J46" i="2" s="1"/>
  <c r="G70" i="2"/>
  <c r="H70" i="2" s="1"/>
  <c r="J70" i="2" s="1"/>
  <c r="G35" i="2"/>
  <c r="H35" i="2" s="1"/>
  <c r="J35" i="2" s="1"/>
  <c r="G12" i="2"/>
  <c r="H12" i="2" s="1"/>
  <c r="J12" i="2" s="1"/>
  <c r="G25" i="2"/>
  <c r="H25" i="2" s="1"/>
  <c r="J25" i="2" s="1"/>
  <c r="G38" i="2"/>
  <c r="H38" i="2" s="1"/>
  <c r="J38" i="2" s="1"/>
  <c r="G39" i="2"/>
  <c r="H39" i="2" s="1"/>
  <c r="J39" i="2" s="1"/>
  <c r="G40" i="2"/>
  <c r="H40" i="2" s="1"/>
  <c r="J40" i="2" s="1"/>
  <c r="G52" i="2"/>
  <c r="H52" i="2" s="1"/>
  <c r="J52" i="2" s="1"/>
  <c r="G47" i="2"/>
  <c r="H47" i="2" s="1"/>
  <c r="J47" i="2" s="1"/>
  <c r="G53" i="2"/>
  <c r="H53" i="2" s="1"/>
  <c r="L4" i="3"/>
  <c r="G58" i="3"/>
  <c r="B16" i="6" l="1"/>
  <c r="B16" i="9"/>
  <c r="B16" i="10"/>
  <c r="B17" i="10" s="1"/>
  <c r="B16" i="7"/>
  <c r="B17" i="7" s="1"/>
  <c r="F8" i="7" s="1"/>
  <c r="B17" i="9"/>
  <c r="F9" i="7"/>
  <c r="J53" i="2"/>
  <c r="B17" i="6"/>
  <c r="B16" i="1"/>
  <c r="B17" i="1" s="1"/>
  <c r="F12" i="7" l="1"/>
  <c r="F13" i="7" s="1"/>
  <c r="C14" i="7" s="1"/>
  <c r="B19" i="9"/>
  <c r="B19" i="10"/>
  <c r="F12" i="10"/>
  <c r="F13" i="10" s="1"/>
  <c r="C14" i="10" s="1"/>
  <c r="F8" i="10"/>
  <c r="F9" i="10"/>
  <c r="F10" i="7"/>
  <c r="C13" i="7" s="1"/>
  <c r="F8" i="9"/>
  <c r="F9" i="9"/>
  <c r="F12" i="9"/>
  <c r="F13" i="9" s="1"/>
  <c r="C14" i="9" s="1"/>
  <c r="B19" i="6"/>
  <c r="B19" i="7"/>
  <c r="B19" i="1"/>
  <c r="F12" i="6"/>
  <c r="F13" i="6" s="1"/>
  <c r="C14" i="6" s="1"/>
  <c r="F9" i="6"/>
  <c r="F8" i="6"/>
  <c r="F10" i="6" s="1"/>
  <c r="C13" i="6" s="1"/>
  <c r="F9" i="1"/>
  <c r="F10" i="1" s="1"/>
  <c r="F12" i="1"/>
  <c r="F10" i="10" l="1"/>
  <c r="C13" i="10" s="1"/>
  <c r="F10" i="9"/>
  <c r="C13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rgb="FF000000"/>
            <rFont val="Tahoma"/>
            <family val="2"/>
          </rPr>
          <t>Dan: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<sst xmlns="http://schemas.openxmlformats.org/spreadsheetml/2006/main" count="277" uniqueCount="150">
  <si>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</si>
  <si>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</si>
  <si>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</si>
  <si>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</si>
  <si>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</si>
  <si>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</si>
  <si>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</si>
  <si>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</si>
  <si>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</si>
  <si>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</si>
  <si>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</si>
  <si>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</si>
  <si>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</si>
  <si>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</si>
  <si>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</si>
  <si>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</si>
  <si>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</si>
  <si>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</si>
  <si>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</si>
  <si>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</si>
  <si>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</si>
  <si>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</si>
  <si>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</si>
  <si>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</si>
  <si>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</si>
  <si>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</si>
  <si>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</si>
  <si>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</si>
  <si>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</si>
  <si>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</si>
  <si>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</si>
  <si>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</si>
  <si>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</si>
  <si>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</si>
  <si>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</si>
  <si>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</si>
  <si>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</si>
  <si>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</si>
  <si>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</si>
  <si>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</si>
  <si>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</si>
  <si>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</si>
  <si>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</si>
  <si>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</si>
  <si>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</si>
  <si>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</si>
  <si>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</si>
  <si>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</si>
  <si>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Height from top of storage volume required</t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</si>
  <si>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</si>
  <si>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</si>
  <si>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</si>
  <si>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</si>
  <si>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</si>
  <si>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</si>
  <si>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</si>
  <si>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</si>
  <si>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</si>
  <si>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</si>
  <si>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</si>
  <si>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thickness of mounting (in)</t>
  </si>
  <si>
    <t>Force Calcs</t>
  </si>
  <si>
    <t>Max G-force (non-dim)</t>
  </si>
  <si>
    <t>Accel due to Gravity (ft/s^2)</t>
  </si>
  <si>
    <t>Accel (ft/s^2)</t>
  </si>
  <si>
    <t>Mass of Propellant (slug)</t>
  </si>
  <si>
    <t>Shell Thickness we are using (min. based on tol) (in.)</t>
  </si>
  <si>
    <t>Cap Thickness we are using away from weld (in)</t>
  </si>
  <si>
    <t>lbm to slug conv</t>
  </si>
  <si>
    <t>Mass of Dry Tank (lbm)</t>
  </si>
  <si>
    <t>Mass of Dry Tank (slug)</t>
  </si>
  <si>
    <t>6061-T6 --- S_yt (psi)</t>
  </si>
  <si>
    <t>Total # of Bolts</t>
  </si>
  <si>
    <t>Bolt Diameter (in)</t>
  </si>
  <si>
    <t>Avg. Shear Stress in Bolt (psi)</t>
  </si>
  <si>
    <t>Ultimate Strength (psi)</t>
  </si>
  <si>
    <t>Ult to Shear Guideline</t>
  </si>
  <si>
    <t>Estimated Shear Strength (psi)</t>
  </si>
  <si>
    <t>Force on RT (lbf)</t>
  </si>
  <si>
    <t>Tension Mode of the Member (Roark's eq. 19.5-2)</t>
  </si>
  <si>
    <t>Shearing Mode of the Bolt (Roark's eq. 19.5-1)</t>
  </si>
  <si>
    <t>Outer Diameter of RT (in)</t>
  </si>
  <si>
    <t>Tensile Stress in Member (psi)</t>
  </si>
  <si>
    <t>Tearing Mode of the Member (Roark's eq. 19.5-3)</t>
  </si>
  <si>
    <t>L (in)</t>
  </si>
  <si>
    <t>Shear Stress in the Member (psi)</t>
  </si>
  <si>
    <t>Assumes only one bolt (worst case)</t>
  </si>
  <si>
    <t>Ult Shear Strength of Member (psi)</t>
  </si>
  <si>
    <t>Tensile Yield Strength of Member (psi)</t>
  </si>
  <si>
    <t>Ult. Shear Strength of Bolt (psi)</t>
  </si>
  <si>
    <t>Compression or Bearing Mode of Members (Roark's 19.5-4)</t>
  </si>
  <si>
    <t>Bearing Stress (psi)</t>
  </si>
  <si>
    <t>Number of Shearing Surfs</t>
  </si>
  <si>
    <t>Using Grade 5 bolts</t>
  </si>
  <si>
    <t>Min. Proof Strength (psi)</t>
  </si>
  <si>
    <t>Min. Proof Strength of Bolt (psi)</t>
  </si>
  <si>
    <t>Compression/Bearing Mode of Bolts (Roark's 19.5-4)</t>
  </si>
  <si>
    <t>Compression/Bearing Stress (psi)</t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</si>
  <si>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5% vap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</si>
  <si>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at T_max</t>
  </si>
  <si>
    <t>Driving Param:</t>
  </si>
  <si>
    <t>Actual Tank Volume</t>
  </si>
  <si>
    <t>T51</t>
  </si>
  <si>
    <t>NO PWHT</t>
  </si>
  <si>
    <t>T6</t>
  </si>
  <si>
    <t xml:space="preserve">http://www.astro.caltech.edu/sedm/_downloads/Extruded_Alloy_6061.pdf </t>
  </si>
  <si>
    <t>FS^</t>
  </si>
  <si>
    <r>
      <rPr>
        <b/>
        <i/>
        <u/>
        <sz val="18"/>
        <color rgb="FFFA7D00"/>
        <rFont val="Calibri (Body)_x0000_"/>
      </rPr>
      <t>Min. Allowable</t>
    </r>
    <r>
      <rPr>
        <b/>
        <i/>
        <sz val="16"/>
        <color rgb="FFFA7D00"/>
        <rFont val="Calibri"/>
        <family val="2"/>
        <scheme val="minor"/>
      </rPr>
      <t>Tensile Yield Strength (psi)</t>
    </r>
  </si>
  <si>
    <t>135.2 Mpa</t>
  </si>
  <si>
    <t>186.2 Mpa</t>
  </si>
  <si>
    <r>
      <t xml:space="preserve">FOR MINUMUM YIELD STRENGTH ALLOWABLE AT 0.15" </t>
    </r>
    <r>
      <rPr>
        <b/>
        <sz val="18"/>
        <color rgb="FFFA7D00"/>
        <rFont val="Calibri (Body)_x0000_"/>
      </rPr>
      <t>HEAD THICKNESS</t>
    </r>
  </si>
  <si>
    <r>
      <t>FOR MINUMUM YIELD STRENGTH ALLOWABLE AT 0.225"</t>
    </r>
    <r>
      <rPr>
        <b/>
        <sz val="18"/>
        <color rgb="FFFA7D00"/>
        <rFont val="Calibri (Body)_x0000_"/>
      </rPr>
      <t xml:space="preserve"> SHELL THICKNESS</t>
    </r>
  </si>
  <si>
    <t>total def vol</t>
  </si>
  <si>
    <t>diff(ft^3)</t>
  </si>
  <si>
    <t>DEF CALCS</t>
  </si>
  <si>
    <t>def rad (in)</t>
  </si>
  <si>
    <t>def rad (ft)</t>
  </si>
  <si>
    <t>hemi head (ft3)</t>
  </si>
  <si>
    <t>shell (ft3)</t>
  </si>
  <si>
    <t>inner diameter (in)</t>
  </si>
  <si>
    <t>inner diameter (ft)</t>
  </si>
  <si>
    <t>Volume of Hemi Head (ft^3)</t>
  </si>
  <si>
    <t>Total RT Internal volume (ft^3)</t>
  </si>
  <si>
    <t>Total RT internal length (ft)</t>
  </si>
  <si>
    <t xml:space="preserve">RT Liquid Volume </t>
  </si>
  <si>
    <t>RT Liquid Mass</t>
  </si>
  <si>
    <t>RT Vapor Mass</t>
  </si>
  <si>
    <t>slugs</t>
  </si>
  <si>
    <t>lbm</t>
  </si>
  <si>
    <t>RT Vapor Volume</t>
  </si>
  <si>
    <t>Diptube Length (from top of top head) (in)</t>
  </si>
  <si>
    <t>Slugs to Lbm conversion (lbm / slug)</t>
  </si>
  <si>
    <t>TOTAL OX MASS</t>
  </si>
  <si>
    <t>6061-</t>
  </si>
  <si>
    <t>High-Pressure N2O Flight Tank</t>
  </si>
  <si>
    <t>Margin of Safety</t>
  </si>
  <si>
    <r>
      <t xml:space="preserve">Shell Thickness Used (min. based on tol) </t>
    </r>
    <r>
      <rPr>
        <i/>
        <sz val="11"/>
        <color theme="1"/>
        <rFont val="Calibri"/>
        <family val="2"/>
        <scheme val="minor"/>
      </rPr>
      <t>(in.)</t>
    </r>
  </si>
  <si>
    <r>
      <t xml:space="preserve">Cap Thickness Used (min. in component) </t>
    </r>
    <r>
      <rPr>
        <i/>
        <sz val="11"/>
        <color theme="1"/>
        <rFont val="Calibri"/>
        <family val="2"/>
        <scheme val="minor"/>
      </rPr>
      <t>(in.)</t>
    </r>
  </si>
  <si>
    <r>
      <t>Outer Diameter of RT</t>
    </r>
    <r>
      <rPr>
        <i/>
        <sz val="11"/>
        <color theme="1"/>
        <rFont val="Calibri"/>
        <family val="2"/>
        <scheme val="minor"/>
      </rPr>
      <t xml:space="preserve"> (in)</t>
    </r>
  </si>
  <si>
    <r>
      <t xml:space="preserve">Max. Allowable Tensile Stress </t>
    </r>
    <r>
      <rPr>
        <i/>
        <sz val="11"/>
        <color theme="1"/>
        <rFont val="Calibri"/>
        <family val="2"/>
        <scheme val="minor"/>
      </rPr>
      <t>(psi)</t>
    </r>
  </si>
  <si>
    <r>
      <t xml:space="preserve">Inner Radius </t>
    </r>
    <r>
      <rPr>
        <i/>
        <sz val="11"/>
        <color theme="1"/>
        <rFont val="Calibri"/>
        <family val="2"/>
        <scheme val="minor"/>
      </rPr>
      <t>(in)</t>
    </r>
  </si>
  <si>
    <r>
      <t xml:space="preserve">External Pressure </t>
    </r>
    <r>
      <rPr>
        <i/>
        <sz val="11"/>
        <color theme="1"/>
        <rFont val="Calibri"/>
        <family val="2"/>
        <scheme val="minor"/>
      </rPr>
      <t>(psi)</t>
    </r>
  </si>
  <si>
    <r>
      <t xml:space="preserve">Internal Pressure </t>
    </r>
    <r>
      <rPr>
        <i/>
        <sz val="11"/>
        <color theme="1"/>
        <rFont val="Calibri"/>
        <family val="2"/>
        <scheme val="minor"/>
      </rPr>
      <t>(psi)</t>
    </r>
  </si>
  <si>
    <r>
      <t xml:space="preserve">UG-27.c.1 ---- t_min </t>
    </r>
    <r>
      <rPr>
        <i/>
        <sz val="11"/>
        <color theme="1"/>
        <rFont val="Calibri"/>
        <family val="2"/>
        <scheme val="minor"/>
      </rPr>
      <t>(in.)</t>
    </r>
  </si>
  <si>
    <r>
      <t xml:space="preserve">UG-27.c.2 ---- t_min </t>
    </r>
    <r>
      <rPr>
        <i/>
        <sz val="11"/>
        <color theme="1"/>
        <rFont val="Calibri"/>
        <family val="2"/>
        <scheme val="minor"/>
      </rPr>
      <t>(in.)</t>
    </r>
  </si>
  <si>
    <r>
      <t xml:space="preserve">UG-32.e ---- t_min </t>
    </r>
    <r>
      <rPr>
        <i/>
        <sz val="11"/>
        <color theme="1"/>
        <rFont val="Calibri"/>
        <family val="2"/>
        <scheme val="minor"/>
      </rPr>
      <t>(in.)</t>
    </r>
  </si>
  <si>
    <t>Min. Shell Thickness (in)</t>
  </si>
  <si>
    <r>
      <t>Min Hemi-Head Thickness</t>
    </r>
    <r>
      <rPr>
        <b/>
        <i/>
        <sz val="11"/>
        <color theme="1"/>
        <rFont val="Calibri"/>
        <family val="2"/>
        <scheme val="minor"/>
      </rPr>
      <t xml:space="preserve"> (in.)</t>
    </r>
  </si>
  <si>
    <t>Worst case RT-inj. Plumbing pressure (just above injector) (psi)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</si>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</sst>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00"/>
  </numFmts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i/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6"/>
      <color rgb="FFFA7D00"/>
      <name val="Calibri"/>
      <family val="2"/>
      <scheme val="minor"/>
    </font>
    <font>
      <b/>
      <i/>
      <u/>
      <sz val="18"/>
      <color rgb="FFFA7D00"/>
      <name val="Calibri (Body)_x0000_"/>
    </font>
    <font>
      <b/>
      <sz val="16"/>
      <color rgb="FFFA7D00"/>
      <name val="Calibri"/>
      <family val="2"/>
      <scheme val="minor"/>
    </font>
    <font>
      <b/>
      <sz val="18"/>
      <color rgb="FFFA7D00"/>
      <name val="Calibri (Body)_x0000_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9" borderId="28" applyNumberFormat="0" applyAlignment="0" applyProtection="0"/>
  </cellStyleXfs>
  <cellXfs count="26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6" fillId="3" borderId="15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6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6" fillId="3" borderId="5" xfId="0" applyNumberFormat="1" applyFont="1" applyFill="1" applyBorder="1" applyAlignment="1">
      <alignment horizontal="center"/>
    </xf>
    <xf numFmtId="166" fontId="17" fillId="3" borderId="5" xfId="0" applyNumberFormat="1" applyFont="1" applyFill="1" applyBorder="1" applyAlignment="1">
      <alignment horizontal="center"/>
    </xf>
    <xf numFmtId="166" fontId="17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7" fontId="9" fillId="3" borderId="5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2" fontId="0" fillId="0" borderId="6" xfId="0" applyNumberFormat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7" fillId="4" borderId="5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166" fontId="7" fillId="4" borderId="6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164" fontId="0" fillId="0" borderId="8" xfId="0" applyNumberFormat="1" applyBorder="1"/>
    <xf numFmtId="2" fontId="1" fillId="0" borderId="8" xfId="0" applyNumberFormat="1" applyFont="1" applyBorder="1"/>
    <xf numFmtId="164" fontId="1" fillId="0" borderId="10" xfId="0" applyNumberFormat="1" applyFont="1" applyBorder="1"/>
    <xf numFmtId="0" fontId="1" fillId="0" borderId="25" xfId="0" applyFont="1" applyBorder="1"/>
    <xf numFmtId="166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1" fillId="0" borderId="24" xfId="0" applyFont="1" applyFill="1" applyBorder="1"/>
    <xf numFmtId="0" fontId="19" fillId="0" borderId="0" xfId="0" applyFont="1"/>
    <xf numFmtId="0" fontId="1" fillId="0" borderId="24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64" fontId="1" fillId="0" borderId="13" xfId="0" applyNumberFormat="1" applyFont="1" applyBorder="1" applyAlignment="1"/>
    <xf numFmtId="164" fontId="1" fillId="0" borderId="17" xfId="0" applyNumberFormat="1" applyFont="1" applyBorder="1" applyAlignment="1"/>
    <xf numFmtId="0" fontId="23" fillId="6" borderId="25" xfId="2" applyBorder="1"/>
    <xf numFmtId="0" fontId="24" fillId="7" borderId="25" xfId="3" applyBorder="1"/>
    <xf numFmtId="0" fontId="1" fillId="0" borderId="0" xfId="0" applyFont="1" applyBorder="1" applyAlignment="1">
      <alignment horizontal="left"/>
    </xf>
    <xf numFmtId="0" fontId="2" fillId="0" borderId="0" xfId="0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23" fillId="6" borderId="0" xfId="2" applyBorder="1"/>
    <xf numFmtId="0" fontId="24" fillId="7" borderId="0" xfId="3" applyBorder="1"/>
    <xf numFmtId="0" fontId="25" fillId="5" borderId="27" xfId="1" applyFont="1" applyBorder="1"/>
    <xf numFmtId="0" fontId="1" fillId="8" borderId="27" xfId="0" applyFont="1" applyFill="1" applyBorder="1"/>
    <xf numFmtId="0" fontId="26" fillId="0" borderId="0" xfId="4"/>
    <xf numFmtId="0" fontId="1" fillId="0" borderId="0" xfId="0" applyFont="1" applyAlignment="1">
      <alignment horizontal="right"/>
    </xf>
    <xf numFmtId="0" fontId="24" fillId="10" borderId="25" xfId="3" applyFill="1" applyBorder="1"/>
    <xf numFmtId="0" fontId="24" fillId="10" borderId="0" xfId="3" applyFill="1" applyBorder="1"/>
    <xf numFmtId="0" fontId="2" fillId="10" borderId="25" xfId="0" applyFont="1" applyFill="1" applyBorder="1"/>
    <xf numFmtId="0" fontId="2" fillId="10" borderId="0" xfId="0" applyFont="1" applyFill="1" applyBorder="1"/>
    <xf numFmtId="0" fontId="29" fillId="9" borderId="28" xfId="5" applyFont="1" applyAlignment="1">
      <alignment horizontal="center" vertical="center"/>
    </xf>
    <xf numFmtId="0" fontId="29" fillId="9" borderId="28" xfId="5" applyNumberFormat="1" applyFont="1" applyAlignment="1">
      <alignment horizontal="center" vertical="center"/>
    </xf>
    <xf numFmtId="0" fontId="31" fillId="9" borderId="28" xfId="5" applyFont="1"/>
    <xf numFmtId="2" fontId="31" fillId="9" borderId="28" xfId="5" applyNumberFormat="1" applyFont="1"/>
    <xf numFmtId="166" fontId="9" fillId="3" borderId="30" xfId="0" applyNumberFormat="1" applyFont="1" applyFill="1" applyBorder="1" applyAlignment="1">
      <alignment horizontal="center"/>
    </xf>
    <xf numFmtId="167" fontId="9" fillId="3" borderId="9" xfId="0" applyNumberFormat="1" applyFont="1" applyFill="1" applyBorder="1" applyAlignment="1">
      <alignment horizontal="center"/>
    </xf>
    <xf numFmtId="166" fontId="9" fillId="3" borderId="9" xfId="0" applyNumberFormat="1" applyFont="1" applyFill="1" applyBorder="1" applyAlignment="1">
      <alignment horizontal="center"/>
    </xf>
    <xf numFmtId="0" fontId="0" fillId="0" borderId="23" xfId="0" applyBorder="1"/>
    <xf numFmtId="167" fontId="0" fillId="0" borderId="23" xfId="0" applyNumberFormat="1" applyBorder="1"/>
    <xf numFmtId="0" fontId="0" fillId="0" borderId="13" xfId="0" applyBorder="1"/>
    <xf numFmtId="0" fontId="1" fillId="0" borderId="16" xfId="0" applyFont="1" applyBorder="1"/>
    <xf numFmtId="0" fontId="1" fillId="0" borderId="17" xfId="0" applyFont="1" applyBorder="1"/>
    <xf numFmtId="0" fontId="33" fillId="0" borderId="12" xfId="0" applyFont="1" applyBorder="1"/>
    <xf numFmtId="0" fontId="33" fillId="0" borderId="0" xfId="0" applyFont="1" applyBorder="1"/>
    <xf numFmtId="167" fontId="0" fillId="0" borderId="0" xfId="0" applyNumberFormat="1" applyBorder="1"/>
    <xf numFmtId="166" fontId="7" fillId="0" borderId="12" xfId="0" applyNumberFormat="1" applyFont="1" applyBorder="1" applyAlignment="1">
      <alignment horizontal="center" vertical="center"/>
    </xf>
    <xf numFmtId="166" fontId="7" fillId="0" borderId="18" xfId="0" applyNumberFormat="1" applyFont="1" applyBorder="1" applyAlignment="1">
      <alignment horizontal="center" vertical="center"/>
    </xf>
    <xf numFmtId="166" fontId="16" fillId="0" borderId="16" xfId="0" applyNumberFormat="1" applyFont="1" applyBorder="1" applyAlignment="1">
      <alignment horizontal="center" vertical="center"/>
    </xf>
    <xf numFmtId="166" fontId="16" fillId="0" borderId="20" xfId="0" applyNumberFormat="1" applyFont="1" applyBorder="1" applyAlignment="1">
      <alignment horizontal="center" vertical="center"/>
    </xf>
    <xf numFmtId="166" fontId="16" fillId="0" borderId="0" xfId="0" applyNumberFormat="1" applyFont="1" applyFill="1" applyBorder="1" applyAlignment="1">
      <alignment horizontal="center" vertical="center"/>
    </xf>
    <xf numFmtId="166" fontId="9" fillId="0" borderId="0" xfId="0" applyNumberFormat="1" applyFont="1" applyBorder="1" applyAlignment="1">
      <alignment wrapText="1"/>
    </xf>
    <xf numFmtId="166" fontId="7" fillId="0" borderId="31" xfId="0" applyNumberFormat="1" applyFont="1" applyBorder="1" applyAlignment="1">
      <alignment horizontal="center" vertical="center" wrapText="1"/>
    </xf>
    <xf numFmtId="166" fontId="16" fillId="0" borderId="32" xfId="0" applyNumberFormat="1" applyFont="1" applyBorder="1" applyAlignment="1">
      <alignment horizontal="center" vertical="center"/>
    </xf>
    <xf numFmtId="2" fontId="9" fillId="2" borderId="33" xfId="0" applyNumberFormat="1" applyFont="1" applyFill="1" applyBorder="1" applyAlignment="1">
      <alignment horizontal="center"/>
    </xf>
    <xf numFmtId="2" fontId="9" fillId="2" borderId="34" xfId="0" applyNumberFormat="1" applyFont="1" applyFill="1" applyBorder="1" applyAlignment="1">
      <alignment horizontal="center"/>
    </xf>
    <xf numFmtId="166" fontId="9" fillId="2" borderId="34" xfId="0" applyNumberFormat="1" applyFont="1" applyFill="1" applyBorder="1" applyAlignment="1">
      <alignment horizontal="center"/>
    </xf>
    <xf numFmtId="166" fontId="9" fillId="2" borderId="35" xfId="0" applyNumberFormat="1" applyFont="1" applyFill="1" applyBorder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2" fontId="9" fillId="2" borderId="37" xfId="0" applyNumberFormat="1" applyFont="1" applyFill="1" applyBorder="1" applyAlignment="1">
      <alignment horizontal="center"/>
    </xf>
    <xf numFmtId="166" fontId="9" fillId="2" borderId="37" xfId="0" applyNumberFormat="1" applyFont="1" applyFill="1" applyBorder="1" applyAlignment="1">
      <alignment horizontal="center"/>
    </xf>
    <xf numFmtId="166" fontId="9" fillId="2" borderId="38" xfId="0" applyNumberFormat="1" applyFont="1" applyFill="1" applyBorder="1" applyAlignment="1">
      <alignment horizontal="center"/>
    </xf>
    <xf numFmtId="2" fontId="7" fillId="2" borderId="36" xfId="0" applyNumberFormat="1" applyFont="1" applyFill="1" applyBorder="1" applyAlignment="1">
      <alignment horizontal="center"/>
    </xf>
    <xf numFmtId="2" fontId="7" fillId="2" borderId="37" xfId="0" applyNumberFormat="1" applyFont="1" applyFill="1" applyBorder="1" applyAlignment="1">
      <alignment horizontal="center"/>
    </xf>
    <xf numFmtId="166" fontId="7" fillId="2" borderId="37" xfId="0" applyNumberFormat="1" applyFont="1" applyFill="1" applyBorder="1" applyAlignment="1">
      <alignment horizontal="center"/>
    </xf>
    <xf numFmtId="166" fontId="7" fillId="2" borderId="38" xfId="0" applyNumberFormat="1" applyFont="1" applyFill="1" applyBorder="1" applyAlignment="1">
      <alignment horizontal="center"/>
    </xf>
    <xf numFmtId="2" fontId="10" fillId="2" borderId="39" xfId="0" applyNumberFormat="1" applyFont="1" applyFill="1" applyBorder="1" applyAlignment="1">
      <alignment horizontal="center"/>
    </xf>
    <xf numFmtId="2" fontId="10" fillId="2" borderId="40" xfId="0" applyNumberFormat="1" applyFont="1" applyFill="1" applyBorder="1" applyAlignment="1">
      <alignment horizontal="center"/>
    </xf>
    <xf numFmtId="166" fontId="10" fillId="2" borderId="40" xfId="0" applyNumberFormat="1" applyFont="1" applyFill="1" applyBorder="1" applyAlignment="1">
      <alignment horizontal="center"/>
    </xf>
    <xf numFmtId="166" fontId="10" fillId="2" borderId="41" xfId="0" applyNumberFormat="1" applyFont="1" applyFill="1" applyBorder="1" applyAlignment="1">
      <alignment horizontal="center"/>
    </xf>
    <xf numFmtId="166" fontId="9" fillId="0" borderId="33" xfId="0" applyNumberFormat="1" applyFont="1" applyBorder="1" applyAlignment="1">
      <alignment horizontal="center"/>
    </xf>
    <xf numFmtId="166" fontId="9" fillId="0" borderId="34" xfId="0" applyNumberFormat="1" applyFont="1" applyBorder="1" applyAlignment="1">
      <alignment horizontal="center"/>
    </xf>
    <xf numFmtId="166" fontId="9" fillId="0" borderId="35" xfId="0" applyNumberFormat="1" applyFont="1" applyBorder="1" applyAlignment="1">
      <alignment horizontal="center"/>
    </xf>
    <xf numFmtId="166" fontId="9" fillId="0" borderId="36" xfId="0" applyNumberFormat="1" applyFont="1" applyBorder="1" applyAlignment="1">
      <alignment horizontal="center"/>
    </xf>
    <xf numFmtId="166" fontId="9" fillId="0" borderId="37" xfId="0" applyNumberFormat="1" applyFont="1" applyBorder="1" applyAlignment="1">
      <alignment horizontal="center"/>
    </xf>
    <xf numFmtId="166" fontId="9" fillId="0" borderId="38" xfId="0" applyNumberFormat="1" applyFont="1" applyBorder="1" applyAlignment="1">
      <alignment horizontal="center"/>
    </xf>
    <xf numFmtId="166" fontId="9" fillId="0" borderId="39" xfId="0" applyNumberFormat="1" applyFont="1" applyBorder="1" applyAlignment="1">
      <alignment horizontal="center"/>
    </xf>
    <xf numFmtId="166" fontId="9" fillId="0" borderId="40" xfId="0" applyNumberFormat="1" applyFont="1" applyBorder="1" applyAlignment="1">
      <alignment horizontal="center"/>
    </xf>
    <xf numFmtId="166" fontId="9" fillId="0" borderId="41" xfId="0" applyNumberFormat="1" applyFont="1" applyBorder="1" applyAlignment="1">
      <alignment horizontal="center"/>
    </xf>
    <xf numFmtId="0" fontId="3" fillId="0" borderId="0" xfId="0" applyFont="1"/>
    <xf numFmtId="0" fontId="29" fillId="9" borderId="28" xfId="5" applyFont="1" applyAlignment="1">
      <alignment horizontal="left" vertical="center"/>
    </xf>
    <xf numFmtId="0" fontId="22" fillId="5" borderId="0" xfId="1"/>
    <xf numFmtId="0" fontId="22" fillId="5" borderId="0" xfId="1" applyAlignment="1">
      <alignment vertical="center"/>
    </xf>
    <xf numFmtId="166" fontId="13" fillId="0" borderId="0" xfId="0" applyNumberFormat="1" applyFont="1" applyBorder="1" applyAlignment="1">
      <alignment horizontal="center"/>
    </xf>
    <xf numFmtId="0" fontId="8" fillId="0" borderId="0" xfId="0" applyFont="1" applyBorder="1"/>
    <xf numFmtId="166" fontId="13" fillId="0" borderId="0" xfId="0" applyNumberFormat="1" applyFont="1" applyBorder="1" applyAlignment="1"/>
    <xf numFmtId="0" fontId="34" fillId="0" borderId="1" xfId="1" applyFont="1" applyFill="1" applyBorder="1"/>
    <xf numFmtId="0" fontId="0" fillId="0" borderId="1" xfId="0" applyFill="1" applyBorder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 wrapText="1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7" fillId="3" borderId="21" xfId="0" applyNumberFormat="1" applyFont="1" applyFill="1" applyBorder="1" applyAlignment="1">
      <alignment horizontal="center" vertical="center" wrapText="1"/>
    </xf>
    <xf numFmtId="166" fontId="7" fillId="3" borderId="13" xfId="0" applyNumberFormat="1" applyFont="1" applyFill="1" applyBorder="1" applyAlignment="1">
      <alignment horizontal="center" vertical="center" wrapText="1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0" fontId="28" fillId="9" borderId="24" xfId="5" applyFont="1" applyBorder="1" applyAlignment="1">
      <alignment horizontal="center"/>
    </xf>
    <xf numFmtId="0" fontId="28" fillId="9" borderId="29" xfId="5" applyFont="1" applyBorder="1" applyAlignment="1">
      <alignment horizontal="center"/>
    </xf>
    <xf numFmtId="0" fontId="28" fillId="9" borderId="25" xfId="5" applyFont="1" applyBorder="1" applyAlignment="1">
      <alignment horizontal="center"/>
    </xf>
    <xf numFmtId="0" fontId="22" fillId="5" borderId="29" xfId="1" applyBorder="1"/>
    <xf numFmtId="0" fontId="22" fillId="5" borderId="31" xfId="1" applyBorder="1" applyAlignment="1">
      <alignment horizontal="center" wrapText="1"/>
    </xf>
    <xf numFmtId="0" fontId="22" fillId="5" borderId="42" xfId="1" applyBorder="1" applyAlignment="1">
      <alignment horizontal="center" wrapText="1"/>
    </xf>
    <xf numFmtId="2" fontId="25" fillId="5" borderId="42" xfId="1" applyNumberFormat="1" applyFont="1" applyBorder="1" applyAlignment="1">
      <alignment horizontal="center"/>
    </xf>
    <xf numFmtId="2" fontId="25" fillId="5" borderId="27" xfId="1" applyNumberFormat="1" applyFont="1" applyBorder="1" applyAlignment="1">
      <alignment horizontal="center"/>
    </xf>
    <xf numFmtId="0" fontId="1" fillId="0" borderId="7" xfId="0" applyFont="1" applyBorder="1" applyAlignment="1">
      <alignment horizontal="right" vertical="center"/>
    </xf>
    <xf numFmtId="0" fontId="1" fillId="0" borderId="23" xfId="0" applyFont="1" applyBorder="1" applyAlignment="1">
      <alignment horizontal="right" vertical="center"/>
    </xf>
    <xf numFmtId="0" fontId="0" fillId="0" borderId="3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64" fontId="0" fillId="0" borderId="8" xfId="0" applyNumberForma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2" fontId="1" fillId="0" borderId="8" xfId="0" applyNumberFormat="1" applyFont="1" applyBorder="1" applyAlignment="1">
      <alignment vertical="center"/>
    </xf>
    <xf numFmtId="164" fontId="0" fillId="0" borderId="23" xfId="0" applyNumberFormat="1" applyFont="1" applyBorder="1" applyAlignment="1"/>
    <xf numFmtId="164" fontId="1" fillId="0" borderId="23" xfId="0" applyNumberFormat="1" applyFont="1" applyBorder="1" applyAlignment="1"/>
    <xf numFmtId="164" fontId="1" fillId="0" borderId="8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9.5899098282978379</c:v>
                </c:pt>
                <c:pt idx="1">
                  <c:v>9.5629395086386424</c:v>
                </c:pt>
                <c:pt idx="2">
                  <c:v>9.5357683124316104</c:v>
                </c:pt>
                <c:pt idx="3">
                  <c:v>9.5084173845765196</c:v>
                </c:pt>
                <c:pt idx="4">
                  <c:v>9.4808761526234804</c:v>
                </c:pt>
                <c:pt idx="5">
                  <c:v>9.4531340441226064</c:v>
                </c:pt>
                <c:pt idx="6">
                  <c:v>9.4251804866240132</c:v>
                </c:pt>
                <c:pt idx="7">
                  <c:v>9.3970366250274715</c:v>
                </c:pt>
                <c:pt idx="8">
                  <c:v>9.3686601695334364</c:v>
                </c:pt>
                <c:pt idx="9">
                  <c:v>9.3400828374915701</c:v>
                </c:pt>
                <c:pt idx="10">
                  <c:v>9.3112729115522104</c:v>
                </c:pt>
                <c:pt idx="11">
                  <c:v>9.2822409641652435</c:v>
                </c:pt>
                <c:pt idx="12">
                  <c:v>9.2529658504308987</c:v>
                </c:pt>
                <c:pt idx="13">
                  <c:v>9.2234475703491761</c:v>
                </c:pt>
                <c:pt idx="14">
                  <c:v>9.1936861239200773</c:v>
                </c:pt>
                <c:pt idx="15">
                  <c:v>9.163670938693711</c:v>
                </c:pt>
                <c:pt idx="16">
                  <c:v>9.1333914422201961</c:v>
                </c:pt>
                <c:pt idx="17">
                  <c:v>9.1028476344995326</c:v>
                </c:pt>
                <c:pt idx="18">
                  <c:v>9.0720183706319446</c:v>
                </c:pt>
                <c:pt idx="19">
                  <c:v>9.0409036506174374</c:v>
                </c:pt>
                <c:pt idx="20">
                  <c:v>9.0094929020061194</c:v>
                </c:pt>
                <c:pt idx="21">
                  <c:v>8.9777861247979942</c:v>
                </c:pt>
                <c:pt idx="22">
                  <c:v>8.9457621740932893</c:v>
                </c:pt>
                <c:pt idx="23">
                  <c:v>8.9134104774421186</c:v>
                </c:pt>
                <c:pt idx="24">
                  <c:v>8.8807310348444801</c:v>
                </c:pt>
                <c:pt idx="25">
                  <c:v>8.8476921289507189</c:v>
                </c:pt>
                <c:pt idx="26">
                  <c:v>8.8143043322107193</c:v>
                </c:pt>
                <c:pt idx="27">
                  <c:v>8.7805464997247089</c:v>
                </c:pt>
                <c:pt idx="28">
                  <c:v>8.7464080590428033</c:v>
                </c:pt>
                <c:pt idx="29">
                  <c:v>8.7118678652652282</c:v>
                </c:pt>
                <c:pt idx="30">
                  <c:v>8.6769153459421009</c:v>
                </c:pt>
                <c:pt idx="31">
                  <c:v>8.6415293561736455</c:v>
                </c:pt>
                <c:pt idx="32">
                  <c:v>8.605699323509981</c:v>
                </c:pt>
                <c:pt idx="33">
                  <c:v>8.5694041030513297</c:v>
                </c:pt>
                <c:pt idx="34">
                  <c:v>8.5326225498979227</c:v>
                </c:pt>
                <c:pt idx="35">
                  <c:v>8.4953335191499875</c:v>
                </c:pt>
                <c:pt idx="36">
                  <c:v>8.4575264383576378</c:v>
                </c:pt>
                <c:pt idx="37">
                  <c:v>8.4191590177213307</c:v>
                </c:pt>
                <c:pt idx="38">
                  <c:v>8.3802101123412935</c:v>
                </c:pt>
                <c:pt idx="39">
                  <c:v>8.3406585773177522</c:v>
                </c:pt>
                <c:pt idx="40">
                  <c:v>8.300472695301055</c:v>
                </c:pt>
                <c:pt idx="41">
                  <c:v>8.2596101764916501</c:v>
                </c:pt>
                <c:pt idx="42">
                  <c:v>8.2180498759897684</c:v>
                </c:pt>
                <c:pt idx="43">
                  <c:v>8.2086497933244562</c:v>
                </c:pt>
                <c:pt idx="44">
                  <c:v>8.175749503995867</c:v>
                </c:pt>
                <c:pt idx="45">
                  <c:v>8.1326561982605146</c:v>
                </c:pt>
                <c:pt idx="46">
                  <c:v>8.0887276689841698</c:v>
                </c:pt>
                <c:pt idx="47">
                  <c:v>8.0439216263672861</c:v>
                </c:pt>
                <c:pt idx="48">
                  <c:v>7.9981746357105488</c:v>
                </c:pt>
                <c:pt idx="49">
                  <c:v>7.9618124564026198</c:v>
                </c:pt>
                <c:pt idx="50">
                  <c:v>7.9514232623146404</c:v>
                </c:pt>
                <c:pt idx="51">
                  <c:v>7.9035934990303609</c:v>
                </c:pt>
                <c:pt idx="52">
                  <c:v>7.8546219111583913</c:v>
                </c:pt>
                <c:pt idx="53">
                  <c:v>7.8044133466497589</c:v>
                </c:pt>
                <c:pt idx="54">
                  <c:v>7.7528726534554915</c:v>
                </c:pt>
                <c:pt idx="55">
                  <c:v>7.6998835346268413</c:v>
                </c:pt>
                <c:pt idx="56">
                  <c:v>7.6453296932150607</c:v>
                </c:pt>
                <c:pt idx="57">
                  <c:v>7.5890525424718636</c:v>
                </c:pt>
                <c:pt idx="58">
                  <c:v>7.5309040680988426</c:v>
                </c:pt>
                <c:pt idx="59">
                  <c:v>7.4706728210982805</c:v>
                </c:pt>
                <c:pt idx="60">
                  <c:v>7.4081262075726828</c:v>
                </c:pt>
                <c:pt idx="61">
                  <c:v>7.3429999162749011</c:v>
                </c:pt>
                <c:pt idx="62">
                  <c:v>7.274966201258465</c:v>
                </c:pt>
                <c:pt idx="63">
                  <c:v>7.2036127369778269</c:v>
                </c:pt>
                <c:pt idx="64">
                  <c:v>7.1284531907382256</c:v>
                </c:pt>
                <c:pt idx="65">
                  <c:v>7.0488426430966182</c:v>
                </c:pt>
                <c:pt idx="66">
                  <c:v>6.9639670154117814</c:v>
                </c:pt>
                <c:pt idx="67">
                  <c:v>6.8727584902452268</c:v>
                </c:pt>
                <c:pt idx="68">
                  <c:v>6.7737052072632586</c:v>
                </c:pt>
                <c:pt idx="69">
                  <c:v>6.6646821040387874</c:v>
                </c:pt>
                <c:pt idx="70">
                  <c:v>6.5424540109066989</c:v>
                </c:pt>
                <c:pt idx="71">
                  <c:v>6.4017135580242179</c:v>
                </c:pt>
                <c:pt idx="72">
                  <c:v>6.2327235190463348</c:v>
                </c:pt>
                <c:pt idx="73">
                  <c:v>6.013926668655488</c:v>
                </c:pt>
                <c:pt idx="74">
                  <c:v>5.675121939608613</c:v>
                </c:pt>
                <c:pt idx="75">
                  <c:v>4.7788636454224207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462.41014886829782</c:v>
                </c:pt>
                <c:pt idx="1">
                  <c:v>468.21660690863865</c:v>
                </c:pt>
                <c:pt idx="2">
                  <c:v>474.07942889243162</c:v>
                </c:pt>
                <c:pt idx="3">
                  <c:v>479.99573520457648</c:v>
                </c:pt>
                <c:pt idx="4">
                  <c:v>485.96696565262346</c:v>
                </c:pt>
                <c:pt idx="5">
                  <c:v>491.99456004412264</c:v>
                </c:pt>
                <c:pt idx="6">
                  <c:v>498.07705742662398</c:v>
                </c:pt>
                <c:pt idx="7">
                  <c:v>504.21737970502744</c:v>
                </c:pt>
                <c:pt idx="8">
                  <c:v>510.41403420953344</c:v>
                </c:pt>
                <c:pt idx="9">
                  <c:v>516.66705265749158</c:v>
                </c:pt>
                <c:pt idx="10">
                  <c:v>522.97930409155219</c:v>
                </c:pt>
                <c:pt idx="11">
                  <c:v>529.34789832416516</c:v>
                </c:pt>
                <c:pt idx="12">
                  <c:v>535.7742645904309</c:v>
                </c:pt>
                <c:pt idx="13">
                  <c:v>542.25985327034925</c:v>
                </c:pt>
                <c:pt idx="14">
                  <c:v>548.8046643639201</c:v>
                </c:pt>
                <c:pt idx="15">
                  <c:v>555.41013767869379</c:v>
                </c:pt>
                <c:pt idx="16">
                  <c:v>562.07336188222018</c:v>
                </c:pt>
                <c:pt idx="17">
                  <c:v>568.7972377344995</c:v>
                </c:pt>
                <c:pt idx="18">
                  <c:v>575.58319447063184</c:v>
                </c:pt>
                <c:pt idx="19">
                  <c:v>582.42833133061743</c:v>
                </c:pt>
                <c:pt idx="20">
                  <c:v>589.33553850200622</c:v>
                </c:pt>
                <c:pt idx="21">
                  <c:v>596.30481598479798</c:v>
                </c:pt>
                <c:pt idx="22">
                  <c:v>603.33614263409322</c:v>
                </c:pt>
                <c:pt idx="23">
                  <c:v>610.43095825744217</c:v>
                </c:pt>
                <c:pt idx="24">
                  <c:v>617.58781247484455</c:v>
                </c:pt>
                <c:pt idx="25">
                  <c:v>624.8095743289507</c:v>
                </c:pt>
                <c:pt idx="26">
                  <c:v>632.0948040122106</c:v>
                </c:pt>
                <c:pt idx="27">
                  <c:v>639.44493075972468</c:v>
                </c:pt>
                <c:pt idx="28">
                  <c:v>646.8599439990428</c:v>
                </c:pt>
                <c:pt idx="29">
                  <c:v>654.33982258526532</c:v>
                </c:pt>
                <c:pt idx="30">
                  <c:v>661.8874567059421</c:v>
                </c:pt>
                <c:pt idx="31">
                  <c:v>669.49992445617374</c:v>
                </c:pt>
                <c:pt idx="32">
                  <c:v>677.18156640351003</c:v>
                </c:pt>
                <c:pt idx="33">
                  <c:v>684.92946064305124</c:v>
                </c:pt>
                <c:pt idx="34">
                  <c:v>692.74503640989792</c:v>
                </c:pt>
                <c:pt idx="35">
                  <c:v>700.62972293915004</c:v>
                </c:pt>
                <c:pt idx="36">
                  <c:v>708.58496003835762</c:v>
                </c:pt>
                <c:pt idx="37">
                  <c:v>716.60780465772132</c:v>
                </c:pt>
                <c:pt idx="38">
                  <c:v>724.70258679234121</c:v>
                </c:pt>
                <c:pt idx="39">
                  <c:v>732.86928529731779</c:v>
                </c:pt>
                <c:pt idx="40">
                  <c:v>741.10641807530112</c:v>
                </c:pt>
                <c:pt idx="41">
                  <c:v>749.41684359649162</c:v>
                </c:pt>
                <c:pt idx="42">
                  <c:v>757.79909033598972</c:v>
                </c:pt>
                <c:pt idx="43">
                  <c:v>759.67840731999104</c:v>
                </c:pt>
                <c:pt idx="44">
                  <c:v>766.25601676399583</c:v>
                </c:pt>
                <c:pt idx="45">
                  <c:v>774.78757001826045</c:v>
                </c:pt>
                <c:pt idx="46">
                  <c:v>783.39370780898412</c:v>
                </c:pt>
                <c:pt idx="47">
                  <c:v>792.0758382263673</c:v>
                </c:pt>
                <c:pt idx="48">
                  <c:v>800.83389783571067</c:v>
                </c:pt>
                <c:pt idx="49">
                  <c:v>807.70698482306932</c:v>
                </c:pt>
                <c:pt idx="50">
                  <c:v>809.67072396231458</c:v>
                </c:pt>
                <c:pt idx="51">
                  <c:v>818.58624259903036</c:v>
                </c:pt>
                <c:pt idx="52">
                  <c:v>827.58039031115834</c:v>
                </c:pt>
                <c:pt idx="53">
                  <c:v>836.65452232664984</c:v>
                </c:pt>
                <c:pt idx="54">
                  <c:v>845.80999387345548</c:v>
                </c:pt>
                <c:pt idx="55">
                  <c:v>855.04813903462673</c:v>
                </c:pt>
                <c:pt idx="56">
                  <c:v>864.3688415132151</c:v>
                </c:pt>
                <c:pt idx="57">
                  <c:v>873.77484348247185</c:v>
                </c:pt>
                <c:pt idx="58">
                  <c:v>883.26454654809891</c:v>
                </c:pt>
                <c:pt idx="59">
                  <c:v>892.84209040109829</c:v>
                </c:pt>
                <c:pt idx="60">
                  <c:v>902.50869282757265</c:v>
                </c:pt>
                <c:pt idx="61">
                  <c:v>912.26263913627497</c:v>
                </c:pt>
                <c:pt idx="62">
                  <c:v>922.10940310125852</c:v>
                </c:pt>
                <c:pt idx="63">
                  <c:v>932.04712201697782</c:v>
                </c:pt>
                <c:pt idx="64">
                  <c:v>942.07966069073836</c:v>
                </c:pt>
                <c:pt idx="65">
                  <c:v>952.2092749630965</c:v>
                </c:pt>
                <c:pt idx="66">
                  <c:v>962.43515075541188</c:v>
                </c:pt>
                <c:pt idx="67">
                  <c:v>972.76057139024522</c:v>
                </c:pt>
                <c:pt idx="68">
                  <c:v>983.18982652726322</c:v>
                </c:pt>
                <c:pt idx="69">
                  <c:v>993.72079110403888</c:v>
                </c:pt>
                <c:pt idx="70">
                  <c:v>1004.3603826109066</c:v>
                </c:pt>
                <c:pt idx="71">
                  <c:v>1015.1061944380242</c:v>
                </c:pt>
                <c:pt idx="72">
                  <c:v>1025.9586420190465</c:v>
                </c:pt>
                <c:pt idx="73">
                  <c:v>1036.9077711686557</c:v>
                </c:pt>
                <c:pt idx="74">
                  <c:v>1047.9065868996086</c:v>
                </c:pt>
                <c:pt idx="75">
                  <c:v>1055.5791736454225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stro.caltech.edu/sedm/_downloads/Extruded_Alloy_606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G31"/>
  <sheetViews>
    <sheetView tabSelected="1" zoomScale="130" zoomScaleNormal="130" workbookViewId="0">
      <selection activeCell="C6" sqref="C6"/>
    </sheetView>
  </sheetViews>
  <sheetFormatPr defaultColWidth="8.85546875" defaultRowHeight="15"/>
  <cols>
    <col min="1" max="1" width="40" customWidth="1"/>
    <col min="2" max="3" width="9.42578125" customWidth="1"/>
    <col min="4" max="4" width="1.85546875" customWidth="1"/>
    <col min="5" max="5" width="30" bestFit="1" customWidth="1"/>
    <col min="6" max="6" width="7" bestFit="1" customWidth="1"/>
  </cols>
  <sheetData>
    <row r="1" spans="1:7" ht="15.75">
      <c r="A1" s="214" t="s">
        <v>6</v>
      </c>
      <c r="B1" s="214"/>
      <c r="C1" s="214"/>
      <c r="D1" s="214"/>
      <c r="E1" s="214"/>
      <c r="F1" s="214"/>
      <c r="G1" s="214"/>
    </row>
    <row r="2" spans="1:7" ht="15.75">
      <c r="A2" s="215" t="s">
        <v>134</v>
      </c>
      <c r="B2" s="215"/>
      <c r="C2" s="215"/>
      <c r="D2" s="215"/>
      <c r="E2" s="215"/>
      <c r="F2" s="215"/>
      <c r="G2" s="215"/>
    </row>
    <row r="3" spans="1:7">
      <c r="A3" s="217" t="s">
        <v>12</v>
      </c>
      <c r="B3" s="217"/>
      <c r="C3" s="217"/>
      <c r="D3" s="217"/>
      <c r="E3" s="217"/>
      <c r="F3" s="217"/>
      <c r="G3" s="217"/>
    </row>
    <row r="4" spans="1:7" ht="15.75">
      <c r="A4" s="260" t="s">
        <v>149</v>
      </c>
      <c r="B4" s="213" t="s">
        <v>133</v>
      </c>
      <c r="C4" s="212" t="s">
        <v>104</v>
      </c>
    </row>
    <row r="5" spans="1:7">
      <c r="A5" s="216" t="s">
        <v>4</v>
      </c>
      <c r="B5" s="216"/>
      <c r="C5" s="142"/>
      <c r="E5" s="216" t="s">
        <v>3</v>
      </c>
      <c r="F5" s="216"/>
    </row>
    <row r="6" spans="1:7">
      <c r="A6" t="s">
        <v>142</v>
      </c>
      <c r="B6">
        <v>825</v>
      </c>
      <c r="E6" s="1"/>
      <c r="F6" s="2"/>
    </row>
    <row r="7" spans="1:7">
      <c r="A7" s="3" t="s">
        <v>141</v>
      </c>
      <c r="B7" s="3">
        <v>0</v>
      </c>
      <c r="C7" s="58"/>
    </row>
    <row r="8" spans="1:7">
      <c r="A8" t="s">
        <v>140</v>
      </c>
      <c r="B8">
        <v>3.25</v>
      </c>
      <c r="E8" s="250" t="s">
        <v>143</v>
      </c>
      <c r="F8" s="258">
        <f>B17*B8/((B11*B9)-(0.6*B17))</f>
        <v>0.18273435624364015</v>
      </c>
    </row>
    <row r="9" spans="1:7">
      <c r="A9" t="s">
        <v>9</v>
      </c>
      <c r="B9" s="3">
        <v>0.9</v>
      </c>
      <c r="C9" s="58"/>
      <c r="E9" s="251" t="s">
        <v>144</v>
      </c>
      <c r="F9" s="259">
        <f>B17*B8/((2*B11*B9)+(0.4*B17))</f>
        <v>8.7434315746075519E-2</v>
      </c>
    </row>
    <row r="10" spans="1:7" ht="15.75" thickBot="1">
      <c r="A10" s="4" t="s">
        <v>5</v>
      </c>
      <c r="B10">
        <v>2</v>
      </c>
      <c r="E10" s="248" t="s">
        <v>146</v>
      </c>
      <c r="F10" s="257">
        <f>MAX(F8:F9)</f>
        <v>0.18273435624364015</v>
      </c>
    </row>
    <row r="11" spans="1:7">
      <c r="A11" t="s">
        <v>139</v>
      </c>
      <c r="B11">
        <v>33000</v>
      </c>
      <c r="C11" s="244" t="s">
        <v>135</v>
      </c>
      <c r="E11" s="7"/>
      <c r="F11" s="6"/>
    </row>
    <row r="12" spans="1:7" ht="15.75" thickBot="1">
      <c r="A12" t="s">
        <v>138</v>
      </c>
      <c r="B12">
        <v>7</v>
      </c>
      <c r="C12" s="245"/>
      <c r="E12" s="106" t="s">
        <v>145</v>
      </c>
      <c r="F12" s="255">
        <f>(B17*B8)/((2*B11*B9)-(0.2*B17))</f>
        <v>8.8868811198063807E-2</v>
      </c>
    </row>
    <row r="13" spans="1:7" ht="16.5" thickBot="1">
      <c r="A13" s="118" t="s">
        <v>136</v>
      </c>
      <c r="B13" s="243">
        <f>0.25-0.025</f>
        <v>0.22500000000000001</v>
      </c>
      <c r="C13" s="246">
        <f>(B13/F10)-1</f>
        <v>0.23129555177903693</v>
      </c>
      <c r="E13" s="249" t="s">
        <v>147</v>
      </c>
      <c r="F13" s="256">
        <f>F12</f>
        <v>8.8868811198063807E-2</v>
      </c>
    </row>
    <row r="14" spans="1:7" ht="16.5" thickBot="1">
      <c r="A14" s="118" t="s">
        <v>137</v>
      </c>
      <c r="B14" s="243">
        <v>0.15</v>
      </c>
      <c r="C14" s="247">
        <f>(B14/F13)-1</f>
        <v>0.68788124852589516</v>
      </c>
      <c r="E14" s="5"/>
      <c r="F14" s="5"/>
    </row>
    <row r="15" spans="1:7">
      <c r="E15" s="5"/>
      <c r="F15" s="5"/>
    </row>
    <row r="16" spans="1:7" ht="30">
      <c r="A16" s="56" t="s">
        <v>41</v>
      </c>
      <c r="B16" s="252">
        <f>'N2O Pressure Calcs'!H53</f>
        <v>807.70698482306932</v>
      </c>
      <c r="C16" s="144"/>
      <c r="E16" s="5"/>
      <c r="F16" s="5"/>
    </row>
    <row r="17" spans="1:6">
      <c r="A17" s="55" t="s">
        <v>42</v>
      </c>
      <c r="B17" s="253">
        <f>B10*B16</f>
        <v>1615.4139696461386</v>
      </c>
      <c r="C17" s="145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148</v>
      </c>
      <c r="B19" s="254">
        <f>'N2O Pressure Calcs'!J53</f>
        <v>810.73685002846571</v>
      </c>
      <c r="C19" s="146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6">
    <mergeCell ref="C11:C12"/>
    <mergeCell ref="A1:G1"/>
    <mergeCell ref="A2:G2"/>
    <mergeCell ref="E5:F5"/>
    <mergeCell ref="A5:B5"/>
    <mergeCell ref="A3:G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D1F1-413C-E74A-9F7B-3532D6FDA3DC}">
  <dimension ref="A1:G31"/>
  <sheetViews>
    <sheetView zoomScale="132" zoomScaleNormal="70" workbookViewId="0">
      <selection activeCell="B6" sqref="B6"/>
    </sheetView>
  </sheetViews>
  <sheetFormatPr defaultColWidth="8.85546875" defaultRowHeight="15"/>
  <cols>
    <col min="1" max="1" width="45.140625" customWidth="1"/>
    <col min="2" max="3" width="9.42578125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214" t="s">
        <v>6</v>
      </c>
      <c r="B1" s="214"/>
      <c r="C1" s="214"/>
      <c r="D1" s="214"/>
      <c r="E1" s="214"/>
      <c r="F1" s="214"/>
      <c r="G1" s="214"/>
    </row>
    <row r="2" spans="1:7" ht="15.75">
      <c r="A2" s="215" t="s">
        <v>11</v>
      </c>
      <c r="B2" s="215"/>
      <c r="C2" s="215"/>
      <c r="D2" s="215"/>
      <c r="E2" s="215"/>
      <c r="F2" s="215"/>
      <c r="G2" s="215"/>
    </row>
    <row r="3" spans="1:7" ht="15.75" thickBot="1">
      <c r="A3" s="217" t="s">
        <v>12</v>
      </c>
      <c r="B3" s="217"/>
      <c r="C3" s="217"/>
      <c r="D3" s="217"/>
      <c r="E3" s="217"/>
      <c r="F3" s="217"/>
      <c r="G3" s="217"/>
    </row>
    <row r="4" spans="1:7" ht="16.5" thickBot="1">
      <c r="C4" s="149" t="s">
        <v>102</v>
      </c>
      <c r="E4" s="151" t="s">
        <v>105</v>
      </c>
    </row>
    <row r="5" spans="1:7">
      <c r="A5" s="216" t="s">
        <v>4</v>
      </c>
      <c r="B5" s="216"/>
      <c r="C5" s="142"/>
      <c r="E5" s="216" t="s">
        <v>3</v>
      </c>
      <c r="F5" s="216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0.20168819857190526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9.6074360293569097E-2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0.20168819857190526</v>
      </c>
    </row>
    <row r="11" spans="1:7">
      <c r="A11" t="s">
        <v>7</v>
      </c>
      <c r="B11">
        <v>30000</v>
      </c>
      <c r="E11" s="7"/>
      <c r="F11" s="6"/>
    </row>
    <row r="12" spans="1:7" ht="15.75" thickBot="1">
      <c r="A12" t="s">
        <v>81</v>
      </c>
      <c r="B12">
        <v>7</v>
      </c>
      <c r="E12" s="106" t="s">
        <v>54</v>
      </c>
      <c r="F12" s="107">
        <f>(B17*B8)/((2*B11*B9)-(0.2*B17))</f>
        <v>9.7809182691963037E-2</v>
      </c>
    </row>
    <row r="13" spans="1:7" ht="16.5" thickBot="1">
      <c r="A13" s="118" t="s">
        <v>66</v>
      </c>
      <c r="B13" s="141">
        <f>0.25-0.025</f>
        <v>0.22500000000000001</v>
      </c>
      <c r="C13" s="148">
        <f>B13/F10</f>
        <v>1.1155833687501735</v>
      </c>
      <c r="E13" s="108" t="s">
        <v>55</v>
      </c>
      <c r="F13" s="109">
        <f>F12</f>
        <v>9.7809182691963037E-2</v>
      </c>
    </row>
    <row r="14" spans="1:7" ht="15.75" thickBot="1">
      <c r="A14" s="118" t="s">
        <v>67</v>
      </c>
      <c r="B14" s="119">
        <v>0.15</v>
      </c>
      <c r="C14" s="143">
        <f>B14/F13</f>
        <v>1.5335983378207441</v>
      </c>
      <c r="E14" s="5"/>
      <c r="F14" s="5"/>
    </row>
    <row r="15" spans="1:7">
      <c r="E15" s="5"/>
      <c r="F15" s="5"/>
    </row>
    <row r="16" spans="1:7" ht="30">
      <c r="A16" s="56" t="s">
        <v>41</v>
      </c>
      <c r="B16" s="121">
        <f>'N2O Pressure Calcs'!H53</f>
        <v>807.70698482306932</v>
      </c>
      <c r="C16" s="144"/>
      <c r="E16" s="5"/>
      <c r="F16" s="5"/>
    </row>
    <row r="17" spans="1:6">
      <c r="A17" s="55" t="s">
        <v>42</v>
      </c>
      <c r="B17" s="123">
        <f>B10*B16</f>
        <v>1615.4139696461386</v>
      </c>
      <c r="C17" s="145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2">
        <f>'N2O Pressure Calcs'!J53</f>
        <v>810.73685002846571</v>
      </c>
      <c r="C19" s="146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5">
    <mergeCell ref="A1:G1"/>
    <mergeCell ref="A2:G2"/>
    <mergeCell ref="A3:G3"/>
    <mergeCell ref="A5:B5"/>
    <mergeCell ref="E5:F5"/>
  </mergeCells>
  <hyperlinks>
    <hyperlink ref="E4" r:id="rId1" xr:uid="{46F9CDA2-D898-8D40-A700-877636117F58}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C0F4-5ED0-0840-90E0-925922EF4438}">
  <dimension ref="A1:G31"/>
  <sheetViews>
    <sheetView zoomScale="132" zoomScaleNormal="70" workbookViewId="0">
      <selection activeCell="B16" sqref="B16"/>
    </sheetView>
  </sheetViews>
  <sheetFormatPr defaultColWidth="8.85546875" defaultRowHeight="15"/>
  <cols>
    <col min="1" max="1" width="45.140625" customWidth="1"/>
    <col min="2" max="3" width="9.42578125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214" t="s">
        <v>6</v>
      </c>
      <c r="B1" s="214"/>
      <c r="C1" s="214"/>
      <c r="D1" s="214"/>
      <c r="E1" s="214"/>
      <c r="F1" s="214"/>
      <c r="G1" s="214"/>
    </row>
    <row r="2" spans="1:7" ht="15.75">
      <c r="A2" s="215" t="s">
        <v>11</v>
      </c>
      <c r="B2" s="215"/>
      <c r="C2" s="215"/>
      <c r="D2" s="215"/>
      <c r="E2" s="215"/>
      <c r="F2" s="215"/>
      <c r="G2" s="215"/>
    </row>
    <row r="3" spans="1:7" ht="15.75" thickBot="1">
      <c r="A3" s="217" t="s">
        <v>12</v>
      </c>
      <c r="B3" s="217"/>
      <c r="C3" s="217"/>
      <c r="D3" s="217"/>
      <c r="E3" s="217"/>
      <c r="F3" s="217"/>
      <c r="G3" s="217"/>
    </row>
    <row r="4" spans="1:7" ht="15.75" thickBot="1">
      <c r="C4" s="150" t="s">
        <v>103</v>
      </c>
    </row>
    <row r="5" spans="1:7">
      <c r="A5" s="216" t="s">
        <v>4</v>
      </c>
      <c r="B5" s="216"/>
      <c r="C5" s="142"/>
      <c r="E5" s="216" t="s">
        <v>3</v>
      </c>
      <c r="F5" s="216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0.36635171282138734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0.16802366954715292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0.36635171282138734</v>
      </c>
    </row>
    <row r="11" spans="1:7">
      <c r="A11" t="s">
        <v>7</v>
      </c>
      <c r="B11">
        <v>17000</v>
      </c>
      <c r="E11" s="7"/>
      <c r="F11" s="6"/>
    </row>
    <row r="12" spans="1:7" ht="15.75" thickBot="1">
      <c r="A12" t="s">
        <v>81</v>
      </c>
      <c r="B12">
        <v>7</v>
      </c>
      <c r="E12" s="106" t="s">
        <v>54</v>
      </c>
      <c r="F12" s="107">
        <f>(B17*B8)/((2*B11*B9)-(0.2*B17))</f>
        <v>0.17340257482678134</v>
      </c>
    </row>
    <row r="13" spans="1:7" ht="16.5" thickBot="1">
      <c r="A13" s="118" t="s">
        <v>66</v>
      </c>
      <c r="B13" s="140">
        <f>0.25-0.025</f>
        <v>0.22500000000000001</v>
      </c>
      <c r="C13" s="147">
        <f>B13/F10</f>
        <v>0.61416390895843154</v>
      </c>
      <c r="E13" s="108" t="s">
        <v>55</v>
      </c>
      <c r="F13" s="109">
        <f>F12</f>
        <v>0.17340257482678134</v>
      </c>
    </row>
    <row r="14" spans="1:7" ht="16.5" thickBot="1">
      <c r="A14" s="118" t="s">
        <v>67</v>
      </c>
      <c r="B14" s="140">
        <v>0.15</v>
      </c>
      <c r="C14" s="147">
        <f>B14/F13</f>
        <v>0.86503905809842152</v>
      </c>
      <c r="E14" s="5"/>
      <c r="F14" s="5"/>
    </row>
    <row r="15" spans="1:7">
      <c r="E15" s="5"/>
      <c r="F15" s="5"/>
    </row>
    <row r="16" spans="1:7" ht="30">
      <c r="A16" s="56" t="s">
        <v>41</v>
      </c>
      <c r="B16" s="121">
        <f>'N2O Pressure Calcs'!H53</f>
        <v>807.70698482306932</v>
      </c>
      <c r="C16" s="144"/>
      <c r="E16" s="5"/>
      <c r="F16" s="5"/>
    </row>
    <row r="17" spans="1:6">
      <c r="A17" s="55" t="s">
        <v>42</v>
      </c>
      <c r="B17" s="123">
        <f>B10*B16</f>
        <v>1615.4139696461386</v>
      </c>
      <c r="C17" s="145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2">
        <f>'N2O Pressure Calcs'!J53</f>
        <v>810.73685002846571</v>
      </c>
      <c r="C19" s="146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5">
    <mergeCell ref="A1:G1"/>
    <mergeCell ref="A2:G2"/>
    <mergeCell ref="A3:G3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topLeftCell="A37" zoomScale="130" zoomScaleNormal="130" workbookViewId="0">
      <pane xSplit="1" topLeftCell="C1" activePane="topRight" state="frozen"/>
      <selection pane="topRight" activeCell="L50" sqref="L50"/>
    </sheetView>
  </sheetViews>
  <sheetFormatPr defaultColWidth="11.42578125" defaultRowHeight="15"/>
  <cols>
    <col min="1" max="1" width="10.85546875" style="24"/>
    <col min="2" max="2" width="12.42578125" bestFit="1" customWidth="1"/>
    <col min="3" max="3" width="12.7109375" bestFit="1" customWidth="1"/>
    <col min="4" max="4" width="11" style="23" bestFit="1" customWidth="1"/>
    <col min="5" max="6" width="4.42578125" customWidth="1"/>
    <col min="7" max="7" width="14" style="36" customWidth="1"/>
    <col min="8" max="8" width="16" style="35" customWidth="1"/>
    <col min="9" max="9" width="22" style="37" bestFit="1" customWidth="1"/>
    <col min="10" max="10" width="15.28515625" style="35" customWidth="1"/>
    <col min="11" max="11" width="12.140625" style="46" bestFit="1" customWidth="1"/>
    <col min="12" max="12" width="30.85546875" bestFit="1" customWidth="1"/>
    <col min="15" max="15" width="25" customWidth="1"/>
  </cols>
  <sheetData>
    <row r="1" spans="1:16" ht="23.25" customHeight="1">
      <c r="A1" s="65"/>
      <c r="B1" s="224" t="s">
        <v>17</v>
      </c>
      <c r="C1" s="225"/>
      <c r="D1" s="226"/>
      <c r="E1" s="14"/>
      <c r="F1" s="14"/>
      <c r="G1" s="221" t="s">
        <v>34</v>
      </c>
      <c r="H1" s="222"/>
      <c r="I1" s="222"/>
      <c r="J1" s="223"/>
      <c r="K1" s="44"/>
      <c r="L1" t="s">
        <v>26</v>
      </c>
      <c r="M1">
        <v>1.5</v>
      </c>
      <c r="O1" t="s">
        <v>30</v>
      </c>
      <c r="P1" s="120">
        <f>'N2O Ullage Calcs'!G57</f>
        <v>2.9</v>
      </c>
    </row>
    <row r="2" spans="1:16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218" t="s">
        <v>24</v>
      </c>
      <c r="H2" s="219"/>
      <c r="I2" s="219" t="s">
        <v>25</v>
      </c>
      <c r="J2" s="220"/>
      <c r="K2" s="43"/>
      <c r="L2" t="s">
        <v>14</v>
      </c>
      <c r="M2">
        <f>P1+(2*P3)</f>
        <v>3.4416666666666664</v>
      </c>
      <c r="O2" t="s">
        <v>31</v>
      </c>
      <c r="P2">
        <f>'BPV Calcs - T6'!B8</f>
        <v>3.25</v>
      </c>
    </row>
    <row r="3" spans="1:16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9.5899098282978379</v>
      </c>
      <c r="H4" s="110">
        <f>B4+G4</f>
        <v>462.41014886829782</v>
      </c>
      <c r="I4" s="37">
        <f>(C4*($M$3*$P$5)*$M$1)/144</f>
        <v>3.649437143961122</v>
      </c>
      <c r="J4" s="35">
        <f t="shared" ref="J4:J67" si="0">H4+I4</f>
        <v>466.05958601225893</v>
      </c>
      <c r="L4" t="s">
        <v>57</v>
      </c>
      <c r="M4">
        <v>0.5</v>
      </c>
    </row>
    <row r="5" spans="1:16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9.5629395086386424</v>
      </c>
      <c r="H5" s="110">
        <f t="shared" ref="H5:H68" si="2">B5+G5</f>
        <v>468.21660690863865</v>
      </c>
      <c r="I5" s="37">
        <f t="shared" ref="I5:I68" si="3">(C5*($M$3*$P$5)*$M$1)/144</f>
        <v>3.6391735973677708</v>
      </c>
      <c r="J5" s="35">
        <f t="shared" si="0"/>
        <v>471.8557805060064</v>
      </c>
      <c r="L5" t="s">
        <v>36</v>
      </c>
      <c r="M5">
        <v>0.87815195180003003</v>
      </c>
      <c r="O5" t="s">
        <v>59</v>
      </c>
      <c r="P5">
        <v>6.1820000000000004</v>
      </c>
    </row>
    <row r="6" spans="1:16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9.5357683124316104</v>
      </c>
      <c r="H6" s="110">
        <f t="shared" si="2"/>
        <v>474.07942889243162</v>
      </c>
      <c r="I6" s="37">
        <f t="shared" si="3"/>
        <v>3.6288336072678442</v>
      </c>
      <c r="J6" s="35">
        <f t="shared" si="0"/>
        <v>477.70826249969946</v>
      </c>
      <c r="L6" t="s">
        <v>37</v>
      </c>
      <c r="M6">
        <v>1.2</v>
      </c>
    </row>
    <row r="7" spans="1:16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9.5084173845765196</v>
      </c>
      <c r="H7" s="110">
        <f t="shared" si="2"/>
        <v>479.99573520457648</v>
      </c>
      <c r="I7" s="37">
        <f t="shared" si="3"/>
        <v>3.6184252203462446</v>
      </c>
      <c r="J7" s="35">
        <f t="shared" si="0"/>
        <v>483.61416042492272</v>
      </c>
      <c r="L7" s="40" t="s">
        <v>38</v>
      </c>
      <c r="M7" s="40">
        <f>M5*M6</f>
        <v>1.0537823421600361</v>
      </c>
    </row>
    <row r="8" spans="1:16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9.4808761526234804</v>
      </c>
      <c r="H8" s="110">
        <f t="shared" si="2"/>
        <v>485.96696565262346</v>
      </c>
      <c r="I8" s="37">
        <f t="shared" si="3"/>
        <v>3.6079444132605212</v>
      </c>
      <c r="J8" s="35">
        <f t="shared" si="0"/>
        <v>489.57491006588396</v>
      </c>
    </row>
    <row r="9" spans="1:16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9.4531340441226064</v>
      </c>
      <c r="H9" s="110">
        <f t="shared" si="2"/>
        <v>491.99456004412264</v>
      </c>
      <c r="I9" s="37">
        <f t="shared" si="3"/>
        <v>3.5973871626682228</v>
      </c>
      <c r="J9" s="35">
        <f t="shared" si="0"/>
        <v>495.59194720679085</v>
      </c>
    </row>
    <row r="10" spans="1:16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9.4251804866240132</v>
      </c>
      <c r="H10" s="110">
        <f t="shared" si="2"/>
        <v>498.07705742662398</v>
      </c>
      <c r="I10" s="37">
        <f t="shared" si="3"/>
        <v>3.5867494452268978</v>
      </c>
      <c r="J10" s="35">
        <f t="shared" si="0"/>
        <v>501.66380687185085</v>
      </c>
    </row>
    <row r="11" spans="1:16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9.3970366250274715</v>
      </c>
      <c r="H11" s="110">
        <f t="shared" si="2"/>
        <v>504.21737970502744</v>
      </c>
      <c r="I11" s="37">
        <f t="shared" si="3"/>
        <v>3.5760393076214481</v>
      </c>
      <c r="J11" s="35">
        <f t="shared" si="0"/>
        <v>507.79341901264888</v>
      </c>
    </row>
    <row r="12" spans="1:16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9.3686601695334364</v>
      </c>
      <c r="H12" s="110">
        <f t="shared" si="2"/>
        <v>510.41403420953344</v>
      </c>
      <c r="I12" s="37">
        <f t="shared" si="3"/>
        <v>3.5652406564820689</v>
      </c>
      <c r="J12" s="35">
        <f t="shared" si="0"/>
        <v>513.97927486601554</v>
      </c>
    </row>
    <row r="13" spans="1:16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9.3400828374915701</v>
      </c>
      <c r="H13" s="110">
        <f t="shared" si="2"/>
        <v>516.66705265749158</v>
      </c>
      <c r="I13" s="37">
        <f t="shared" si="3"/>
        <v>3.5543655618361156</v>
      </c>
      <c r="J13" s="35">
        <f t="shared" si="0"/>
        <v>520.22141821932769</v>
      </c>
    </row>
    <row r="14" spans="1:16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9.3112729115522104</v>
      </c>
      <c r="H14" s="110">
        <f t="shared" si="2"/>
        <v>522.97930409155219</v>
      </c>
      <c r="I14" s="37">
        <f t="shared" si="3"/>
        <v>3.5434019536562325</v>
      </c>
      <c r="J14" s="35">
        <f t="shared" si="0"/>
        <v>526.52270604520845</v>
      </c>
    </row>
    <row r="15" spans="1:16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9.2822409641652435</v>
      </c>
      <c r="H15" s="110">
        <f t="shared" si="2"/>
        <v>529.34789832416516</v>
      </c>
      <c r="I15" s="37">
        <f t="shared" si="3"/>
        <v>3.532353855284871</v>
      </c>
      <c r="J15" s="35">
        <f t="shared" si="0"/>
        <v>532.88025217945005</v>
      </c>
    </row>
    <row r="16" spans="1:16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9.2529658504308987</v>
      </c>
      <c r="H16" s="110">
        <f t="shared" si="2"/>
        <v>535.7742645904309</v>
      </c>
      <c r="I16" s="37">
        <f t="shared" si="3"/>
        <v>3.5212132200371289</v>
      </c>
      <c r="J16" s="35">
        <f t="shared" si="0"/>
        <v>539.29547781046801</v>
      </c>
    </row>
    <row r="17" spans="1:10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9.2234475703491761</v>
      </c>
      <c r="H17" s="110">
        <f t="shared" si="2"/>
        <v>542.25985327034925</v>
      </c>
      <c r="I17" s="37">
        <f t="shared" si="3"/>
        <v>3.5099800479130061</v>
      </c>
      <c r="J17" s="35">
        <f t="shared" si="0"/>
        <v>545.76983331826227</v>
      </c>
    </row>
    <row r="18" spans="1:10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9.1936861239200773</v>
      </c>
      <c r="H18" s="110">
        <f t="shared" si="2"/>
        <v>548.8046643639201</v>
      </c>
      <c r="I18" s="37">
        <f t="shared" si="3"/>
        <v>3.4986543389125031</v>
      </c>
      <c r="J18" s="35">
        <f t="shared" si="0"/>
        <v>552.3033187028326</v>
      </c>
    </row>
    <row r="19" spans="1:10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9.163670938693711</v>
      </c>
      <c r="H19" s="110">
        <f t="shared" si="2"/>
        <v>555.41013767869379</v>
      </c>
      <c r="I19" s="37">
        <f t="shared" si="3"/>
        <v>3.4872320696931673</v>
      </c>
      <c r="J19" s="35">
        <f t="shared" si="0"/>
        <v>558.89736974838695</v>
      </c>
    </row>
    <row r="20" spans="1:10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9.1333914422201961</v>
      </c>
      <c r="H20" s="110">
        <f t="shared" si="2"/>
        <v>562.07336188222018</v>
      </c>
      <c r="I20" s="37">
        <f t="shared" si="3"/>
        <v>3.4757092169125485</v>
      </c>
      <c r="J20" s="35">
        <f t="shared" si="0"/>
        <v>565.54907109913279</v>
      </c>
    </row>
    <row r="21" spans="1:10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9.1028476344995326</v>
      </c>
      <c r="H21" s="110">
        <f t="shared" si="2"/>
        <v>568.7972377344995</v>
      </c>
      <c r="I21" s="37">
        <f t="shared" si="3"/>
        <v>3.4640857805706466</v>
      </c>
      <c r="J21" s="35">
        <f t="shared" si="0"/>
        <v>572.2613235150701</v>
      </c>
    </row>
    <row r="22" spans="1:10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9.0720183706319446</v>
      </c>
      <c r="H22" s="110">
        <f t="shared" si="2"/>
        <v>575.58319447063184</v>
      </c>
      <c r="I22" s="37">
        <f t="shared" si="3"/>
        <v>3.4523537139825589</v>
      </c>
      <c r="J22" s="35">
        <f t="shared" si="0"/>
        <v>579.03554818461441</v>
      </c>
    </row>
    <row r="23" spans="1:10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9.0409036506174374</v>
      </c>
      <c r="H23" s="110">
        <f t="shared" si="2"/>
        <v>582.42833133061743</v>
      </c>
      <c r="I23" s="37">
        <f t="shared" si="3"/>
        <v>3.4405130171482852</v>
      </c>
      <c r="J23" s="35">
        <f t="shared" si="0"/>
        <v>585.86884434776573</v>
      </c>
    </row>
    <row r="24" spans="1:10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9.0094929020061194</v>
      </c>
      <c r="H24" s="110">
        <f t="shared" si="2"/>
        <v>589.33553850200622</v>
      </c>
      <c r="I24" s="37">
        <f t="shared" si="3"/>
        <v>3.4285596667253735</v>
      </c>
      <c r="J24" s="35">
        <f t="shared" si="0"/>
        <v>592.76409816873161</v>
      </c>
    </row>
    <row r="25" spans="1:10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8.9777861247979942</v>
      </c>
      <c r="H25" s="110">
        <f t="shared" si="2"/>
        <v>596.30481598479798</v>
      </c>
      <c r="I25" s="37">
        <f t="shared" si="3"/>
        <v>3.4164936627138247</v>
      </c>
      <c r="J25" s="35">
        <f t="shared" si="0"/>
        <v>599.72130964751182</v>
      </c>
    </row>
    <row r="26" spans="1:10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8.9457621740932893</v>
      </c>
      <c r="H26" s="110">
        <f t="shared" si="2"/>
        <v>603.33614263409322</v>
      </c>
      <c r="I26" s="37">
        <f t="shared" si="3"/>
        <v>3.404306958428736</v>
      </c>
      <c r="J26" s="35">
        <f t="shared" si="0"/>
        <v>606.74044959252194</v>
      </c>
    </row>
    <row r="27" spans="1:10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8.9134104774421186</v>
      </c>
      <c r="H27" s="110">
        <f t="shared" si="2"/>
        <v>610.43095825744217</v>
      </c>
      <c r="I27" s="37">
        <f t="shared" si="3"/>
        <v>3.3919955305276557</v>
      </c>
      <c r="J27" s="35">
        <f t="shared" si="0"/>
        <v>613.82295378796982</v>
      </c>
    </row>
    <row r="28" spans="1:10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8.8807310348444801</v>
      </c>
      <c r="H28" s="110">
        <f t="shared" si="2"/>
        <v>617.58781247484455</v>
      </c>
      <c r="I28" s="37">
        <f t="shared" si="3"/>
        <v>3.3795593790105851</v>
      </c>
      <c r="J28" s="35">
        <f t="shared" si="0"/>
        <v>620.96737185385518</v>
      </c>
    </row>
    <row r="29" spans="1:10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8.8476921289507189</v>
      </c>
      <c r="H29" s="110">
        <f t="shared" si="2"/>
        <v>624.8095743289507</v>
      </c>
      <c r="I29" s="37">
        <f t="shared" si="3"/>
        <v>3.3669864338501685</v>
      </c>
      <c r="J29" s="35">
        <f t="shared" si="0"/>
        <v>628.17656076280082</v>
      </c>
    </row>
    <row r="30" spans="1:10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8.8143043322107193</v>
      </c>
      <c r="H30" s="110">
        <f t="shared" si="2"/>
        <v>632.0948040122106</v>
      </c>
      <c r="I30" s="37">
        <f t="shared" si="3"/>
        <v>3.3542807183888579</v>
      </c>
      <c r="J30" s="35">
        <f t="shared" si="0"/>
        <v>635.44908473059945</v>
      </c>
    </row>
    <row r="31" spans="1:10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8.7805464997247089</v>
      </c>
      <c r="H31" s="110">
        <f t="shared" si="2"/>
        <v>639.44493075972468</v>
      </c>
      <c r="I31" s="37">
        <f t="shared" si="3"/>
        <v>3.3414341859417496</v>
      </c>
      <c r="J31" s="35">
        <f t="shared" si="0"/>
        <v>642.78636494566638</v>
      </c>
    </row>
    <row r="32" spans="1:10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8.7464080590428033</v>
      </c>
      <c r="H32" s="110">
        <f t="shared" si="2"/>
        <v>646.8599439990428</v>
      </c>
      <c r="I32" s="37">
        <f t="shared" si="3"/>
        <v>3.328442813166395</v>
      </c>
      <c r="J32" s="35">
        <f t="shared" si="0"/>
        <v>650.18838681220916</v>
      </c>
    </row>
    <row r="33" spans="1:12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8.7118678652652282</v>
      </c>
      <c r="H33" s="110">
        <f t="shared" si="2"/>
        <v>654.33982258526532</v>
      </c>
      <c r="I33" s="37">
        <f t="shared" si="3"/>
        <v>3.3152985533778883</v>
      </c>
      <c r="J33" s="35">
        <f t="shared" si="0"/>
        <v>657.65512113864327</v>
      </c>
    </row>
    <row r="34" spans="1:12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8.6769153459421009</v>
      </c>
      <c r="H34" s="110">
        <f t="shared" si="2"/>
        <v>661.8874567059421</v>
      </c>
      <c r="I34" s="37">
        <f t="shared" si="3"/>
        <v>3.3019973832337808</v>
      </c>
      <c r="J34" s="35">
        <f t="shared" si="0"/>
        <v>665.18945408917591</v>
      </c>
    </row>
    <row r="35" spans="1:12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8.6415293561736455</v>
      </c>
      <c r="H35" s="110">
        <f t="shared" si="2"/>
        <v>669.49992445617374</v>
      </c>
      <c r="I35" s="37">
        <f t="shared" si="3"/>
        <v>3.2885312560491675</v>
      </c>
      <c r="J35" s="35">
        <f t="shared" si="0"/>
        <v>672.78845571222291</v>
      </c>
    </row>
    <row r="36" spans="1:12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8.605699323509981</v>
      </c>
      <c r="H36" s="110">
        <f t="shared" si="2"/>
        <v>677.18156640351003</v>
      </c>
      <c r="I36" s="37">
        <f t="shared" si="3"/>
        <v>3.2748961484815999</v>
      </c>
      <c r="J36" s="35">
        <f t="shared" si="0"/>
        <v>680.45646255199165</v>
      </c>
    </row>
    <row r="37" spans="1:12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8.5694041030513297</v>
      </c>
      <c r="H37" s="110">
        <f t="shared" si="2"/>
        <v>684.92946064305124</v>
      </c>
      <c r="I37" s="37">
        <f t="shared" si="3"/>
        <v>3.2610840138461716</v>
      </c>
      <c r="J37" s="35">
        <f t="shared" si="0"/>
        <v>688.19054465689737</v>
      </c>
    </row>
    <row r="38" spans="1:12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8.5326225498979227</v>
      </c>
      <c r="H38" s="110">
        <f t="shared" si="2"/>
        <v>692.74503640989792</v>
      </c>
      <c r="I38" s="37">
        <f t="shared" si="3"/>
        <v>3.2470868054579838</v>
      </c>
      <c r="J38" s="35">
        <f t="shared" si="0"/>
        <v>695.99212321535595</v>
      </c>
    </row>
    <row r="39" spans="1:12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8.4953335191499875</v>
      </c>
      <c r="H39" s="110">
        <f t="shared" si="2"/>
        <v>700.62972293915004</v>
      </c>
      <c r="I39" s="37">
        <f t="shared" si="3"/>
        <v>3.2328964766321309</v>
      </c>
      <c r="J39" s="35">
        <f t="shared" si="0"/>
        <v>703.86261941578221</v>
      </c>
    </row>
    <row r="40" spans="1:12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8.4575264383576378</v>
      </c>
      <c r="H40" s="110">
        <f t="shared" si="2"/>
        <v>708.58496003835762</v>
      </c>
      <c r="I40" s="37">
        <f t="shared" si="3"/>
        <v>3.2185090040261621</v>
      </c>
      <c r="J40" s="35">
        <f t="shared" si="0"/>
        <v>711.80346904238377</v>
      </c>
    </row>
    <row r="41" spans="1:12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8.4191590177213307</v>
      </c>
      <c r="H41" s="110">
        <f t="shared" si="2"/>
        <v>716.60780465772132</v>
      </c>
      <c r="I41" s="37">
        <f t="shared" si="3"/>
        <v>3.2039082942702741</v>
      </c>
      <c r="J41" s="35">
        <f t="shared" si="0"/>
        <v>719.81171295199158</v>
      </c>
    </row>
    <row r="42" spans="1:12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8.3802101123412935</v>
      </c>
      <c r="H42" s="110">
        <f t="shared" si="2"/>
        <v>724.70258679234121</v>
      </c>
      <c r="I42" s="37">
        <f t="shared" si="3"/>
        <v>3.1890863006795618</v>
      </c>
      <c r="J42" s="35">
        <f t="shared" si="0"/>
        <v>727.89167309302081</v>
      </c>
    </row>
    <row r="43" spans="1:12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8.3406585773177522</v>
      </c>
      <c r="H43" s="110">
        <f t="shared" si="2"/>
        <v>732.86928529731779</v>
      </c>
      <c r="I43" s="37">
        <f t="shared" si="3"/>
        <v>3.1740349765691236</v>
      </c>
      <c r="J43" s="35">
        <f t="shared" si="0"/>
        <v>736.04332027388693</v>
      </c>
    </row>
    <row r="44" spans="1:12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8.300472695301055</v>
      </c>
      <c r="H44" s="110">
        <f t="shared" si="2"/>
        <v>741.10641807530112</v>
      </c>
      <c r="I44" s="37">
        <f t="shared" si="3"/>
        <v>3.1587422519116064</v>
      </c>
      <c r="J44" s="35">
        <f t="shared" si="0"/>
        <v>744.2651603272127</v>
      </c>
    </row>
    <row r="45" spans="1:12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8.2596101764916501</v>
      </c>
      <c r="H45" s="110">
        <f t="shared" si="2"/>
        <v>749.41684359649162</v>
      </c>
      <c r="I45" s="37">
        <f t="shared" si="3"/>
        <v>3.1431920333372028</v>
      </c>
      <c r="J45" s="35">
        <f t="shared" si="0"/>
        <v>752.5600356298288</v>
      </c>
    </row>
    <row r="46" spans="1:12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8.2180498759897684</v>
      </c>
      <c r="H46" s="110">
        <f t="shared" si="2"/>
        <v>757.79909033598972</v>
      </c>
      <c r="I46" s="37">
        <f t="shared" si="3"/>
        <v>3.1273762741610116</v>
      </c>
      <c r="J46" s="35">
        <f t="shared" si="0"/>
        <v>760.92646661015078</v>
      </c>
    </row>
    <row r="47" spans="1:12">
      <c r="A47" s="60">
        <v>70</v>
      </c>
      <c r="B47" s="61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8.2086497933244562</v>
      </c>
      <c r="H47" s="110">
        <f t="shared" si="2"/>
        <v>759.67840731999104</v>
      </c>
      <c r="I47" s="37">
        <f t="shared" si="3"/>
        <v>3.1237990756837255</v>
      </c>
      <c r="J47" s="35">
        <f t="shared" si="0"/>
        <v>762.80220639567472</v>
      </c>
      <c r="K47" s="39" t="s">
        <v>33</v>
      </c>
      <c r="L47" s="49"/>
    </row>
    <row r="48" spans="1:12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8.175749503995867</v>
      </c>
      <c r="H48" s="110">
        <f t="shared" si="2"/>
        <v>766.25601676399583</v>
      </c>
      <c r="I48" s="37">
        <f t="shared" si="3"/>
        <v>3.1112788810132264</v>
      </c>
      <c r="J48" s="35">
        <f t="shared" si="0"/>
        <v>769.36729564500911</v>
      </c>
    </row>
    <row r="49" spans="1:12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8.1326561982605146</v>
      </c>
      <c r="H49" s="110">
        <f t="shared" si="2"/>
        <v>774.78757001826045</v>
      </c>
      <c r="I49" s="37">
        <f t="shared" si="3"/>
        <v>3.0948797371815915</v>
      </c>
      <c r="J49" s="35">
        <f t="shared" si="0"/>
        <v>777.88244975544205</v>
      </c>
    </row>
    <row r="50" spans="1:12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8.0887276689841698</v>
      </c>
      <c r="H50" s="110">
        <f t="shared" si="2"/>
        <v>783.39370780898412</v>
      </c>
      <c r="I50" s="37">
        <f t="shared" si="3"/>
        <v>3.0781627492963022</v>
      </c>
      <c r="J50" s="35">
        <f t="shared" si="0"/>
        <v>786.47187055828044</v>
      </c>
    </row>
    <row r="51" spans="1:12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8.0439216263672861</v>
      </c>
      <c r="H51" s="110">
        <f t="shared" si="2"/>
        <v>792.0758382263673</v>
      </c>
      <c r="I51" s="37">
        <f t="shared" si="3"/>
        <v>3.061111823987551</v>
      </c>
      <c r="J51" s="35">
        <f t="shared" si="0"/>
        <v>795.13695005035481</v>
      </c>
    </row>
    <row r="52" spans="1:12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7.9981746357105488</v>
      </c>
      <c r="H52" s="110">
        <f t="shared" si="2"/>
        <v>800.83389783571067</v>
      </c>
      <c r="I52" s="37">
        <f t="shared" si="3"/>
        <v>3.0437028212006316</v>
      </c>
      <c r="J52" s="35">
        <f t="shared" si="0"/>
        <v>803.87760065691134</v>
      </c>
    </row>
    <row r="53" spans="1:12">
      <c r="A53" s="113">
        <v>75</v>
      </c>
      <c r="B53" s="114">
        <f>B52+(((B54-B52)/($A$54-$A$52))*($A$53-$A$52))</f>
        <v>799.74517236666668</v>
      </c>
      <c r="C53" s="115">
        <f t="shared" ref="C53:D53" si="4">C52+(((C54-C52)/($A$54-$A$52))*($A$53-$A$52))</f>
        <v>1.4612000162666667</v>
      </c>
      <c r="D53" s="116">
        <f t="shared" si="4"/>
        <v>0.35142632153493331</v>
      </c>
      <c r="E53" s="117"/>
      <c r="F53" s="117"/>
      <c r="G53" s="36">
        <f t="shared" si="1"/>
        <v>7.9618124564026198</v>
      </c>
      <c r="H53" s="111">
        <f t="shared" si="2"/>
        <v>807.70698482306932</v>
      </c>
      <c r="I53" s="37">
        <f t="shared" si="3"/>
        <v>3.0298652053963462</v>
      </c>
      <c r="J53" s="112">
        <f t="shared" si="0"/>
        <v>810.73685002846571</v>
      </c>
      <c r="K53" s="40" t="s">
        <v>33</v>
      </c>
      <c r="L53" s="66" t="s">
        <v>51</v>
      </c>
    </row>
    <row r="54" spans="1:12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7.9514232623146404</v>
      </c>
      <c r="H54" s="110">
        <f t="shared" si="2"/>
        <v>809.67072396231458</v>
      </c>
      <c r="I54" s="37">
        <f t="shared" si="3"/>
        <v>3.025911600880836</v>
      </c>
      <c r="J54" s="35">
        <f t="shared" si="0"/>
        <v>812.6966355631954</v>
      </c>
    </row>
    <row r="55" spans="1:12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7.9035934990303609</v>
      </c>
      <c r="H55" s="110">
        <f t="shared" si="2"/>
        <v>818.58624259903036</v>
      </c>
      <c r="I55" s="37">
        <f t="shared" si="3"/>
        <v>3.0077099996310048</v>
      </c>
      <c r="J55" s="35">
        <f t="shared" si="0"/>
        <v>821.59395259866142</v>
      </c>
    </row>
    <row r="56" spans="1:12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7.8546219111583913</v>
      </c>
      <c r="H56" s="110">
        <f t="shared" si="2"/>
        <v>827.58039031115834</v>
      </c>
      <c r="I56" s="37">
        <f t="shared" si="3"/>
        <v>2.9890738773964278</v>
      </c>
      <c r="J56" s="35">
        <f t="shared" si="0"/>
        <v>830.56946418855478</v>
      </c>
    </row>
    <row r="57" spans="1:12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7.8044133466497589</v>
      </c>
      <c r="H57" s="110">
        <f t="shared" si="2"/>
        <v>836.65452232664984</v>
      </c>
      <c r="I57" s="37">
        <f t="shared" si="3"/>
        <v>2.969967024095046</v>
      </c>
      <c r="J57" s="35">
        <f t="shared" si="0"/>
        <v>839.62448935074485</v>
      </c>
    </row>
    <row r="58" spans="1:12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7.7528726534554915</v>
      </c>
      <c r="H58" s="110">
        <f t="shared" si="2"/>
        <v>845.80999387345548</v>
      </c>
      <c r="I58" s="37">
        <f t="shared" si="3"/>
        <v>2.9503532296447958</v>
      </c>
      <c r="J58" s="35">
        <f t="shared" si="0"/>
        <v>848.76034710310023</v>
      </c>
    </row>
    <row r="59" spans="1:12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7.6998835346268413</v>
      </c>
      <c r="H59" s="110">
        <f t="shared" si="2"/>
        <v>855.04813903462673</v>
      </c>
      <c r="I59" s="37">
        <f t="shared" si="3"/>
        <v>2.9301882372787134</v>
      </c>
      <c r="J59" s="35">
        <f t="shared" si="0"/>
        <v>857.97832727190541</v>
      </c>
    </row>
    <row r="60" spans="1:12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7.6453296932150607</v>
      </c>
      <c r="H60" s="110">
        <f t="shared" si="2"/>
        <v>864.3688415132151</v>
      </c>
      <c r="I60" s="37">
        <f t="shared" si="3"/>
        <v>2.9094277902298331</v>
      </c>
      <c r="J60" s="35">
        <f t="shared" si="0"/>
        <v>867.27826930344497</v>
      </c>
    </row>
    <row r="61" spans="1:12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7.5890525424718636</v>
      </c>
      <c r="H61" s="110">
        <f t="shared" si="2"/>
        <v>873.77484348247185</v>
      </c>
      <c r="I61" s="37">
        <f t="shared" si="3"/>
        <v>2.8880115383613858</v>
      </c>
      <c r="J61" s="35">
        <f t="shared" si="0"/>
        <v>876.66285502083326</v>
      </c>
    </row>
    <row r="62" spans="1:12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7.5309040680988426</v>
      </c>
      <c r="H62" s="110">
        <f t="shared" si="2"/>
        <v>883.26454654809891</v>
      </c>
      <c r="I62" s="37">
        <f t="shared" si="3"/>
        <v>2.8658831548790524</v>
      </c>
      <c r="J62" s="35">
        <f t="shared" si="0"/>
        <v>886.13042970297795</v>
      </c>
    </row>
    <row r="63" spans="1:12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7.4706728210982805</v>
      </c>
      <c r="H63" s="110">
        <f t="shared" si="2"/>
        <v>892.84209040109829</v>
      </c>
      <c r="I63" s="37">
        <f t="shared" si="3"/>
        <v>2.8429621729338064</v>
      </c>
      <c r="J63" s="35">
        <f t="shared" si="0"/>
        <v>895.68505257403206</v>
      </c>
    </row>
    <row r="64" spans="1:12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7.4081262075726828</v>
      </c>
      <c r="H64" s="110">
        <f t="shared" si="2"/>
        <v>902.50869282757265</v>
      </c>
      <c r="I64" s="37">
        <f t="shared" si="3"/>
        <v>2.8191600789917186</v>
      </c>
      <c r="J64" s="35">
        <f t="shared" si="0"/>
        <v>905.32785290656432</v>
      </c>
    </row>
    <row r="65" spans="1:12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7.3429999162749011</v>
      </c>
      <c r="H65" s="110">
        <f t="shared" si="2"/>
        <v>912.26263913627497</v>
      </c>
      <c r="I65" s="37">
        <f t="shared" si="3"/>
        <v>2.7943762894915056</v>
      </c>
      <c r="J65" s="35">
        <f t="shared" si="0"/>
        <v>915.05701542576651</v>
      </c>
    </row>
    <row r="66" spans="1:12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7.274966201258465</v>
      </c>
      <c r="H66" s="110">
        <f t="shared" si="2"/>
        <v>922.10940310125852</v>
      </c>
      <c r="I66" s="37">
        <f t="shared" si="3"/>
        <v>2.768486080817175</v>
      </c>
      <c r="J66" s="35">
        <f t="shared" si="0"/>
        <v>924.87788918207571</v>
      </c>
    </row>
    <row r="67" spans="1:12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7.2036127369778269</v>
      </c>
      <c r="H67" s="110">
        <f t="shared" si="2"/>
        <v>932.04712201697782</v>
      </c>
      <c r="I67" s="37">
        <f t="shared" si="3"/>
        <v>2.7413325426131263</v>
      </c>
      <c r="J67" s="35">
        <f t="shared" si="0"/>
        <v>934.78845455959095</v>
      </c>
    </row>
    <row r="68" spans="1:12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7.1284531907382256</v>
      </c>
      <c r="H68" s="110">
        <f t="shared" si="2"/>
        <v>942.07966069073836</v>
      </c>
      <c r="I68" s="37">
        <f t="shared" si="3"/>
        <v>2.7127306011265979</v>
      </c>
      <c r="J68" s="35">
        <f t="shared" ref="J68:J79" si="5">H68+I68</f>
        <v>944.79239129186499</v>
      </c>
    </row>
    <row r="69" spans="1:12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1" si="6">(C69*($M$3*$P$5)*($M$2+$M$4))/144</f>
        <v>7.0488426430966182</v>
      </c>
      <c r="H69" s="110">
        <f t="shared" ref="H69:H79" si="7">B69+G69</f>
        <v>952.2092749630965</v>
      </c>
      <c r="I69" s="37">
        <f t="shared" ref="I69:I79" si="8">(C69*($M$3*$P$5)*$M$1)/144</f>
        <v>2.6824348324680578</v>
      </c>
      <c r="J69" s="35">
        <f t="shared" si="5"/>
        <v>954.89170979556457</v>
      </c>
    </row>
    <row r="70" spans="1:12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6.9639670154117814</v>
      </c>
      <c r="H70" s="110">
        <f t="shared" si="7"/>
        <v>962.43515075541188</v>
      </c>
      <c r="I70" s="37">
        <f t="shared" si="8"/>
        <v>2.6501354392687539</v>
      </c>
      <c r="J70" s="35">
        <f t="shared" si="5"/>
        <v>965.08528619468063</v>
      </c>
    </row>
    <row r="71" spans="1:12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6.8727584902452268</v>
      </c>
      <c r="H71" s="110">
        <f t="shared" si="7"/>
        <v>972.76057139024522</v>
      </c>
      <c r="I71" s="37">
        <f t="shared" si="8"/>
        <v>2.6154260639411016</v>
      </c>
      <c r="J71" s="35">
        <f t="shared" si="5"/>
        <v>975.37599745418629</v>
      </c>
    </row>
    <row r="72" spans="1:12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>(C72*($M$3*$P$5)*($M$2+$M$4))/144</f>
        <v>6.7737052072632586</v>
      </c>
      <c r="H72" s="110">
        <f t="shared" si="7"/>
        <v>983.18982652726322</v>
      </c>
      <c r="I72" s="37">
        <f t="shared" si="8"/>
        <v>2.5777313685145593</v>
      </c>
      <c r="J72" s="35">
        <f t="shared" si="5"/>
        <v>985.76755789577783</v>
      </c>
    </row>
    <row r="73" spans="1:12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ref="G73:G79" si="9">(C73*($M$3*$P$5)*($M$2+$M$4))/144</f>
        <v>6.6646821040387874</v>
      </c>
      <c r="H73" s="110">
        <f t="shared" si="7"/>
        <v>993.72079110403888</v>
      </c>
      <c r="I73" s="37">
        <f t="shared" si="8"/>
        <v>2.5362426611564097</v>
      </c>
      <c r="J73" s="35">
        <f t="shared" si="5"/>
        <v>996.25703376519527</v>
      </c>
    </row>
    <row r="74" spans="1:12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9"/>
        <v>6.5424540109066989</v>
      </c>
      <c r="H74" s="110">
        <f t="shared" si="7"/>
        <v>1004.3603826109066</v>
      </c>
      <c r="I74" s="37">
        <f t="shared" si="8"/>
        <v>2.4897287990765453</v>
      </c>
      <c r="J74" s="35">
        <f t="shared" si="5"/>
        <v>1006.8501114099832</v>
      </c>
    </row>
    <row r="75" spans="1:12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9"/>
        <v>6.4017135580242179</v>
      </c>
      <c r="H75" s="110">
        <f t="shared" si="7"/>
        <v>1015.1061944380242</v>
      </c>
      <c r="I75" s="37">
        <f t="shared" si="8"/>
        <v>2.4361700643643958</v>
      </c>
      <c r="J75" s="35">
        <f t="shared" si="5"/>
        <v>1017.5423645023886</v>
      </c>
    </row>
    <row r="76" spans="1:12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9"/>
        <v>6.2327235190463348</v>
      </c>
      <c r="H76" s="110">
        <f t="shared" si="7"/>
        <v>1025.9586420190465</v>
      </c>
      <c r="I76" s="37">
        <f t="shared" si="8"/>
        <v>2.3718609586222836</v>
      </c>
      <c r="J76" s="35">
        <f t="shared" si="5"/>
        <v>1028.3305029776689</v>
      </c>
    </row>
    <row r="77" spans="1:12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9"/>
        <v>6.013926668655488</v>
      </c>
      <c r="H77" s="110">
        <f t="shared" si="7"/>
        <v>1036.9077711686557</v>
      </c>
      <c r="I77" s="37">
        <f t="shared" si="8"/>
        <v>2.2885978865919405</v>
      </c>
      <c r="J77" s="35">
        <f t="shared" si="5"/>
        <v>1039.1963690552477</v>
      </c>
    </row>
    <row r="78" spans="1:12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9"/>
        <v>5.675121939608613</v>
      </c>
      <c r="H78" s="110">
        <f t="shared" si="7"/>
        <v>1047.9065868996086</v>
      </c>
      <c r="I78" s="37">
        <f t="shared" si="8"/>
        <v>2.1596658543965126</v>
      </c>
      <c r="J78" s="35">
        <f t="shared" si="5"/>
        <v>1050.0662527540051</v>
      </c>
    </row>
    <row r="79" spans="1:12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9"/>
        <v>4.7788636454224207</v>
      </c>
      <c r="H79" s="110">
        <f t="shared" si="7"/>
        <v>1055.5791736454225</v>
      </c>
      <c r="I79" s="37">
        <f t="shared" si="8"/>
        <v>1.8185950447696315</v>
      </c>
      <c r="J79" s="35">
        <f t="shared" si="5"/>
        <v>1057.3977686901922</v>
      </c>
      <c r="K79" s="48"/>
      <c r="L79" s="22"/>
    </row>
    <row r="80" spans="1:12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O819"/>
  <sheetViews>
    <sheetView zoomScale="85" zoomScaleNormal="85" workbookViewId="0">
      <pane xSplit="1" topLeftCell="B1" activePane="topRight" state="frozen"/>
      <selection pane="topRight" activeCell="N3" sqref="N3"/>
    </sheetView>
  </sheetViews>
  <sheetFormatPr defaultColWidth="11.42578125" defaultRowHeight="15"/>
  <cols>
    <col min="1" max="1" width="11.42578125" style="24"/>
    <col min="3" max="3" width="11.85546875" customWidth="1"/>
    <col min="4" max="4" width="11.42578125" style="23"/>
    <col min="5" max="5" width="11.42578125" style="58"/>
    <col min="6" max="6" width="24.5703125" customWidth="1"/>
    <col min="7" max="8" width="13" style="24" customWidth="1"/>
    <col min="9" max="9" width="11" style="24" customWidth="1"/>
    <col min="10" max="10" width="12.140625" customWidth="1"/>
    <col min="11" max="11" width="9.85546875" customWidth="1"/>
    <col min="12" max="12" width="12.42578125" customWidth="1"/>
    <col min="13" max="13" width="13" customWidth="1"/>
    <col min="14" max="14" width="40.7109375" bestFit="1" customWidth="1"/>
    <col min="17" max="17" width="23.42578125" bestFit="1" customWidth="1"/>
  </cols>
  <sheetData>
    <row r="1" spans="1:15" ht="23.25" customHeight="1">
      <c r="A1" s="228" t="s">
        <v>17</v>
      </c>
      <c r="B1" s="229"/>
      <c r="C1" s="229"/>
      <c r="D1" s="230"/>
      <c r="E1" s="62"/>
      <c r="F1" s="231" t="s">
        <v>98</v>
      </c>
      <c r="G1" s="105"/>
      <c r="H1" s="105"/>
      <c r="I1" s="105"/>
      <c r="J1" s="234" t="s">
        <v>49</v>
      </c>
      <c r="K1" s="236" t="s">
        <v>48</v>
      </c>
      <c r="L1" s="237"/>
      <c r="M1" s="14"/>
      <c r="N1" t="s">
        <v>56</v>
      </c>
      <c r="O1">
        <v>1.5</v>
      </c>
    </row>
    <row r="2" spans="1:15" ht="27.95" customHeight="1">
      <c r="A2" s="78" t="s">
        <v>18</v>
      </c>
      <c r="B2" s="79" t="s">
        <v>20</v>
      </c>
      <c r="C2" s="80" t="s">
        <v>21</v>
      </c>
      <c r="D2" s="81" t="s">
        <v>22</v>
      </c>
      <c r="E2" s="50"/>
      <c r="F2" s="232"/>
      <c r="G2" s="101" t="s">
        <v>39</v>
      </c>
      <c r="H2" s="101" t="s">
        <v>101</v>
      </c>
      <c r="I2" s="101" t="s">
        <v>35</v>
      </c>
      <c r="J2" s="235"/>
      <c r="K2" s="238"/>
      <c r="L2" s="239"/>
      <c r="M2" s="63"/>
      <c r="N2" t="s">
        <v>14</v>
      </c>
      <c r="O2">
        <f>R1+(2*R3)</f>
        <v>0</v>
      </c>
    </row>
    <row r="3" spans="1:15" ht="15.75" thickBot="1">
      <c r="A3" s="93" t="s">
        <v>16</v>
      </c>
      <c r="B3" s="94" t="s">
        <v>19</v>
      </c>
      <c r="C3" s="95" t="s">
        <v>23</v>
      </c>
      <c r="D3" s="96" t="s">
        <v>23</v>
      </c>
      <c r="E3" s="20"/>
      <c r="F3" s="233"/>
      <c r="G3" s="97" t="s">
        <v>40</v>
      </c>
      <c r="H3" s="97" t="s">
        <v>40</v>
      </c>
      <c r="I3" s="97" t="s">
        <v>40</v>
      </c>
      <c r="J3" s="91" t="s">
        <v>40</v>
      </c>
      <c r="K3" s="97" t="s">
        <v>47</v>
      </c>
      <c r="L3" s="92" t="s">
        <v>52</v>
      </c>
      <c r="M3" s="17"/>
      <c r="N3" t="s">
        <v>13</v>
      </c>
      <c r="O3">
        <v>32.200000000000003</v>
      </c>
    </row>
    <row r="4" spans="1:15">
      <c r="A4" s="78">
        <v>32</v>
      </c>
      <c r="B4" s="82">
        <v>452.82023903999999</v>
      </c>
      <c r="C4" s="80">
        <v>1.75999830112</v>
      </c>
      <c r="D4" s="81">
        <v>0.16525852904319999</v>
      </c>
      <c r="E4" s="50">
        <f>$O$7/((C4*(1-F4))+(D4*F4))</f>
        <v>0.75464059157743779</v>
      </c>
      <c r="F4" s="73">
        <f t="shared" ref="F4:F35" si="0">(($C$53*(1-$O$11))+(D4*$O$11)-C4)/(D4-C4)</f>
        <v>0.22799667104370452</v>
      </c>
      <c r="G4" s="102">
        <f>$O$7/((C4*(1-$O$11))+(D4*$O$11))</f>
        <v>0.62715384464932811</v>
      </c>
      <c r="H4" s="102">
        <v>0.75119999999999998</v>
      </c>
      <c r="I4" s="67">
        <f>H4*F4</f>
        <v>0.17127109928803083</v>
      </c>
      <c r="J4" s="68">
        <f>I4-$G$55</f>
        <v>0.12966423767093513</v>
      </c>
      <c r="K4" s="67">
        <f>IF(J4&gt;0, ('BPV Calcs - T6'!$B$8/12)+(J4/(PI()*(('BPV Calcs - T6'!$B$8/12)^2))), "Need to Use Goal Seek tool")</f>
        <v>0.83351933171067216</v>
      </c>
      <c r="L4" s="74">
        <f>K4*12</f>
        <v>10.002231980528066</v>
      </c>
      <c r="M4" s="17"/>
      <c r="N4" t="s">
        <v>57</v>
      </c>
      <c r="O4">
        <v>0.5</v>
      </c>
    </row>
    <row r="5" spans="1:15">
      <c r="A5" s="78">
        <v>32.9</v>
      </c>
      <c r="B5" s="82">
        <v>458.65366740000002</v>
      </c>
      <c r="C5" s="80">
        <v>1.7550485447999999</v>
      </c>
      <c r="D5" s="81">
        <v>0.16772615040639999</v>
      </c>
      <c r="E5" s="50"/>
      <c r="F5" s="73">
        <f t="shared" si="0"/>
        <v>0.22586603899286106</v>
      </c>
      <c r="G5" s="102">
        <f t="shared" ref="G5:G53" si="1">$O$7/((C5*(1-$O$11))+(D5*$O$11))</f>
        <v>0.62886757442092611</v>
      </c>
      <c r="H5" s="102">
        <v>0.75119999999999998</v>
      </c>
      <c r="I5" s="67">
        <f t="shared" ref="I5:I53" si="2">H5*F5</f>
        <v>0.16967056849143722</v>
      </c>
      <c r="J5" s="68">
        <f t="shared" ref="J5:J54" si="3">I5-$G$55</f>
        <v>0.12806370687434152</v>
      </c>
      <c r="K5" s="67">
        <f>IF(J5&gt;0, ('BPV Calcs - T6'!$B$8/12)+(J5/(PI()*(('BPV Calcs - T6'!$B$8/12)^2))), "Need to Use Goal Seek tool")</f>
        <v>0.82657372908814719</v>
      </c>
      <c r="L5" s="74">
        <f t="shared" ref="L5:L53" si="4">K5*12</f>
        <v>9.9188847490577672</v>
      </c>
      <c r="M5" s="17"/>
      <c r="N5" t="s">
        <v>36</v>
      </c>
      <c r="O5">
        <v>0.87815195180003003</v>
      </c>
    </row>
    <row r="6" spans="1:15">
      <c r="A6" s="78">
        <v>33.799999999999997</v>
      </c>
      <c r="B6" s="82">
        <v>464.54366057999999</v>
      </c>
      <c r="C6" s="80">
        <v>1.7500619224</v>
      </c>
      <c r="D6" s="81">
        <v>0.1702317244288</v>
      </c>
      <c r="E6" s="50"/>
      <c r="F6" s="73">
        <f t="shared" si="0"/>
        <v>0.22370145929548133</v>
      </c>
      <c r="G6" s="102">
        <f t="shared" si="1"/>
        <v>0.63060319557846756</v>
      </c>
      <c r="H6" s="102">
        <v>0.75119999999999998</v>
      </c>
      <c r="I6" s="67">
        <f t="shared" si="2"/>
        <v>0.16804453622276558</v>
      </c>
      <c r="J6" s="68">
        <f t="shared" si="3"/>
        <v>0.12643767460566988</v>
      </c>
      <c r="K6" s="67">
        <f>IF(J6&gt;0, ('BPV Calcs - T6'!$B$8/12)+(J6/(PI()*(('BPV Calcs - T6'!$B$8/12)^2))), "Need to Use Goal Seek tool")</f>
        <v>0.8195174612464835</v>
      </c>
      <c r="L6" s="74">
        <f t="shared" si="4"/>
        <v>9.834209534957802</v>
      </c>
      <c r="M6" s="17"/>
      <c r="N6" t="s">
        <v>37</v>
      </c>
      <c r="O6">
        <v>1.2</v>
      </c>
    </row>
    <row r="7" spans="1:15">
      <c r="A7" s="78">
        <v>34.700000000000003</v>
      </c>
      <c r="B7" s="82">
        <v>470.48731781999993</v>
      </c>
      <c r="C7" s="80">
        <v>1.7450423145599998</v>
      </c>
      <c r="D7" s="81">
        <v>0.17277604664159998</v>
      </c>
      <c r="E7" s="50"/>
      <c r="F7" s="73">
        <f t="shared" si="0"/>
        <v>0.22150414588215353</v>
      </c>
      <c r="G7" s="102">
        <f t="shared" si="1"/>
        <v>0.63235957933036391</v>
      </c>
      <c r="H7" s="102">
        <v>0.75119999999999998</v>
      </c>
      <c r="I7" s="67">
        <f t="shared" si="2"/>
        <v>0.16639391438667372</v>
      </c>
      <c r="J7" s="68">
        <f t="shared" si="3"/>
        <v>0.12478705276957802</v>
      </c>
      <c r="K7" s="67">
        <f>IF(J7&gt;0, ('BPV Calcs - T6'!$B$8/12)+(J7/(PI()*(('BPV Calcs - T6'!$B$8/12)^2))), "Need to Use Goal Seek tool")</f>
        <v>0.81235448545248023</v>
      </c>
      <c r="L7" s="74">
        <f t="shared" si="4"/>
        <v>9.7482538254297637</v>
      </c>
      <c r="M7" s="17"/>
      <c r="N7" s="40" t="s">
        <v>38</v>
      </c>
      <c r="O7" s="40">
        <f>O5*O6</f>
        <v>1.0537823421600361</v>
      </c>
    </row>
    <row r="8" spans="1:15">
      <c r="A8" s="78">
        <v>35.6</v>
      </c>
      <c r="B8" s="82">
        <v>476.48608949999999</v>
      </c>
      <c r="C8" s="80">
        <v>1.73998778096</v>
      </c>
      <c r="D8" s="81">
        <v>0.17536002899519998</v>
      </c>
      <c r="E8" s="50"/>
      <c r="F8" s="73">
        <f t="shared" si="0"/>
        <v>0.21927245226609335</v>
      </c>
      <c r="G8" s="102">
        <f t="shared" si="1"/>
        <v>0.63413767888578276</v>
      </c>
      <c r="H8" s="102">
        <v>0.75119999999999998</v>
      </c>
      <c r="I8" s="67">
        <f t="shared" si="2"/>
        <v>0.16471746614228933</v>
      </c>
      <c r="J8" s="68">
        <f t="shared" si="3"/>
        <v>0.12311060452519362</v>
      </c>
      <c r="K8" s="67">
        <f>IF(J8&gt;0, ('BPV Calcs - T6'!$B$8/12)+(J8/(PI()*(('BPV Calcs - T6'!$B$8/12)^2))), "Need to Use Goal Seek tool")</f>
        <v>0.80507943435848994</v>
      </c>
      <c r="L8" s="74">
        <f t="shared" si="4"/>
        <v>9.6609532123018802</v>
      </c>
      <c r="M8" s="17"/>
    </row>
    <row r="9" spans="1:15">
      <c r="A9" s="78">
        <v>36.5</v>
      </c>
      <c r="B9" s="82">
        <v>482.54142600000006</v>
      </c>
      <c r="C9" s="80">
        <v>1.73489638128</v>
      </c>
      <c r="D9" s="81">
        <v>0.17798456403679999</v>
      </c>
      <c r="E9" s="50"/>
      <c r="F9" s="73">
        <f t="shared" si="0"/>
        <v>0.21700467160886799</v>
      </c>
      <c r="G9" s="102">
        <f t="shared" si="1"/>
        <v>0.63593846866595771</v>
      </c>
      <c r="H9" s="102">
        <v>0.75119999999999998</v>
      </c>
      <c r="I9" s="67">
        <f t="shared" si="2"/>
        <v>0.16301390931258164</v>
      </c>
      <c r="J9" s="68">
        <f t="shared" si="3"/>
        <v>0.12140704769548594</v>
      </c>
      <c r="K9" s="67">
        <f>IF(J9&gt;0, ('BPV Calcs - T6'!$B$8/12)+(J9/(PI()*(('BPV Calcs - T6'!$B$8/12)^2))), "Need to Use Goal Seek tool")</f>
        <v>0.79768674387779392</v>
      </c>
      <c r="L9" s="74">
        <f t="shared" si="4"/>
        <v>9.572240926533528</v>
      </c>
      <c r="M9" s="17"/>
    </row>
    <row r="10" spans="1:15">
      <c r="A10" s="78">
        <v>37.4</v>
      </c>
      <c r="B10" s="82">
        <v>488.65187693999997</v>
      </c>
      <c r="C10" s="80">
        <v>1.7297661752</v>
      </c>
      <c r="D10" s="81">
        <v>0.18065056371679999</v>
      </c>
      <c r="E10" s="50"/>
      <c r="F10" s="73">
        <f t="shared" si="0"/>
        <v>0.21469903801588108</v>
      </c>
      <c r="G10" s="102">
        <f t="shared" si="1"/>
        <v>0.63776294429150615</v>
      </c>
      <c r="H10" s="102">
        <v>0.75119999999999998</v>
      </c>
      <c r="I10" s="67">
        <f t="shared" si="2"/>
        <v>0.16128191735752986</v>
      </c>
      <c r="J10" s="68">
        <f t="shared" si="3"/>
        <v>0.11967505574043416</v>
      </c>
      <c r="K10" s="67">
        <f>IF(J10&gt;0, ('BPV Calcs - T6'!$B$8/12)+(J10/(PI()*(('BPV Calcs - T6'!$B$8/12)^2))), "Need to Use Goal Seek tool")</f>
        <v>0.79017065740772896</v>
      </c>
      <c r="L10" s="74">
        <f t="shared" si="4"/>
        <v>9.4820478888927475</v>
      </c>
      <c r="M10" s="17"/>
      <c r="N10" t="s">
        <v>100</v>
      </c>
    </row>
    <row r="11" spans="1:15">
      <c r="A11" s="78">
        <v>38.299999999999997</v>
      </c>
      <c r="B11" s="82">
        <v>494.82034307999999</v>
      </c>
      <c r="C11" s="80">
        <v>1.7246010433599999</v>
      </c>
      <c r="D11" s="81">
        <v>0.18335905640479999</v>
      </c>
      <c r="E11" s="50"/>
      <c r="F11" s="73">
        <f t="shared" si="0"/>
        <v>0.21235670832781436</v>
      </c>
      <c r="G11" s="102">
        <f t="shared" si="1"/>
        <v>0.63960997461690805</v>
      </c>
      <c r="H11" s="102">
        <v>0.75119999999999998</v>
      </c>
      <c r="I11" s="67">
        <f t="shared" si="2"/>
        <v>0.15952235929585415</v>
      </c>
      <c r="J11" s="68">
        <f t="shared" si="3"/>
        <v>0.11791549767875845</v>
      </c>
      <c r="K11" s="67">
        <f>IF(J11&gt;0, ('BPV Calcs - T6'!$B$8/12)+(J11/(PI()*(('BPV Calcs - T6'!$B$8/12)^2))), "Need to Use Goal Seek tool")</f>
        <v>0.78253494610890839</v>
      </c>
      <c r="L11" s="74">
        <f t="shared" si="4"/>
        <v>9.3904193533068998</v>
      </c>
      <c r="M11" s="17"/>
      <c r="N11" s="40" t="s">
        <v>99</v>
      </c>
      <c r="O11" s="40">
        <v>0.05</v>
      </c>
    </row>
    <row r="12" spans="1:15">
      <c r="A12" s="78">
        <v>39.200000000000003</v>
      </c>
      <c r="B12" s="82">
        <v>501.04537404000001</v>
      </c>
      <c r="C12" s="80">
        <v>1.7193932244799999</v>
      </c>
      <c r="D12" s="81">
        <v>0.18611099285759999</v>
      </c>
      <c r="E12" s="50"/>
      <c r="F12" s="73">
        <f t="shared" si="0"/>
        <v>0.20997286262368442</v>
      </c>
      <c r="G12" s="102">
        <f t="shared" si="1"/>
        <v>0.64148272157936903</v>
      </c>
      <c r="H12" s="102">
        <v>0.75119999999999998</v>
      </c>
      <c r="I12" s="67">
        <f t="shared" si="2"/>
        <v>0.15773161440291172</v>
      </c>
      <c r="J12" s="68">
        <f t="shared" si="3"/>
        <v>0.11612475278581602</v>
      </c>
      <c r="K12" s="67">
        <f>IF(J12&gt;0, ('BPV Calcs - T6'!$B$8/12)+(J12/(PI()*(('BPV Calcs - T6'!$B$8/12)^2))), "Need to Use Goal Seek tool")</f>
        <v>0.7747638976222655</v>
      </c>
      <c r="L12" s="74">
        <f t="shared" si="4"/>
        <v>9.297166771467186</v>
      </c>
      <c r="M12" s="17"/>
      <c r="N12" s="164" t="s">
        <v>114</v>
      </c>
      <c r="O12" s="164"/>
    </row>
    <row r="13" spans="1:15">
      <c r="A13" s="78">
        <v>40.1</v>
      </c>
      <c r="B13" s="82">
        <v>507.32696982000004</v>
      </c>
      <c r="C13" s="80">
        <v>1.71414853952</v>
      </c>
      <c r="D13" s="81">
        <v>0.1889074790576</v>
      </c>
      <c r="E13" s="50"/>
      <c r="F13" s="73">
        <f t="shared" si="0"/>
        <v>0.20754958564898307</v>
      </c>
      <c r="G13" s="102">
        <f t="shared" si="1"/>
        <v>0.64337934945288622</v>
      </c>
      <c r="H13" s="102">
        <v>0.75119999999999998</v>
      </c>
      <c r="I13" s="67">
        <f t="shared" si="2"/>
        <v>0.15591124873951609</v>
      </c>
      <c r="J13" s="68">
        <f t="shared" si="3"/>
        <v>0.11430438712242039</v>
      </c>
      <c r="K13" s="67">
        <f>IF(J13&gt;0, ('BPV Calcs - T6'!$B$8/12)+(J13/(PI()*(('BPV Calcs - T6'!$B$8/12)^2))), "Need to Use Goal Seek tool")</f>
        <v>0.76686430796579397</v>
      </c>
      <c r="L13" s="74">
        <f t="shared" si="4"/>
        <v>9.2023716955895267</v>
      </c>
      <c r="M13" s="17"/>
      <c r="N13" s="164">
        <v>3.25638777478314</v>
      </c>
      <c r="O13" s="164" t="s">
        <v>115</v>
      </c>
    </row>
    <row r="14" spans="1:15">
      <c r="A14" s="78">
        <v>41</v>
      </c>
      <c r="B14" s="82">
        <v>513.66803117999996</v>
      </c>
      <c r="C14" s="80">
        <v>1.7088611675200001</v>
      </c>
      <c r="D14" s="81">
        <v>0.19174958218079999</v>
      </c>
      <c r="E14" s="50"/>
      <c r="F14" s="73">
        <f t="shared" si="0"/>
        <v>0.20508291938727927</v>
      </c>
      <c r="G14" s="102">
        <f t="shared" si="1"/>
        <v>0.64530234907974404</v>
      </c>
      <c r="H14" s="102">
        <v>0.75119999999999998</v>
      </c>
      <c r="I14" s="67">
        <f t="shared" si="2"/>
        <v>0.15405828904372418</v>
      </c>
      <c r="J14" s="68">
        <f t="shared" si="3"/>
        <v>0.11245142742662848</v>
      </c>
      <c r="K14" s="67">
        <f>IF(J14&gt;0, ('BPV Calcs - T6'!$B$8/12)+(J14/(PI()*(('BPV Calcs - T6'!$B$8/12)^2))), "Need to Use Goal Seek tool")</f>
        <v>0.75882327448495346</v>
      </c>
      <c r="L14" s="74">
        <f t="shared" si="4"/>
        <v>9.1058792938194415</v>
      </c>
      <c r="M14" s="17"/>
      <c r="N14" s="164">
        <f>N13/12</f>
        <v>0.27136564789859502</v>
      </c>
      <c r="O14" s="164" t="s">
        <v>116</v>
      </c>
    </row>
    <row r="15" spans="1:15">
      <c r="A15" s="78">
        <v>41.9</v>
      </c>
      <c r="B15" s="82">
        <v>520.06565735999993</v>
      </c>
      <c r="C15" s="80">
        <v>1.7035330488</v>
      </c>
      <c r="D15" s="81">
        <v>0.19463846641919999</v>
      </c>
      <c r="E15" s="50"/>
      <c r="F15" s="73">
        <f t="shared" si="0"/>
        <v>0.20257287261474624</v>
      </c>
      <c r="G15" s="102">
        <f t="shared" si="1"/>
        <v>0.6472513373024722</v>
      </c>
      <c r="H15" s="102">
        <v>0.75119999999999998</v>
      </c>
      <c r="I15" s="67">
        <f t="shared" si="2"/>
        <v>0.15217274190819738</v>
      </c>
      <c r="J15" s="68">
        <f t="shared" si="3"/>
        <v>0.11056588029110168</v>
      </c>
      <c r="K15" s="67">
        <f>IF(J15&gt;0, ('BPV Calcs - T6'!$B$8/12)+(J15/(PI()*(('BPV Calcs - T6'!$B$8/12)^2))), "Need to Use Goal Seek tool")</f>
        <v>0.75064082578900704</v>
      </c>
      <c r="L15" s="74">
        <f t="shared" si="4"/>
        <v>9.007689909468084</v>
      </c>
      <c r="M15" s="17"/>
      <c r="N15" s="164"/>
      <c r="O15" s="164"/>
    </row>
    <row r="16" spans="1:15">
      <c r="A16" s="78">
        <v>42.8</v>
      </c>
      <c r="B16" s="82">
        <v>526.52129874000002</v>
      </c>
      <c r="C16" s="80">
        <v>1.6981603027200001</v>
      </c>
      <c r="D16" s="81">
        <v>0.19757531536799999</v>
      </c>
      <c r="E16" s="50"/>
      <c r="F16" s="73">
        <f t="shared" si="0"/>
        <v>0.2000163429782873</v>
      </c>
      <c r="G16" s="102">
        <f t="shared" si="1"/>
        <v>0.64922813224697018</v>
      </c>
      <c r="H16" s="102">
        <v>0.75119999999999998</v>
      </c>
      <c r="I16" s="67">
        <f t="shared" si="2"/>
        <v>0.15025227684528941</v>
      </c>
      <c r="J16" s="68">
        <f t="shared" si="3"/>
        <v>0.10864541522819371</v>
      </c>
      <c r="K16" s="67">
        <f>IF(J16&gt;0, ('BPV Calcs - T6'!$B$8/12)+(J16/(PI()*(('BPV Calcs - T6'!$B$8/12)^2))), "Need to Use Goal Seek tool")</f>
        <v>0.74230684858232654</v>
      </c>
      <c r="L16" s="74">
        <f t="shared" si="4"/>
        <v>8.9076821829879194</v>
      </c>
      <c r="M16" s="17"/>
      <c r="N16" s="164">
        <f>(2/3)*PI()*(_MailAutoSig^3)</f>
        <v>4.1852675134105212E-2</v>
      </c>
      <c r="O16" s="164" t="s">
        <v>117</v>
      </c>
    </row>
    <row r="17" spans="1:15">
      <c r="A17" s="78">
        <v>43.7</v>
      </c>
      <c r="B17" s="82">
        <v>533.03640570000005</v>
      </c>
      <c r="C17" s="80">
        <v>1.69274292928</v>
      </c>
      <c r="D17" s="81">
        <v>0.20056135142879999</v>
      </c>
      <c r="E17" s="50"/>
      <c r="F17" s="73">
        <f t="shared" si="0"/>
        <v>0.19741219877504856</v>
      </c>
      <c r="G17" s="102">
        <f t="shared" si="1"/>
        <v>0.65123311146832652</v>
      </c>
      <c r="H17" s="102">
        <v>0.75119999999999998</v>
      </c>
      <c r="I17" s="67">
        <f t="shared" si="2"/>
        <v>0.14829604371981647</v>
      </c>
      <c r="J17" s="68">
        <f t="shared" si="3"/>
        <v>0.10668918210272077</v>
      </c>
      <c r="K17" s="67">
        <f>IF(J17&gt;0, ('BPV Calcs - T6'!$B$8/12)+(J17/(PI()*(('BPV Calcs - T6'!$B$8/12)^2))), "Need to Use Goal Seek tool")</f>
        <v>0.73381765365057472</v>
      </c>
      <c r="L17" s="74">
        <f t="shared" si="4"/>
        <v>8.8058118438068966</v>
      </c>
      <c r="M17" s="17"/>
      <c r="N17" s="164">
        <f>G57*PI()*_MailAutoSig^2</f>
        <v>0.67089971867548348</v>
      </c>
      <c r="O17" s="164" t="s">
        <v>118</v>
      </c>
    </row>
    <row r="18" spans="1:15">
      <c r="A18" s="78">
        <v>44.6</v>
      </c>
      <c r="B18" s="82">
        <v>539.61097824000001</v>
      </c>
      <c r="C18" s="80">
        <v>1.6872809284800001</v>
      </c>
      <c r="D18" s="81">
        <v>0.20359789401919998</v>
      </c>
      <c r="E18" s="50"/>
      <c r="F18" s="73">
        <f t="shared" si="0"/>
        <v>0.19475926570173455</v>
      </c>
      <c r="G18" s="102">
        <f t="shared" si="1"/>
        <v>0.65326665910188353</v>
      </c>
      <c r="H18" s="102">
        <v>0.75119999999999998</v>
      </c>
      <c r="I18" s="67">
        <f t="shared" si="2"/>
        <v>0.14630316039514299</v>
      </c>
      <c r="J18" s="68">
        <f t="shared" si="3"/>
        <v>0.10469629877804729</v>
      </c>
      <c r="K18" s="67">
        <f>IF(J18&gt;0, ('BPV Calcs - T6'!$B$8/12)+(J18/(PI()*(('BPV Calcs - T6'!$B$8/12)^2))), "Need to Use Goal Seek tool")</f>
        <v>0.72516941290713033</v>
      </c>
      <c r="L18" s="74">
        <f t="shared" si="4"/>
        <v>8.7020329548855635</v>
      </c>
      <c r="M18" s="17"/>
      <c r="N18" s="164">
        <f>N17+(2*N16)</f>
        <v>0.75460506894369395</v>
      </c>
      <c r="O18" s="164" t="s">
        <v>112</v>
      </c>
    </row>
    <row r="19" spans="1:15">
      <c r="A19" s="78">
        <v>45.5</v>
      </c>
      <c r="B19" s="82">
        <v>546.24646674000007</v>
      </c>
      <c r="C19" s="80">
        <v>1.6817723599999999</v>
      </c>
      <c r="D19" s="81">
        <v>0.20668630136319999</v>
      </c>
      <c r="E19" s="50"/>
      <c r="F19" s="73">
        <f t="shared" si="0"/>
        <v>0.19205525523054301</v>
      </c>
      <c r="G19" s="102">
        <f t="shared" si="1"/>
        <v>0.6553299184222835</v>
      </c>
      <c r="H19" s="102">
        <v>0.75119999999999998</v>
      </c>
      <c r="I19" s="67">
        <f t="shared" si="2"/>
        <v>0.14427190772918391</v>
      </c>
      <c r="J19" s="68">
        <f t="shared" si="3"/>
        <v>0.10266504611208821</v>
      </c>
      <c r="K19" s="67">
        <f>IF(J19&gt;0, ('BPV Calcs - T6'!$B$8/12)+(J19/(PI()*(('BPV Calcs - T6'!$B$8/12)^2))), "Need to Use Goal Seek tool")</f>
        <v>0.71635466602833064</v>
      </c>
      <c r="L19" s="74">
        <f t="shared" si="4"/>
        <v>8.5962559923399677</v>
      </c>
      <c r="M19" s="17"/>
      <c r="N19" s="165">
        <f>N18-H4</f>
        <v>3.4050689436939674E-3</v>
      </c>
      <c r="O19" s="164" t="s">
        <v>113</v>
      </c>
    </row>
    <row r="20" spans="1:15">
      <c r="A20" s="78">
        <v>46.4</v>
      </c>
      <c r="B20" s="82">
        <v>552.93997044000002</v>
      </c>
      <c r="C20" s="80">
        <v>1.6762152835199999</v>
      </c>
      <c r="D20" s="81">
        <v>0.2098279704912</v>
      </c>
      <c r="E20" s="50"/>
      <c r="F20" s="73">
        <f t="shared" si="0"/>
        <v>0.18929778447739115</v>
      </c>
      <c r="G20" s="102">
        <f t="shared" si="1"/>
        <v>0.65742406004832554</v>
      </c>
      <c r="H20" s="102">
        <v>0.75119999999999998</v>
      </c>
      <c r="I20" s="67">
        <f t="shared" si="2"/>
        <v>0.14220049569941623</v>
      </c>
      <c r="J20" s="68">
        <f t="shared" si="3"/>
        <v>0.10059363408232053</v>
      </c>
      <c r="K20" s="67">
        <f>IF(J20&gt;0, ('BPV Calcs - T6'!$B$8/12)+(J20/(PI()*(('BPV Calcs - T6'!$B$8/12)^2))), "Need to Use Goal Seek tool")</f>
        <v>0.70736564510045818</v>
      </c>
      <c r="L20" s="74">
        <f t="shared" si="4"/>
        <v>8.4883877412054982</v>
      </c>
      <c r="M20" s="17"/>
    </row>
    <row r="21" spans="1:15">
      <c r="A21" s="78">
        <v>47.3</v>
      </c>
      <c r="B21" s="82">
        <v>559.69439009999996</v>
      </c>
      <c r="C21" s="80">
        <v>1.6706096990399999</v>
      </c>
      <c r="D21" s="81">
        <v>0.21302437604639998</v>
      </c>
      <c r="E21" s="50"/>
      <c r="F21" s="73">
        <f t="shared" si="0"/>
        <v>0.18648545680062392</v>
      </c>
      <c r="G21" s="102">
        <f t="shared" si="1"/>
        <v>0.65954952128797284</v>
      </c>
      <c r="H21" s="102">
        <v>0.75119999999999998</v>
      </c>
      <c r="I21" s="67">
        <f t="shared" si="2"/>
        <v>0.14008787514862869</v>
      </c>
      <c r="J21" s="68">
        <f t="shared" si="3"/>
        <v>9.848101353153299E-2</v>
      </c>
      <c r="K21" s="67">
        <f>IF(J21&gt;0, ('BPV Calcs - T6'!$B$8/12)+(J21/(PI()*(('BPV Calcs - T6'!$B$8/12)^2))), "Need to Use Goal Seek tool")</f>
        <v>0.69819779724074849</v>
      </c>
      <c r="L21" s="74">
        <f t="shared" si="4"/>
        <v>8.3783735668889818</v>
      </c>
      <c r="M21" s="17"/>
    </row>
    <row r="22" spans="1:15">
      <c r="A22" s="78">
        <v>48.2</v>
      </c>
      <c r="B22" s="82">
        <v>566.51117609999994</v>
      </c>
      <c r="C22" s="80">
        <v>1.66495172592</v>
      </c>
      <c r="D22" s="81">
        <v>0.21627710909119999</v>
      </c>
      <c r="E22" s="50"/>
      <c r="F22" s="73">
        <f t="shared" si="0"/>
        <v>0.18361463086471771</v>
      </c>
      <c r="G22" s="102">
        <f t="shared" si="1"/>
        <v>0.66170827922610209</v>
      </c>
      <c r="H22" s="102">
        <v>0.75119999999999998</v>
      </c>
      <c r="I22" s="67">
        <f t="shared" si="2"/>
        <v>0.13793131070557593</v>
      </c>
      <c r="J22" s="68">
        <f t="shared" si="3"/>
        <v>9.632444908848023E-2</v>
      </c>
      <c r="K22" s="67">
        <f>IF(J22&gt;0, ('BPV Calcs - T6'!$B$8/12)+(J22/(PI()*(('BPV Calcs - T6'!$B$8/12)^2))), "Need to Use Goal Seek tool")</f>
        <v>0.68883925213609309</v>
      </c>
      <c r="L22" s="74">
        <f t="shared" si="4"/>
        <v>8.2660710256331171</v>
      </c>
      <c r="M22" s="17"/>
    </row>
    <row r="23" spans="1:15">
      <c r="A23" s="78">
        <v>49.1</v>
      </c>
      <c r="B23" s="82">
        <v>573.38742767999997</v>
      </c>
      <c r="C23" s="80">
        <v>1.6592413641600001</v>
      </c>
      <c r="D23" s="81">
        <v>0.21958774128479999</v>
      </c>
      <c r="E23" s="50"/>
      <c r="F23" s="73">
        <f t="shared" si="0"/>
        <v>0.18068371274121117</v>
      </c>
      <c r="G23" s="102">
        <f t="shared" si="1"/>
        <v>0.66390082060067979</v>
      </c>
      <c r="H23" s="102">
        <v>0.75119999999999998</v>
      </c>
      <c r="I23" s="67">
        <f t="shared" si="2"/>
        <v>0.13572960501119782</v>
      </c>
      <c r="J23" s="68">
        <f t="shared" si="3"/>
        <v>9.4122743394102121E-2</v>
      </c>
      <c r="K23" s="67">
        <f>IF(J23&gt;0, ('BPV Calcs - T6'!$B$8/12)+(J23/(PI()*(('BPV Calcs - T6'!$B$8/12)^2))), "Need to Use Goal Seek tool")</f>
        <v>0.67928481377261574</v>
      </c>
      <c r="L23" s="74">
        <f t="shared" si="4"/>
        <v>8.1514177652713897</v>
      </c>
      <c r="M23" s="17"/>
    </row>
    <row r="24" spans="1:15">
      <c r="A24" s="78">
        <v>50</v>
      </c>
      <c r="B24" s="82">
        <v>580.32604560000004</v>
      </c>
      <c r="C24" s="80">
        <v>1.6534766734399999</v>
      </c>
      <c r="D24" s="81">
        <v>0.22295801891519998</v>
      </c>
      <c r="E24" s="50"/>
      <c r="F24" s="73">
        <f t="shared" si="0"/>
        <v>0.17768992822071569</v>
      </c>
      <c r="G24" s="102">
        <f t="shared" si="1"/>
        <v>0.66612841666901734</v>
      </c>
      <c r="H24" s="102">
        <v>0.75119999999999998</v>
      </c>
      <c r="I24" s="67">
        <f t="shared" si="2"/>
        <v>0.13348067407940162</v>
      </c>
      <c r="J24" s="68">
        <f t="shared" si="3"/>
        <v>9.1873812462305915E-2</v>
      </c>
      <c r="K24" s="67">
        <f>IF(J24&gt;0, ('BPV Calcs - T6'!$B$8/12)+(J24/(PI()*(('BPV Calcs - T6'!$B$8/12)^2))), "Need to Use Goal Seek tool")</f>
        <v>0.66952543856346303</v>
      </c>
      <c r="L24" s="74">
        <f t="shared" si="4"/>
        <v>8.0343052627615563</v>
      </c>
      <c r="M24" s="17"/>
    </row>
    <row r="25" spans="1:15">
      <c r="A25" s="78">
        <v>50.9</v>
      </c>
      <c r="B25" s="82">
        <v>587.32702986000004</v>
      </c>
      <c r="C25" s="80">
        <v>1.6476576537600001</v>
      </c>
      <c r="D25" s="81">
        <v>0.22638970767359998</v>
      </c>
      <c r="E25" s="50"/>
      <c r="F25" s="73">
        <f t="shared" si="0"/>
        <v>0.17463149971574637</v>
      </c>
      <c r="G25" s="102">
        <f t="shared" si="1"/>
        <v>0.66839159019203187</v>
      </c>
      <c r="H25" s="102">
        <v>0.75119999999999998</v>
      </c>
      <c r="I25" s="67">
        <f t="shared" si="2"/>
        <v>0.13118318258646866</v>
      </c>
      <c r="J25" s="68">
        <f t="shared" si="3"/>
        <v>8.9576320969372958E-2</v>
      </c>
      <c r="K25" s="67">
        <f>IF(J25&gt;0, ('BPV Calcs - T6'!$B$8/12)+(J25/(PI()*(('BPV Calcs - T6'!$B$8/12)^2))), "Need to Use Goal Seek tool")</f>
        <v>0.65955533178856918</v>
      </c>
      <c r="L25" s="74">
        <f t="shared" si="4"/>
        <v>7.9146639814628301</v>
      </c>
      <c r="M25" s="17"/>
    </row>
    <row r="26" spans="1:15">
      <c r="A26" s="78">
        <v>51.8</v>
      </c>
      <c r="B26" s="82">
        <v>594.39038045999996</v>
      </c>
      <c r="C26" s="80">
        <v>1.6417804244800001</v>
      </c>
      <c r="D26" s="81">
        <v>0.22988470907359998</v>
      </c>
      <c r="E26" s="50"/>
      <c r="F26" s="73">
        <f t="shared" si="0"/>
        <v>0.17150429095486508</v>
      </c>
      <c r="G26" s="102">
        <f t="shared" si="1"/>
        <v>0.67069244791814919</v>
      </c>
      <c r="H26" s="102">
        <v>0.75119999999999998</v>
      </c>
      <c r="I26" s="67">
        <f t="shared" si="2"/>
        <v>0.12883402336529465</v>
      </c>
      <c r="J26" s="68">
        <f t="shared" si="3"/>
        <v>8.7227161748198945E-2</v>
      </c>
      <c r="K26" s="67">
        <f>IF(J26&gt;0, ('BPV Calcs - T6'!$B$8/12)+(J26/(PI()*(('BPV Calcs - T6'!$B$8/12)^2))), "Need to Use Goal Seek tool")</f>
        <v>0.6493610097036453</v>
      </c>
      <c r="L26" s="74">
        <f t="shared" si="4"/>
        <v>7.7923321164437436</v>
      </c>
      <c r="M26" s="17"/>
    </row>
    <row r="27" spans="1:15">
      <c r="A27" s="78">
        <v>52.7</v>
      </c>
      <c r="B27" s="82">
        <v>601.51754778000009</v>
      </c>
      <c r="C27" s="80">
        <v>1.6358430452799999</v>
      </c>
      <c r="D27" s="81">
        <v>0.23344498283839998</v>
      </c>
      <c r="E27" s="50"/>
      <c r="F27" s="73">
        <f t="shared" si="0"/>
        <v>0.16830512463331032</v>
      </c>
      <c r="G27" s="102">
        <f t="shared" si="1"/>
        <v>0.67303236043869552</v>
      </c>
      <c r="H27" s="102">
        <v>0.75119999999999998</v>
      </c>
      <c r="I27" s="67">
        <f t="shared" si="2"/>
        <v>0.1264308096245427</v>
      </c>
      <c r="J27" s="68">
        <f t="shared" si="3"/>
        <v>8.4823948007446998E-2</v>
      </c>
      <c r="K27" s="67">
        <f>IF(J27&gt;0, ('BPV Calcs - T6'!$B$8/12)+(J27/(PI()*(('BPV Calcs - T6'!$B$8/12)^2))), "Need to Use Goal Seek tool")</f>
        <v>0.63893211467970712</v>
      </c>
      <c r="L27" s="74">
        <f t="shared" si="4"/>
        <v>7.6671853761564854</v>
      </c>
      <c r="M27" s="17"/>
    </row>
    <row r="28" spans="1:15">
      <c r="A28" s="78">
        <v>53.6</v>
      </c>
      <c r="B28" s="82">
        <v>608.70708144000002</v>
      </c>
      <c r="C28" s="80">
        <v>1.6298455161600001</v>
      </c>
      <c r="D28" s="81">
        <v>0.23707262451360001</v>
      </c>
      <c r="E28" s="50"/>
      <c r="F28" s="73">
        <f t="shared" si="0"/>
        <v>0.16503183746581837</v>
      </c>
      <c r="G28" s="102">
        <f t="shared" si="1"/>
        <v>0.67541193501759944</v>
      </c>
      <c r="H28" s="102">
        <v>0.75119999999999998</v>
      </c>
      <c r="I28" s="67">
        <f t="shared" si="2"/>
        <v>0.12397191630432276</v>
      </c>
      <c r="J28" s="68">
        <f t="shared" si="3"/>
        <v>8.2365054687227046E-2</v>
      </c>
      <c r="K28" s="67">
        <f>IF(J28&gt;0, ('BPV Calcs - T6'!$B$8/12)+(J28/(PI()*(('BPV Calcs - T6'!$B$8/12)^2))), "Need to Use Goal Seek tool")</f>
        <v>0.62826159466861031</v>
      </c>
      <c r="L28" s="74">
        <f t="shared" si="4"/>
        <v>7.5391391360233238</v>
      </c>
      <c r="M28" s="17"/>
    </row>
    <row r="29" spans="1:15">
      <c r="A29" s="78">
        <v>54.5</v>
      </c>
      <c r="B29" s="82">
        <v>615.96188219999999</v>
      </c>
      <c r="C29" s="80">
        <v>1.6237820161600001</v>
      </c>
      <c r="D29" s="81">
        <v>0.2407698072576</v>
      </c>
      <c r="E29" s="50"/>
      <c r="F29" s="73">
        <f t="shared" si="0"/>
        <v>0.16167862359020316</v>
      </c>
      <c r="G29" s="102">
        <f t="shared" si="1"/>
        <v>0.67783420448493126</v>
      </c>
      <c r="H29" s="102">
        <v>0.75119999999999998</v>
      </c>
      <c r="I29" s="67">
        <f t="shared" si="2"/>
        <v>0.12145298204096061</v>
      </c>
      <c r="J29" s="68">
        <f t="shared" si="3"/>
        <v>7.9846120423864908E-2</v>
      </c>
      <c r="K29" s="67">
        <f>IF(J29&gt;0, ('BPV Calcs - T6'!$B$8/12)+(J29/(PI()*(('BPV Calcs - T6'!$B$8/12)^2))), "Need to Use Goal Seek tool")</f>
        <v>0.6173305232622921</v>
      </c>
      <c r="L29" s="74">
        <f t="shared" si="4"/>
        <v>7.4079662791475052</v>
      </c>
      <c r="M29" s="17"/>
    </row>
    <row r="30" spans="1:15">
      <c r="A30" s="78">
        <v>55.4</v>
      </c>
      <c r="B30" s="82">
        <v>623.28049967999993</v>
      </c>
      <c r="C30" s="80">
        <v>1.6176544856000001</v>
      </c>
      <c r="D30" s="81">
        <v>0.24453885945439999</v>
      </c>
      <c r="E30" s="50"/>
      <c r="F30" s="73">
        <f t="shared" si="0"/>
        <v>0.15824415878499831</v>
      </c>
      <c r="G30" s="102">
        <f t="shared" si="1"/>
        <v>0.68029904688732323</v>
      </c>
      <c r="H30" s="102">
        <v>0.75119999999999998</v>
      </c>
      <c r="I30" s="67">
        <f t="shared" si="2"/>
        <v>0.11887301207929073</v>
      </c>
      <c r="J30" s="68">
        <f t="shared" si="3"/>
        <v>7.726615046219501E-2</v>
      </c>
      <c r="K30" s="67">
        <f>IF(J30&gt;0, ('BPV Calcs - T6'!$B$8/12)+(J30/(PI()*(('BPV Calcs - T6'!$B$8/12)^2))), "Need to Use Goal Seek tool")</f>
        <v>0.60613458365903794</v>
      </c>
      <c r="L30" s="74">
        <f t="shared" si="4"/>
        <v>7.2736150039084553</v>
      </c>
      <c r="M30" s="17"/>
    </row>
    <row r="31" spans="1:15">
      <c r="A31" s="78">
        <v>56.3</v>
      </c>
      <c r="B31" s="82">
        <v>630.66438426000002</v>
      </c>
      <c r="C31" s="80">
        <v>1.6114590438399998</v>
      </c>
      <c r="D31" s="81">
        <v>0.24838222590720002</v>
      </c>
      <c r="E31" s="50">
        <f t="shared" ref="E31:E35" si="5">D31/C31</f>
        <v>0.1541349914269752</v>
      </c>
      <c r="F31" s="73">
        <f t="shared" si="0"/>
        <v>0.15472342740825912</v>
      </c>
      <c r="G31" s="102">
        <f t="shared" si="1"/>
        <v>0.68280877959219222</v>
      </c>
      <c r="H31" s="102">
        <v>0.75119999999999998</v>
      </c>
      <c r="I31" s="67">
        <f t="shared" si="2"/>
        <v>0.11622823866908424</v>
      </c>
      <c r="J31" s="68">
        <f t="shared" si="3"/>
        <v>7.4621377051988541E-2</v>
      </c>
      <c r="K31" s="67">
        <f>IF(J31&gt;0, ('BPV Calcs - T6'!$B$8/12)+(J31/(PI()*(('BPV Calcs - T6'!$B$8/12)^2))), "Need to Use Goal Seek tool")</f>
        <v>0.59465742547313483</v>
      </c>
      <c r="L31" s="74">
        <f t="shared" si="4"/>
        <v>7.1358891056776184</v>
      </c>
      <c r="M31" s="17"/>
    </row>
    <row r="32" spans="1:15">
      <c r="A32" s="78">
        <v>57.2</v>
      </c>
      <c r="B32" s="82">
        <v>638.11353594000002</v>
      </c>
      <c r="C32" s="80">
        <v>1.60519375056</v>
      </c>
      <c r="D32" s="81">
        <v>0.25230250664479997</v>
      </c>
      <c r="E32" s="50">
        <f t="shared" si="5"/>
        <v>0.15717884931758538</v>
      </c>
      <c r="F32" s="73">
        <f t="shared" si="0"/>
        <v>0.15111237558371021</v>
      </c>
      <c r="G32" s="102">
        <f t="shared" si="1"/>
        <v>0.6853649627177969</v>
      </c>
      <c r="H32" s="102">
        <v>0.75119999999999998</v>
      </c>
      <c r="I32" s="67">
        <f t="shared" si="2"/>
        <v>0.11351561653848311</v>
      </c>
      <c r="J32" s="68">
        <f t="shared" si="3"/>
        <v>7.1908754921387402E-2</v>
      </c>
      <c r="K32" s="67">
        <f>IF(J32&gt;0, ('BPV Calcs - T6'!$B$8/12)+(J32/(PI()*(('BPV Calcs - T6'!$B$8/12)^2))), "Need to Use Goal Seek tool")</f>
        <v>0.58288583355855172</v>
      </c>
      <c r="L32" s="74">
        <f t="shared" si="4"/>
        <v>6.9946300027026211</v>
      </c>
      <c r="M32" s="17"/>
    </row>
    <row r="33" spans="1:14">
      <c r="A33" s="78">
        <v>58.1</v>
      </c>
      <c r="B33" s="82">
        <v>645.62795472000005</v>
      </c>
      <c r="C33" s="80">
        <v>1.5988547251199998</v>
      </c>
      <c r="D33" s="81">
        <v>0.25630243751839998</v>
      </c>
      <c r="E33" s="50">
        <f t="shared" si="5"/>
        <v>0.16030376837342966</v>
      </c>
      <c r="F33" s="73">
        <f t="shared" si="0"/>
        <v>0.14740549743822917</v>
      </c>
      <c r="G33" s="102">
        <f t="shared" si="1"/>
        <v>0.6879700272792022</v>
      </c>
      <c r="H33" s="102">
        <v>0.75119999999999998</v>
      </c>
      <c r="I33" s="67">
        <f t="shared" si="2"/>
        <v>0.11073100967559775</v>
      </c>
      <c r="J33" s="68">
        <f t="shared" si="3"/>
        <v>6.9124148058502033E-2</v>
      </c>
      <c r="K33" s="67">
        <f>IF(J33&gt;0, ('BPV Calcs - T6'!$B$8/12)+(J33/(PI()*(('BPV Calcs - T6'!$B$8/12)^2))), "Need to Use Goal Seek tool")</f>
        <v>0.57080185943526685</v>
      </c>
      <c r="L33" s="74">
        <f t="shared" si="4"/>
        <v>6.8496223132232021</v>
      </c>
      <c r="M33" s="17"/>
    </row>
    <row r="34" spans="1:14">
      <c r="A34" s="78">
        <v>59</v>
      </c>
      <c r="B34" s="82">
        <v>653.21054135999998</v>
      </c>
      <c r="C34" s="80">
        <v>1.5924400272000001</v>
      </c>
      <c r="D34" s="81">
        <v>0.26038490960479999</v>
      </c>
      <c r="E34" s="50">
        <f t="shared" si="5"/>
        <v>0.16351316542993261</v>
      </c>
      <c r="F34" s="73">
        <f t="shared" si="0"/>
        <v>0.14359823684454714</v>
      </c>
      <c r="G34" s="102">
        <f t="shared" si="1"/>
        <v>0.69062564007775507</v>
      </c>
      <c r="H34" s="102">
        <v>0.75119999999999998</v>
      </c>
      <c r="I34" s="67">
        <f t="shared" si="2"/>
        <v>0.10787099551762382</v>
      </c>
      <c r="J34" s="68">
        <f t="shared" si="3"/>
        <v>6.6264133900528099E-2</v>
      </c>
      <c r="K34" s="67">
        <f>IF(J34&gt;0, ('BPV Calcs - T6'!$B$8/12)+(J34/(PI()*(('BPV Calcs - T6'!$B$8/12)^2))), "Need to Use Goal Seek tool")</f>
        <v>0.55839065067979654</v>
      </c>
      <c r="L34" s="74">
        <f t="shared" si="4"/>
        <v>6.7006878081575589</v>
      </c>
      <c r="M34" s="17"/>
    </row>
    <row r="35" spans="1:14">
      <c r="A35" s="78">
        <v>59.9</v>
      </c>
      <c r="B35" s="82">
        <v>660.85839510000005</v>
      </c>
      <c r="C35" s="80">
        <v>1.58594577616</v>
      </c>
      <c r="D35" s="81">
        <v>0.26455302741599995</v>
      </c>
      <c r="E35" s="50">
        <f t="shared" si="5"/>
        <v>0.16681089063243623</v>
      </c>
      <c r="F35" s="73">
        <f t="shared" si="0"/>
        <v>0.13968451810509044</v>
      </c>
      <c r="G35" s="102">
        <f t="shared" si="1"/>
        <v>0.69333435489392103</v>
      </c>
      <c r="H35" s="102">
        <v>0.75119999999999998</v>
      </c>
      <c r="I35" s="67">
        <f t="shared" si="2"/>
        <v>0.10493101000054395</v>
      </c>
      <c r="J35" s="68">
        <f t="shared" si="3"/>
        <v>6.3324148383448242E-2</v>
      </c>
      <c r="K35" s="67">
        <f>IF(J35&gt;0, ('BPV Calcs - T6'!$B$8/12)+(J35/(PI()*(('BPV Calcs - T6'!$B$8/12)^2))), "Need to Use Goal Seek tool")</f>
        <v>0.54563240125337198</v>
      </c>
      <c r="L35" s="74">
        <f t="shared" si="4"/>
        <v>6.5475888150404637</v>
      </c>
      <c r="M35" s="17"/>
    </row>
    <row r="36" spans="1:14">
      <c r="A36" s="78">
        <v>60.8</v>
      </c>
      <c r="B36" s="82">
        <v>668.57586708000008</v>
      </c>
      <c r="C36" s="80">
        <v>1.5793700316800001</v>
      </c>
      <c r="D36" s="81">
        <v>0.2688100700928</v>
      </c>
      <c r="E36" s="50">
        <f t="shared" ref="E36:E46" si="6">D36/C36</f>
        <v>0.1702008172251202</v>
      </c>
      <c r="F36" s="73">
        <f t="shared" ref="F36:F52" si="7">(($C$53*(1-$O$11))+(D36*$O$11)-C36)/(D36-C36)</f>
        <v>0.13565919754385622</v>
      </c>
      <c r="G36" s="102">
        <f t="shared" si="1"/>
        <v>0.69609795392828255</v>
      </c>
      <c r="H36" s="102">
        <v>0.75119999999999998</v>
      </c>
      <c r="I36" s="67">
        <f t="shared" si="2"/>
        <v>0.10190718919494479</v>
      </c>
      <c r="J36" s="68">
        <f t="shared" si="3"/>
        <v>6.0300327577849082E-2</v>
      </c>
      <c r="K36" s="67">
        <f>IF(J36&gt;0, ('BPV Calcs - T6'!$B$8/12)+(J36/(PI()*(('BPV Calcs - T6'!$B$8/12)^2))), "Need to Use Goal Seek tool")</f>
        <v>0.53251034339474523</v>
      </c>
      <c r="L36" s="74">
        <f t="shared" si="4"/>
        <v>6.3901241207369424</v>
      </c>
      <c r="M36" s="17"/>
    </row>
    <row r="37" spans="1:14">
      <c r="A37" s="78">
        <v>61.7</v>
      </c>
      <c r="B37" s="82">
        <v>676.36005653999996</v>
      </c>
      <c r="C37" s="80">
        <v>1.5727089131200001</v>
      </c>
      <c r="D37" s="81">
        <v>0.27315953021120004</v>
      </c>
      <c r="E37" s="50">
        <f t="shared" si="6"/>
        <v>0.17368727800321021</v>
      </c>
      <c r="F37" s="73">
        <f t="shared" si="7"/>
        <v>0.13151552638465669</v>
      </c>
      <c r="G37" s="102">
        <f t="shared" si="1"/>
        <v>0.69891912539950762</v>
      </c>
      <c r="H37" s="102">
        <v>0.75119999999999998</v>
      </c>
      <c r="I37" s="67">
        <f t="shared" si="2"/>
        <v>9.8794463420154105E-2</v>
      </c>
      <c r="J37" s="68">
        <f t="shared" si="3"/>
        <v>5.7187601803058395E-2</v>
      </c>
      <c r="K37" s="67">
        <f>IF(J37&gt;0, ('BPV Calcs - T6'!$B$8/12)+(J37/(PI()*(('BPV Calcs - T6'!$B$8/12)^2))), "Need to Use Goal Seek tool")</f>
        <v>0.51900247691032608</v>
      </c>
      <c r="L37" s="74">
        <f t="shared" si="4"/>
        <v>6.228029722923913</v>
      </c>
      <c r="M37" s="17"/>
    </row>
    <row r="38" spans="1:14">
      <c r="A38" s="78">
        <v>62.6</v>
      </c>
      <c r="B38" s="82">
        <v>684.21241385999997</v>
      </c>
      <c r="C38" s="80">
        <v>1.56595853984</v>
      </c>
      <c r="D38" s="81">
        <v>0.27760515258880003</v>
      </c>
      <c r="E38" s="50">
        <f t="shared" si="6"/>
        <v>0.17727490576932134</v>
      </c>
      <c r="F38" s="73">
        <f t="shared" si="7"/>
        <v>0.12724635055836772</v>
      </c>
      <c r="G38" s="102">
        <f t="shared" si="1"/>
        <v>0.70180063884972277</v>
      </c>
      <c r="H38" s="102">
        <v>0.75119999999999998</v>
      </c>
      <c r="I38" s="67">
        <f t="shared" si="2"/>
        <v>9.5587458539445835E-2</v>
      </c>
      <c r="J38" s="68">
        <f t="shared" si="3"/>
        <v>5.3980596922350126E-2</v>
      </c>
      <c r="K38" s="67">
        <f>IF(J38&gt;0, ('BPV Calcs - T6'!$B$8/12)+(J38/(PI()*(('BPV Calcs - T6'!$B$8/12)^2))), "Need to Use Goal Seek tool")</f>
        <v>0.50508548040060286</v>
      </c>
      <c r="L38" s="74">
        <f t="shared" si="4"/>
        <v>6.0610257648072343</v>
      </c>
      <c r="M38" s="50"/>
    </row>
    <row r="39" spans="1:14">
      <c r="A39" s="78">
        <v>63.5</v>
      </c>
      <c r="B39" s="82">
        <v>692.13438942000005</v>
      </c>
      <c r="C39" s="80">
        <v>1.5591150311999999</v>
      </c>
      <c r="D39" s="81">
        <v>0.28215091488159999</v>
      </c>
      <c r="E39" s="50">
        <f t="shared" si="6"/>
        <v>0.1809686323557779</v>
      </c>
      <c r="F39" s="73">
        <f t="shared" si="7"/>
        <v>0.12284407055606952</v>
      </c>
      <c r="G39" s="102">
        <f t="shared" si="1"/>
        <v>0.70474534997414762</v>
      </c>
      <c r="H39" s="102">
        <v>0.75119999999999998</v>
      </c>
      <c r="I39" s="67">
        <f t="shared" si="2"/>
        <v>9.2280465801719419E-2</v>
      </c>
      <c r="J39" s="68">
        <f t="shared" si="3"/>
        <v>5.0673604184623709E-2</v>
      </c>
      <c r="K39" s="67">
        <f>IF(J39&gt;0, ('BPV Calcs - T6'!$B$8/12)+(J39/(PI()*(('BPV Calcs - T6'!$B$8/12)^2))), "Need to Use Goal Seek tool")</f>
        <v>0.49073458038623985</v>
      </c>
      <c r="L39" s="74">
        <f t="shared" si="4"/>
        <v>5.8888149646348786</v>
      </c>
      <c r="M39" s="50"/>
    </row>
    <row r="40" spans="1:14">
      <c r="A40" s="78">
        <v>64.400000000000006</v>
      </c>
      <c r="B40" s="82">
        <v>700.12743360000002</v>
      </c>
      <c r="C40" s="80">
        <v>1.5521764468799999</v>
      </c>
      <c r="D40" s="81">
        <v>0.28680106639039998</v>
      </c>
      <c r="E40" s="50">
        <f t="shared" si="6"/>
        <v>0.18477349464160039</v>
      </c>
      <c r="F40" s="73">
        <f t="shared" si="7"/>
        <v>0.11830195246032517</v>
      </c>
      <c r="G40" s="102">
        <f t="shared" si="1"/>
        <v>0.70775532817306941</v>
      </c>
      <c r="H40" s="102">
        <v>0.75119999999999998</v>
      </c>
      <c r="I40" s="67">
        <f t="shared" si="2"/>
        <v>8.8868426688196264E-2</v>
      </c>
      <c r="J40" s="68">
        <f t="shared" si="3"/>
        <v>4.7261565071100554E-2</v>
      </c>
      <c r="K40" s="67">
        <f>IF(J40&gt;0, ('BPV Calcs - T6'!$B$8/12)+(J40/(PI()*(('BPV Calcs - T6'!$B$8/12)^2))), "Need to Use Goal Seek tool")</f>
        <v>0.4759278251113761</v>
      </c>
      <c r="L40" s="74">
        <f t="shared" si="4"/>
        <v>5.7111339013365132</v>
      </c>
      <c r="M40" s="50"/>
    </row>
    <row r="41" spans="1:14">
      <c r="A41" s="78">
        <v>65.3</v>
      </c>
      <c r="B41" s="82">
        <v>708.18864564</v>
      </c>
      <c r="C41" s="80">
        <v>1.5451350256</v>
      </c>
      <c r="D41" s="81">
        <v>0.29156020567359997</v>
      </c>
      <c r="E41" s="50">
        <f t="shared" si="6"/>
        <v>0.18869561613903782</v>
      </c>
      <c r="F41" s="73">
        <f t="shared" si="7"/>
        <v>0.11360869538792116</v>
      </c>
      <c r="G41" s="102">
        <f t="shared" si="1"/>
        <v>0.71083535690346122</v>
      </c>
      <c r="H41" s="102">
        <v>0.75119999999999998</v>
      </c>
      <c r="I41" s="67">
        <f t="shared" si="2"/>
        <v>8.5342851975406378E-2</v>
      </c>
      <c r="J41" s="68">
        <f t="shared" si="3"/>
        <v>4.3735990358310668E-2</v>
      </c>
      <c r="K41" s="67">
        <f>IF(J41&gt;0, ('BPV Calcs - T6'!$B$8/12)+(J41/(PI()*(('BPV Calcs - T6'!$B$8/12)^2))), "Need to Use Goal Seek tool")</f>
        <v>0.46062837506444343</v>
      </c>
      <c r="L41" s="74">
        <f t="shared" si="4"/>
        <v>5.5275405007733216</v>
      </c>
      <c r="M41" s="50"/>
    </row>
    <row r="42" spans="1:14">
      <c r="A42" s="78">
        <v>66.2</v>
      </c>
      <c r="B42" s="82">
        <v>716.32237667999993</v>
      </c>
      <c r="C42" s="80">
        <v>1.5379868867199999</v>
      </c>
      <c r="D42" s="81">
        <v>0.29643326114399998</v>
      </c>
      <c r="E42" s="50">
        <f t="shared" si="6"/>
        <v>0.19274108492315611</v>
      </c>
      <c r="F42" s="73">
        <f t="shared" si="7"/>
        <v>0.10875503516557621</v>
      </c>
      <c r="G42" s="102">
        <f t="shared" si="1"/>
        <v>0.71398859650382374</v>
      </c>
      <c r="H42" s="102">
        <v>0.75119999999999998</v>
      </c>
      <c r="I42" s="67">
        <f t="shared" si="2"/>
        <v>8.1696782416380842E-2</v>
      </c>
      <c r="J42" s="68">
        <f t="shared" si="3"/>
        <v>4.0089920799285132E-2</v>
      </c>
      <c r="K42" s="67">
        <f>IF(J42&gt;0, ('BPV Calcs - T6'!$B$8/12)+(J42/(PI()*(('BPV Calcs - T6'!$B$8/12)^2))), "Need to Use Goal Seek tool")</f>
        <v>0.44480603016175646</v>
      </c>
      <c r="L42" s="74">
        <f t="shared" si="4"/>
        <v>5.3376723619410775</v>
      </c>
      <c r="M42" s="227" t="s">
        <v>53</v>
      </c>
    </row>
    <row r="43" spans="1:14">
      <c r="A43" s="78">
        <v>67.099999999999994</v>
      </c>
      <c r="B43" s="82">
        <v>724.52862672000003</v>
      </c>
      <c r="C43" s="80">
        <v>1.5307281495999998</v>
      </c>
      <c r="D43" s="81">
        <v>0.301425510472</v>
      </c>
      <c r="E43" s="50">
        <f t="shared" si="6"/>
        <v>0.19691642212940724</v>
      </c>
      <c r="F43" s="73">
        <f t="shared" si="7"/>
        <v>0.10373105414751235</v>
      </c>
      <c r="G43" s="102">
        <f t="shared" si="1"/>
        <v>0.71721831251840096</v>
      </c>
      <c r="H43" s="102">
        <v>0.75119999999999998</v>
      </c>
      <c r="I43" s="67">
        <f t="shared" si="2"/>
        <v>7.7922767875611282E-2</v>
      </c>
      <c r="J43" s="68">
        <f t="shared" si="3"/>
        <v>3.6315906258515572E-2</v>
      </c>
      <c r="K43" s="67">
        <f>IF(J43&gt;0, ('BPV Calcs - T6'!$B$8/12)+(J43/(PI()*(('BPV Calcs - T6'!$B$8/12)^2))), "Need to Use Goal Seek tool")</f>
        <v>0.42842846007837854</v>
      </c>
      <c r="L43" s="74">
        <f t="shared" si="4"/>
        <v>5.1411415209405424</v>
      </c>
      <c r="M43" s="227"/>
    </row>
    <row r="44" spans="1:14">
      <c r="A44" s="78">
        <v>68</v>
      </c>
      <c r="B44" s="82">
        <v>732.80594538000003</v>
      </c>
      <c r="C44" s="80">
        <v>1.5233529932800001</v>
      </c>
      <c r="D44" s="81">
        <v>0.30654265819839999</v>
      </c>
      <c r="E44" s="50">
        <f t="shared" si="6"/>
        <v>0.20122890725305181</v>
      </c>
      <c r="F44" s="73">
        <f t="shared" si="7"/>
        <v>9.8524676739129582E-2</v>
      </c>
      <c r="G44" s="102">
        <f t="shared" si="1"/>
        <v>0.72052878800952913</v>
      </c>
      <c r="H44" s="102">
        <v>0.75119999999999998</v>
      </c>
      <c r="I44" s="67">
        <f t="shared" si="2"/>
        <v>7.4011737166434138E-2</v>
      </c>
      <c r="J44" s="68">
        <f t="shared" si="3"/>
        <v>3.2404875549338429E-2</v>
      </c>
      <c r="K44" s="67">
        <f>IF(J44&gt;0, ('BPV Calcs - T6'!$B$8/12)+(J44/(PI()*(('BPV Calcs - T6'!$B$8/12)^2))), "Need to Use Goal Seek tool")</f>
        <v>0.41145629983738197</v>
      </c>
      <c r="L44" s="74">
        <f t="shared" si="4"/>
        <v>4.937475598048584</v>
      </c>
      <c r="M44" s="50" t="s">
        <v>50</v>
      </c>
    </row>
    <row r="45" spans="1:14">
      <c r="A45" s="78">
        <v>68.900000000000006</v>
      </c>
      <c r="B45" s="82">
        <v>741.15723342000001</v>
      </c>
      <c r="C45" s="80">
        <v>1.51585365648</v>
      </c>
      <c r="D45" s="81">
        <v>0.31179093275039999</v>
      </c>
      <c r="E45" s="50">
        <f t="shared" si="6"/>
        <v>0.20568669766870315</v>
      </c>
      <c r="F45" s="73">
        <f t="shared" si="7"/>
        <v>9.3121472975959893E-2</v>
      </c>
      <c r="G45" s="102">
        <f t="shared" si="1"/>
        <v>0.72392537045742922</v>
      </c>
      <c r="H45" s="102">
        <v>0.75119999999999998</v>
      </c>
      <c r="I45" s="67">
        <f t="shared" si="2"/>
        <v>6.9952850499541072E-2</v>
      </c>
      <c r="J45" s="68">
        <f t="shared" si="3"/>
        <v>2.8345988882445362E-2</v>
      </c>
      <c r="K45" s="98">
        <v>0.24687064833561331</v>
      </c>
      <c r="L45" s="75">
        <f t="shared" si="4"/>
        <v>2.9624477800273596</v>
      </c>
      <c r="M45" s="50">
        <f>((1/3)*PI()*(K45^2)*((3*('BPV Calcs - T6'!$B$8/12))-K45))-I45</f>
        <v>-3.3853493114861223E-2</v>
      </c>
    </row>
    <row r="46" spans="1:14">
      <c r="A46" s="78">
        <v>69.8</v>
      </c>
      <c r="B46" s="82">
        <v>749.58104045999994</v>
      </c>
      <c r="C46" s="80">
        <v>1.5082262585599999</v>
      </c>
      <c r="D46" s="81">
        <v>0.31717698942559996</v>
      </c>
      <c r="E46" s="50">
        <f t="shared" si="6"/>
        <v>0.21029801571577802</v>
      </c>
      <c r="F46" s="73">
        <f t="shared" si="7"/>
        <v>8.7508885095185257E-2</v>
      </c>
      <c r="G46" s="102">
        <f t="shared" si="1"/>
        <v>0.72741175116300716</v>
      </c>
      <c r="H46" s="102">
        <v>0.75119999999999998</v>
      </c>
      <c r="I46" s="67">
        <f t="shared" si="2"/>
        <v>6.5736674483503163E-2</v>
      </c>
      <c r="J46" s="68">
        <f t="shared" si="3"/>
        <v>2.4129812866407453E-2</v>
      </c>
      <c r="K46" s="98">
        <v>0.22573990311305595</v>
      </c>
      <c r="L46" s="75">
        <f t="shared" si="4"/>
        <v>2.7088788373566715</v>
      </c>
      <c r="M46" s="50">
        <f>((1/3)*PI()*(K46^2)*((3*('BPV Calcs - T6'!$B$8/12))-K46))-I46</f>
        <v>-3.4425031376727561E-2</v>
      </c>
    </row>
    <row r="47" spans="1:14">
      <c r="A47" s="83">
        <v>70</v>
      </c>
      <c r="B47" s="84">
        <f>B46+(((B48-B46)/($A$48-$A$46))*($A$47-$A$46))</f>
        <v>751.46975752666663</v>
      </c>
      <c r="C47" s="85">
        <f>C46+(((C48-C46)/($A$48-$A$46))*($A$47-$A$46))</f>
        <v>1.5065010984888887</v>
      </c>
      <c r="D47" s="86">
        <f>D46+(((D48-D46)/($A$48-$A$46))*($A$47-$A$46))</f>
        <v>0.31840613902737774</v>
      </c>
      <c r="E47" s="47">
        <f t="shared" ref="E47:E52" si="8">D47/C47</f>
        <v>0.21135473405678779</v>
      </c>
      <c r="F47" s="73">
        <f t="shared" si="7"/>
        <v>8.6222717526397333E-2</v>
      </c>
      <c r="G47" s="102">
        <f t="shared" si="1"/>
        <v>0.72820468504700364</v>
      </c>
      <c r="H47" s="102">
        <v>0.75119999999999998</v>
      </c>
      <c r="I47" s="67">
        <f t="shared" si="2"/>
        <v>6.4770505405829681E-2</v>
      </c>
      <c r="J47" s="69">
        <f t="shared" si="3"/>
        <v>2.3163643788733972E-2</v>
      </c>
      <c r="K47" s="99">
        <v>0.22082528187997902</v>
      </c>
      <c r="L47" s="75">
        <f t="shared" si="4"/>
        <v>2.6499033825597484</v>
      </c>
      <c r="M47" s="50">
        <f>((1/3)*PI()*(K47^2)*((3*('BPV Calcs - T6'!$B$8/12))-K47))-I47</f>
        <v>-3.4556436349633679E-2</v>
      </c>
      <c r="N47" s="49"/>
    </row>
    <row r="48" spans="1:14">
      <c r="A48" s="78">
        <v>70.7</v>
      </c>
      <c r="B48" s="82">
        <v>758.08026725999991</v>
      </c>
      <c r="C48" s="80">
        <v>1.5004630382399999</v>
      </c>
      <c r="D48" s="81">
        <v>0.32270816263359997</v>
      </c>
      <c r="E48" s="50">
        <f t="shared" si="8"/>
        <v>0.21507238393031486</v>
      </c>
      <c r="F48" s="73">
        <f t="shared" si="7"/>
        <v>8.1670317522957905E-2</v>
      </c>
      <c r="G48" s="102">
        <f t="shared" si="1"/>
        <v>0.73099361941757379</v>
      </c>
      <c r="H48" s="102">
        <v>0.75119999999999998</v>
      </c>
      <c r="I48" s="67">
        <f t="shared" si="2"/>
        <v>6.1350742523245974E-2</v>
      </c>
      <c r="J48" s="68">
        <f t="shared" si="3"/>
        <v>1.9743880906150264E-2</v>
      </c>
      <c r="K48" s="98">
        <v>0.20311497711219526</v>
      </c>
      <c r="L48" s="75">
        <f t="shared" si="4"/>
        <v>2.437379725346343</v>
      </c>
      <c r="M48" s="50">
        <f>((1/3)*PI()*(K48^2)*((3*('BPV Calcs - T6'!$B$8/12))-K48))-I48</f>
        <v>-3.5023565685665392E-2</v>
      </c>
    </row>
    <row r="49" spans="1:14">
      <c r="A49" s="78">
        <v>71.599999999999994</v>
      </c>
      <c r="B49" s="82">
        <v>766.65491381999993</v>
      </c>
      <c r="C49" s="80">
        <v>1.4925542939199998</v>
      </c>
      <c r="D49" s="81">
        <v>0.32839236888000001</v>
      </c>
      <c r="E49" s="50">
        <f t="shared" si="8"/>
        <v>0.22002038399388482</v>
      </c>
      <c r="F49" s="73">
        <f t="shared" si="7"/>
        <v>7.5586272089806575E-2</v>
      </c>
      <c r="G49" s="102">
        <f t="shared" si="1"/>
        <v>0.73467782315964236</v>
      </c>
      <c r="H49" s="102">
        <v>0.75119999999999998</v>
      </c>
      <c r="I49" s="67">
        <f t="shared" si="2"/>
        <v>5.67804075938627E-2</v>
      </c>
      <c r="J49" s="68">
        <f t="shared" si="3"/>
        <v>1.517354597676699E-2</v>
      </c>
      <c r="K49" s="98">
        <v>0.17870440324472858</v>
      </c>
      <c r="L49" s="75">
        <f t="shared" si="4"/>
        <v>2.144452838936743</v>
      </c>
      <c r="M49" s="50">
        <f>((1/3)*PI()*(K49^2)*((3*('BPV Calcs - T6'!$B$8/12))-K49))-I49</f>
        <v>-3.5584679345422088E-2</v>
      </c>
    </row>
    <row r="50" spans="1:14">
      <c r="A50" s="78">
        <v>72.5</v>
      </c>
      <c r="B50" s="82">
        <v>775.30498014</v>
      </c>
      <c r="C50" s="80">
        <v>1.48449226432</v>
      </c>
      <c r="D50" s="81">
        <v>0.33423830079839995</v>
      </c>
      <c r="E50" s="50">
        <f t="shared" si="8"/>
        <v>0.2251532788899403</v>
      </c>
      <c r="F50" s="73">
        <f t="shared" si="7"/>
        <v>6.9237174008877994E-2</v>
      </c>
      <c r="G50" s="102">
        <f t="shared" si="1"/>
        <v>0.73847051994419055</v>
      </c>
      <c r="H50" s="102">
        <v>0.75119999999999998</v>
      </c>
      <c r="I50" s="67">
        <f t="shared" si="2"/>
        <v>5.2010965115469147E-2</v>
      </c>
      <c r="J50" s="68">
        <f t="shared" si="3"/>
        <v>1.0404103498373438E-2</v>
      </c>
      <c r="K50" s="98">
        <v>0.14877637433762442</v>
      </c>
      <c r="L50" s="75">
        <f t="shared" si="4"/>
        <v>1.785316492051493</v>
      </c>
      <c r="M50" s="50">
        <f>((1/3)*PI()*(K50^2)*((3*('BPV Calcs - T6'!$B$8/12))-K50))-I50</f>
        <v>-3.662644916270065E-2</v>
      </c>
    </row>
    <row r="51" spans="1:14">
      <c r="A51" s="78">
        <v>73.400000000000006</v>
      </c>
      <c r="B51" s="82">
        <v>784.03191660000005</v>
      </c>
      <c r="C51" s="80">
        <v>1.4762691881599999</v>
      </c>
      <c r="D51" s="81">
        <v>0.34025552416639998</v>
      </c>
      <c r="E51" s="50">
        <f t="shared" si="8"/>
        <v>0.2304833880536987</v>
      </c>
      <c r="F51" s="73">
        <f t="shared" si="7"/>
        <v>6.2601708722710397E-2</v>
      </c>
      <c r="G51" s="102">
        <f t="shared" si="1"/>
        <v>0.74237810735328269</v>
      </c>
      <c r="H51" s="102">
        <v>0.75119999999999998</v>
      </c>
      <c r="I51" s="67">
        <f t="shared" si="2"/>
        <v>4.702640359250005E-2</v>
      </c>
      <c r="J51" s="68">
        <f t="shared" si="3"/>
        <v>5.4195419754043406E-3</v>
      </c>
      <c r="K51" s="98">
        <v>0.11973998427717275</v>
      </c>
      <c r="L51" s="75">
        <f t="shared" si="4"/>
        <v>1.436879811326073</v>
      </c>
      <c r="M51" s="50">
        <f>((1/3)*PI()*(K51^2)*((3*('BPV Calcs - T6'!$B$8/12))-K51))-I51</f>
        <v>-3.662505084928188E-2</v>
      </c>
    </row>
    <row r="52" spans="1:14">
      <c r="A52" s="78">
        <v>74.3</v>
      </c>
      <c r="B52" s="82">
        <v>792.83572320000007</v>
      </c>
      <c r="C52" s="80">
        <v>1.4678734235199999</v>
      </c>
      <c r="D52" s="81">
        <v>0.34645449730880001</v>
      </c>
      <c r="E52" s="50">
        <f t="shared" si="8"/>
        <v>0.23602477690344226</v>
      </c>
      <c r="F52" s="73">
        <f t="shared" si="7"/>
        <v>5.5653317188150059E-2</v>
      </c>
      <c r="G52" s="102">
        <f t="shared" si="1"/>
        <v>0.7464091890835437</v>
      </c>
      <c r="H52" s="102">
        <v>0.75119999999999998</v>
      </c>
      <c r="I52" s="67">
        <f t="shared" si="2"/>
        <v>4.180677187173832E-2</v>
      </c>
      <c r="J52" s="68">
        <f t="shared" si="3"/>
        <v>1.9991025464261014E-4</v>
      </c>
      <c r="K52" s="98">
        <v>7.5494467975184554E-2</v>
      </c>
      <c r="L52" s="75">
        <f t="shared" si="4"/>
        <v>0.90593361570221465</v>
      </c>
      <c r="M52" s="50">
        <f>((1/3)*PI()*(K52^2)*((3*('BPV Calcs - T6'!$B$8/12))-K52))-I52</f>
        <v>-3.7408018391000608E-2</v>
      </c>
    </row>
    <row r="53" spans="1:14" ht="15.75" thickBot="1">
      <c r="A53" s="83">
        <v>75</v>
      </c>
      <c r="B53" s="84">
        <f>B52+(((B54-B52)/($A$54-$A$52))*($A$53-$A$52))</f>
        <v>799.74517236666668</v>
      </c>
      <c r="C53" s="85">
        <f t="shared" ref="C53:D53" si="9">C52+(((C54-C52)/($A$54-$A$52))*($A$53-$A$52))</f>
        <v>1.4612000162666667</v>
      </c>
      <c r="D53" s="86">
        <f t="shared" si="9"/>
        <v>0.35142632153493331</v>
      </c>
      <c r="E53" s="47">
        <f>D53/C53</f>
        <v>0.24050528170183003</v>
      </c>
      <c r="F53" s="161">
        <f>(($C$53*(1-$O$11))+(D53*$O$11)-C53)/(D53-C53)</f>
        <v>5.0000000000000072E-2</v>
      </c>
      <c r="G53" s="162">
        <f t="shared" si="1"/>
        <v>0.74964348548931559</v>
      </c>
      <c r="H53" s="162">
        <v>0.75119999999999998</v>
      </c>
      <c r="I53" s="163">
        <f t="shared" si="2"/>
        <v>3.7560000000000052E-2</v>
      </c>
      <c r="J53" s="76">
        <f t="shared" si="3"/>
        <v>-4.0468616170956581E-3</v>
      </c>
      <c r="K53" s="100">
        <v>0</v>
      </c>
      <c r="L53" s="77">
        <f t="shared" si="4"/>
        <v>0</v>
      </c>
      <c r="M53" s="50">
        <f>((1/3)*PI()*(K53^2)*((3*('BPV Calcs - T6'!$B$8/12))-K53))-I53</f>
        <v>-3.7560000000000052E-2</v>
      </c>
      <c r="N53" s="40"/>
    </row>
    <row r="54" spans="1:14" ht="15.75" thickBot="1">
      <c r="A54" s="78">
        <v>75.2</v>
      </c>
      <c r="B54" s="82">
        <v>801.71930069999996</v>
      </c>
      <c r="C54" s="80">
        <v>1.45929332848</v>
      </c>
      <c r="D54" s="81">
        <v>0.35284684274239997</v>
      </c>
      <c r="E54" s="50"/>
      <c r="F54" s="17"/>
      <c r="G54" s="38"/>
      <c r="H54" s="38"/>
      <c r="I54" s="38">
        <f>H53*O11</f>
        <v>3.7560000000000003E-2</v>
      </c>
      <c r="J54" s="17">
        <f t="shared" si="3"/>
        <v>-4.0468616170957067E-3</v>
      </c>
      <c r="K54" s="50"/>
      <c r="L54" s="50"/>
      <c r="M54" s="17"/>
    </row>
    <row r="55" spans="1:14">
      <c r="A55" s="78">
        <v>76.099999999999994</v>
      </c>
      <c r="B55" s="82">
        <v>810.68264910000005</v>
      </c>
      <c r="C55" s="80">
        <v>1.4505153208000001</v>
      </c>
      <c r="D55" s="81">
        <v>0.35944542478879998</v>
      </c>
      <c r="E55" s="50"/>
      <c r="F55" s="70" t="s">
        <v>43</v>
      </c>
      <c r="G55" s="103">
        <f>(2/3)*PI()*(('BPV Calcs - T6'!B8/12)^3)</f>
        <v>4.160686161709571E-2</v>
      </c>
      <c r="H55" s="38"/>
      <c r="I55" s="17"/>
      <c r="K55" s="50"/>
      <c r="L55" s="50"/>
      <c r="M55" s="17"/>
    </row>
    <row r="56" spans="1:14">
      <c r="A56" s="78">
        <v>77</v>
      </c>
      <c r="B56" s="82">
        <v>819.72576839999999</v>
      </c>
      <c r="C56" s="80">
        <v>1.4415277585599999</v>
      </c>
      <c r="D56" s="81">
        <v>0.36626458241279997</v>
      </c>
      <c r="E56" s="50"/>
      <c r="F56" s="71" t="s">
        <v>45</v>
      </c>
      <c r="G56" s="38">
        <f>G4-(2*G55)</f>
        <v>0.5439401214151367</v>
      </c>
      <c r="H56" s="38"/>
      <c r="I56" s="50"/>
      <c r="J56" s="17"/>
      <c r="K56" s="50"/>
      <c r="L56" s="50"/>
      <c r="M56" s="17"/>
    </row>
    <row r="57" spans="1:14">
      <c r="A57" s="78">
        <v>77.900000000000006</v>
      </c>
      <c r="B57" s="82">
        <v>828.85010898000007</v>
      </c>
      <c r="C57" s="80">
        <v>1.4323131788799999</v>
      </c>
      <c r="D57" s="81">
        <v>0.37332036206079999</v>
      </c>
      <c r="E57" s="50"/>
      <c r="F57" s="71" t="s">
        <v>44</v>
      </c>
      <c r="G57" s="38">
        <f>34.8/12</f>
        <v>2.9</v>
      </c>
      <c r="H57" s="38"/>
      <c r="I57" s="50"/>
      <c r="J57" s="17"/>
      <c r="K57" s="17"/>
      <c r="L57" s="17"/>
      <c r="M57" s="17"/>
    </row>
    <row r="58" spans="1:14" ht="15.75" thickBot="1">
      <c r="A58" s="78">
        <v>78.8</v>
      </c>
      <c r="B58" s="82">
        <v>838.05712122</v>
      </c>
      <c r="C58" s="80">
        <v>1.4228541188799999</v>
      </c>
      <c r="D58" s="81">
        <v>0.38063080870880001</v>
      </c>
      <c r="E58" s="50"/>
      <c r="F58" s="72" t="s">
        <v>46</v>
      </c>
      <c r="G58" s="104">
        <f>G57+(2*'BPV Calcs - T6'!B8/12)</f>
        <v>3.4416666666666664</v>
      </c>
      <c r="H58" s="38"/>
      <c r="I58" s="50"/>
      <c r="J58" s="17"/>
      <c r="K58" s="17"/>
      <c r="L58" s="17"/>
      <c r="M58" s="17"/>
    </row>
    <row r="59" spans="1:14">
      <c r="A59" s="78">
        <v>79.7</v>
      </c>
      <c r="B59" s="82">
        <v>847.34825549999994</v>
      </c>
      <c r="C59" s="80">
        <v>1.41312923504</v>
      </c>
      <c r="D59" s="81">
        <v>0.38821637332959996</v>
      </c>
      <c r="E59" s="50"/>
      <c r="F59" s="17"/>
      <c r="G59" s="38"/>
      <c r="H59" s="50"/>
      <c r="I59" s="50"/>
      <c r="J59" s="17"/>
      <c r="K59" s="17"/>
      <c r="L59" s="17"/>
      <c r="M59" s="17"/>
    </row>
    <row r="60" spans="1:14">
      <c r="A60" s="78">
        <v>80.599999999999994</v>
      </c>
      <c r="B60" s="82">
        <v>856.72351182</v>
      </c>
      <c r="C60" s="80">
        <v>1.4031171838399998</v>
      </c>
      <c r="D60" s="81">
        <v>0.3961002815536</v>
      </c>
      <c r="E60" s="50"/>
      <c r="F60" s="211"/>
      <c r="G60" s="211"/>
      <c r="H60" s="209"/>
      <c r="I60" s="50"/>
      <c r="J60" s="50"/>
      <c r="K60" s="50"/>
      <c r="L60" s="17"/>
      <c r="M60" s="17"/>
    </row>
    <row r="61" spans="1:14">
      <c r="A61" s="78">
        <v>81.5</v>
      </c>
      <c r="B61" s="82">
        <v>866.18579093999995</v>
      </c>
      <c r="C61" s="80">
        <v>1.3927888604799998</v>
      </c>
      <c r="D61" s="81">
        <v>0.40430919337760002</v>
      </c>
      <c r="E61" s="50"/>
      <c r="F61" s="50"/>
      <c r="G61" s="50"/>
      <c r="H61" s="50"/>
      <c r="I61" s="50"/>
      <c r="J61" s="50"/>
      <c r="K61" s="50"/>
      <c r="L61" s="17"/>
      <c r="M61" s="17"/>
    </row>
    <row r="62" spans="1:14">
      <c r="A62" s="78">
        <v>82.4</v>
      </c>
      <c r="B62" s="82">
        <v>875.73364248000007</v>
      </c>
      <c r="C62" s="80">
        <v>1.3821171004799999</v>
      </c>
      <c r="D62" s="81">
        <v>0.41287390167999999</v>
      </c>
      <c r="E62" s="50"/>
      <c r="F62" s="50"/>
      <c r="G62" s="50"/>
      <c r="H62" s="50"/>
      <c r="I62" s="50"/>
      <c r="J62" s="50"/>
      <c r="K62" s="50"/>
      <c r="L62" s="17"/>
      <c r="M62" s="17"/>
    </row>
    <row r="63" spans="1:14">
      <c r="A63" s="78">
        <v>83.3</v>
      </c>
      <c r="B63" s="82">
        <v>885.37141757999996</v>
      </c>
      <c r="C63" s="80">
        <v>1.37106309744</v>
      </c>
      <c r="D63" s="81">
        <v>0.42183024417120002</v>
      </c>
      <c r="E63" s="50"/>
      <c r="F63" s="50"/>
      <c r="G63" s="50"/>
      <c r="H63" s="50"/>
      <c r="I63" s="50"/>
      <c r="J63" s="50"/>
      <c r="K63" s="50"/>
      <c r="L63" s="17"/>
      <c r="M63" s="17"/>
    </row>
    <row r="64" spans="1:14">
      <c r="A64" s="78">
        <v>84.2</v>
      </c>
      <c r="B64" s="82">
        <v>895.10056662</v>
      </c>
      <c r="C64" s="80">
        <v>1.35958416432</v>
      </c>
      <c r="D64" s="81">
        <v>0.43122034519840002</v>
      </c>
      <c r="E64" s="50"/>
      <c r="F64" s="50"/>
      <c r="G64" s="50"/>
      <c r="H64" s="50"/>
      <c r="I64" s="50"/>
      <c r="J64" s="50"/>
      <c r="K64" s="50"/>
      <c r="L64" s="17"/>
      <c r="M64" s="17"/>
    </row>
    <row r="65" spans="1:14">
      <c r="A65" s="78">
        <v>85.1</v>
      </c>
      <c r="B65" s="82">
        <v>904.91963922000002</v>
      </c>
      <c r="C65" s="80">
        <v>1.3476317931200001</v>
      </c>
      <c r="D65" s="81">
        <v>0.44109424561439997</v>
      </c>
      <c r="E65" s="50"/>
      <c r="F65" s="50"/>
      <c r="G65" s="50"/>
      <c r="H65" s="50"/>
      <c r="I65" s="50"/>
      <c r="J65" s="50"/>
      <c r="K65" s="50"/>
      <c r="L65" s="17"/>
      <c r="M65" s="17"/>
    </row>
    <row r="66" spans="1:14">
      <c r="A66" s="78">
        <v>86</v>
      </c>
      <c r="B66" s="82">
        <v>914.83443690000001</v>
      </c>
      <c r="C66" s="80">
        <v>1.33514583392</v>
      </c>
      <c r="D66" s="81">
        <v>0.45151211474239994</v>
      </c>
      <c r="E66" s="50"/>
      <c r="F66" s="50"/>
      <c r="G66" s="50"/>
      <c r="H66" s="50"/>
      <c r="I66" s="50"/>
      <c r="J66" s="50"/>
      <c r="K66" s="50"/>
      <c r="L66" s="17"/>
      <c r="M66" s="17"/>
    </row>
    <row r="67" spans="1:14">
      <c r="A67" s="78">
        <v>86.9</v>
      </c>
      <c r="B67" s="82">
        <v>924.84350928000003</v>
      </c>
      <c r="C67" s="80">
        <v>1.3220506142399999</v>
      </c>
      <c r="D67" s="81">
        <v>0.4625472966784</v>
      </c>
      <c r="E67" s="50"/>
      <c r="F67" s="50"/>
      <c r="G67" s="50"/>
      <c r="H67" s="50"/>
      <c r="I67" s="50"/>
      <c r="J67" s="50"/>
      <c r="K67" s="50"/>
      <c r="L67" s="17"/>
      <c r="M67" s="17"/>
    </row>
    <row r="68" spans="1:14">
      <c r="A68" s="78">
        <v>87.8</v>
      </c>
      <c r="B68" s="82">
        <v>934.95120750000012</v>
      </c>
      <c r="C68" s="80">
        <v>1.30825687936</v>
      </c>
      <c r="D68" s="81">
        <v>0.47429065660800002</v>
      </c>
      <c r="E68" s="50"/>
      <c r="F68" s="50"/>
      <c r="G68" s="50"/>
      <c r="H68" s="50"/>
      <c r="I68" s="50"/>
      <c r="J68" s="50"/>
      <c r="K68" s="50"/>
      <c r="L68" s="17"/>
      <c r="M68" s="17"/>
    </row>
    <row r="69" spans="1:14">
      <c r="A69" s="78">
        <v>88.7</v>
      </c>
      <c r="B69" s="82">
        <v>945.16043231999993</v>
      </c>
      <c r="C69" s="80">
        <v>1.29364626976</v>
      </c>
      <c r="D69" s="81">
        <v>0.48685690624959999</v>
      </c>
      <c r="E69" s="50"/>
      <c r="F69" s="50"/>
      <c r="G69" s="50"/>
      <c r="H69" s="50"/>
      <c r="I69" s="50"/>
      <c r="J69" s="50"/>
      <c r="K69" s="50"/>
      <c r="L69" s="17"/>
      <c r="M69" s="17"/>
    </row>
    <row r="70" spans="1:14">
      <c r="A70" s="78">
        <v>89.6</v>
      </c>
      <c r="B70" s="82">
        <v>955.47118374000013</v>
      </c>
      <c r="C70" s="80">
        <v>1.2780693808000001</v>
      </c>
      <c r="D70" s="81">
        <v>0.50039415022879996</v>
      </c>
      <c r="E70" s="50"/>
      <c r="F70" s="50"/>
      <c r="G70" s="50"/>
      <c r="H70" s="50"/>
      <c r="I70" s="50"/>
      <c r="J70" s="50"/>
      <c r="K70" s="50"/>
      <c r="L70" s="17"/>
      <c r="M70" s="17"/>
    </row>
    <row r="71" spans="1:14">
      <c r="A71" s="78">
        <v>90.5</v>
      </c>
      <c r="B71" s="82">
        <v>965.88781289999997</v>
      </c>
      <c r="C71" s="80">
        <v>1.2613302401599999</v>
      </c>
      <c r="D71" s="81">
        <v>0.51509886534880001</v>
      </c>
      <c r="E71" s="50"/>
      <c r="F71" s="50"/>
      <c r="G71" s="50"/>
      <c r="H71" s="50"/>
      <c r="I71" s="50"/>
      <c r="J71" s="50"/>
      <c r="K71" s="50"/>
      <c r="L71" s="17"/>
      <c r="M71" s="17"/>
    </row>
    <row r="72" spans="1:14">
      <c r="A72" s="78">
        <v>91.4</v>
      </c>
      <c r="B72" s="82">
        <v>976.41612132</v>
      </c>
      <c r="C72" s="80">
        <v>1.24315138208</v>
      </c>
      <c r="D72" s="81">
        <v>0.53124065907359996</v>
      </c>
      <c r="E72" s="50"/>
      <c r="F72" s="50"/>
      <c r="G72" s="50"/>
      <c r="H72" s="50"/>
      <c r="I72" s="50"/>
      <c r="J72" s="50"/>
      <c r="K72" s="50"/>
      <c r="L72" s="17"/>
      <c r="M72" s="17"/>
    </row>
    <row r="73" spans="1:14">
      <c r="A73" s="78">
        <v>92.3</v>
      </c>
      <c r="B73" s="82">
        <v>987.05610900000011</v>
      </c>
      <c r="C73" s="80">
        <v>1.2231428022399999</v>
      </c>
      <c r="D73" s="81">
        <v>0.54920555806720006</v>
      </c>
      <c r="E73" s="50"/>
      <c r="F73" s="50"/>
      <c r="G73" s="50"/>
      <c r="H73" s="50"/>
      <c r="I73" s="50"/>
      <c r="J73" s="50"/>
      <c r="K73" s="50"/>
      <c r="L73" s="17"/>
      <c r="M73" s="17"/>
    </row>
    <row r="74" spans="1:14">
      <c r="A74" s="78">
        <v>93.2</v>
      </c>
      <c r="B74" s="82">
        <v>997.81792859999996</v>
      </c>
      <c r="C74" s="80">
        <v>1.20071076272</v>
      </c>
      <c r="D74" s="81">
        <v>0.56957841358399997</v>
      </c>
      <c r="E74" s="50"/>
      <c r="F74" s="50"/>
      <c r="G74" s="50"/>
      <c r="H74" s="50"/>
      <c r="I74" s="50"/>
      <c r="J74" s="50"/>
      <c r="K74" s="50"/>
      <c r="L74" s="17"/>
      <c r="M74" s="17"/>
    </row>
    <row r="75" spans="1:14">
      <c r="A75" s="78">
        <v>94.1</v>
      </c>
      <c r="B75" s="82">
        <v>1008.70448088</v>
      </c>
      <c r="C75" s="80">
        <v>1.1748812228800001</v>
      </c>
      <c r="D75" s="81">
        <v>0.59331624965759999</v>
      </c>
      <c r="E75" s="50"/>
      <c r="F75" s="50"/>
      <c r="G75" s="50"/>
      <c r="H75" s="50"/>
      <c r="I75" s="50"/>
      <c r="J75" s="50"/>
      <c r="K75" s="50"/>
      <c r="L75" s="17"/>
      <c r="M75" s="17"/>
    </row>
    <row r="76" spans="1:14">
      <c r="A76" s="78">
        <v>95</v>
      </c>
      <c r="B76" s="82">
        <v>1019.7259185</v>
      </c>
      <c r="C76" s="80">
        <v>1.143867148</v>
      </c>
      <c r="D76" s="81">
        <v>0.6221741633408</v>
      </c>
      <c r="E76" s="50"/>
      <c r="F76" s="50"/>
      <c r="G76" s="50"/>
      <c r="H76" s="50"/>
      <c r="I76" s="50"/>
      <c r="J76" s="50"/>
      <c r="K76" s="50"/>
      <c r="L76" s="17"/>
      <c r="M76" s="17"/>
    </row>
    <row r="77" spans="1:14">
      <c r="A77" s="78">
        <v>95.9</v>
      </c>
      <c r="B77" s="82">
        <v>1030.8938445000001</v>
      </c>
      <c r="C77" s="80">
        <v>1.1037122256</v>
      </c>
      <c r="D77" s="81">
        <v>0.66003374539039994</v>
      </c>
      <c r="E77" s="50"/>
      <c r="F77" s="50"/>
      <c r="G77" s="50"/>
      <c r="H77" s="50"/>
      <c r="I77" s="50"/>
      <c r="J77" s="50"/>
      <c r="K77" s="50"/>
      <c r="L77" s="17"/>
      <c r="M77" s="17"/>
    </row>
    <row r="78" spans="1:14">
      <c r="A78" s="78">
        <v>96.8</v>
      </c>
      <c r="B78" s="82">
        <v>1042.23146496</v>
      </c>
      <c r="C78" s="80">
        <v>1.04153273088</v>
      </c>
      <c r="D78" s="81">
        <v>0.7195324357888</v>
      </c>
      <c r="E78" s="50"/>
      <c r="F78" s="50"/>
      <c r="G78" s="50"/>
      <c r="H78" s="50"/>
      <c r="I78" s="50"/>
      <c r="J78" s="50"/>
      <c r="K78" s="50"/>
      <c r="L78" s="17"/>
      <c r="M78" s="17"/>
    </row>
    <row r="79" spans="1:14" ht="15.75" thickBot="1">
      <c r="A79" s="87">
        <v>97.47</v>
      </c>
      <c r="B79" s="88">
        <v>1050.8003100000001</v>
      </c>
      <c r="C79" s="89">
        <v>0.87704598352000007</v>
      </c>
      <c r="D79" s="90">
        <v>0.8770468760672</v>
      </c>
      <c r="E79" s="64"/>
      <c r="F79" s="50"/>
      <c r="G79" s="50"/>
      <c r="H79" s="50"/>
      <c r="I79" s="50"/>
      <c r="J79" s="50"/>
      <c r="K79" s="50"/>
      <c r="L79" s="17"/>
      <c r="M79" s="18"/>
      <c r="N79" s="22"/>
    </row>
    <row r="80" spans="1:14">
      <c r="A80" s="27"/>
      <c r="D80" s="58"/>
      <c r="F80" s="58"/>
      <c r="G80" s="58"/>
      <c r="H80" s="58"/>
      <c r="I80" s="58"/>
      <c r="J80" s="58"/>
      <c r="K80" s="58"/>
    </row>
    <row r="81" spans="1:11">
      <c r="A81" s="29"/>
      <c r="D81" s="58"/>
      <c r="F81" s="58"/>
      <c r="G81" s="58"/>
      <c r="H81" s="58"/>
      <c r="I81" s="58"/>
      <c r="J81" s="58"/>
      <c r="K81" s="58"/>
    </row>
    <row r="82" spans="1:11">
      <c r="A82" s="210"/>
      <c r="B82" s="58"/>
      <c r="C82" s="58"/>
      <c r="D82" s="58"/>
      <c r="F82" s="58"/>
      <c r="G82" s="58"/>
      <c r="H82" s="58"/>
      <c r="I82" s="58"/>
      <c r="J82" s="58"/>
      <c r="K82" s="58"/>
    </row>
    <row r="83" spans="1:11">
      <c r="A83" s="210"/>
      <c r="B83" s="58"/>
      <c r="C83" s="58"/>
      <c r="D83" s="58"/>
      <c r="F83" s="58"/>
      <c r="G83" s="58"/>
      <c r="H83" s="58"/>
      <c r="I83" s="58"/>
      <c r="J83" s="58"/>
      <c r="K83" s="58"/>
    </row>
    <row r="84" spans="1:11">
      <c r="A84" s="210"/>
      <c r="B84" s="58"/>
      <c r="C84" s="58"/>
      <c r="D84" s="58"/>
      <c r="F84" s="58"/>
      <c r="G84" s="58"/>
      <c r="H84" s="58"/>
      <c r="I84" s="58"/>
      <c r="J84" s="58"/>
      <c r="K84" s="58"/>
    </row>
    <row r="85" spans="1:11">
      <c r="A85" s="210"/>
      <c r="B85" s="58"/>
      <c r="C85" s="58"/>
      <c r="D85" s="58"/>
      <c r="F85" s="58"/>
      <c r="G85" s="58"/>
      <c r="H85" s="58"/>
      <c r="I85" s="58"/>
      <c r="J85" s="58"/>
      <c r="K85" s="58"/>
    </row>
    <row r="86" spans="1:11">
      <c r="A86" s="210"/>
      <c r="B86" s="58"/>
      <c r="C86" s="58"/>
      <c r="D86" s="58"/>
      <c r="F86" s="58"/>
      <c r="G86" s="58"/>
      <c r="H86" s="58"/>
      <c r="I86" s="58"/>
      <c r="J86" s="58"/>
      <c r="K86" s="58"/>
    </row>
    <row r="87" spans="1:11">
      <c r="A87" s="210"/>
      <c r="B87" s="58"/>
      <c r="C87" s="58"/>
      <c r="D87" s="58"/>
      <c r="F87" s="58"/>
      <c r="G87" s="58"/>
      <c r="H87" s="58"/>
      <c r="I87" s="58"/>
      <c r="J87" s="58"/>
      <c r="K87" s="58"/>
    </row>
    <row r="88" spans="1:11">
      <c r="A88" s="210"/>
      <c r="B88" s="58"/>
      <c r="C88" s="58"/>
      <c r="D88" s="58"/>
      <c r="F88" s="58"/>
      <c r="G88" s="58"/>
      <c r="H88" s="58"/>
      <c r="I88" s="58"/>
      <c r="J88" s="58"/>
      <c r="K88" s="58"/>
    </row>
    <row r="89" spans="1:11">
      <c r="A89" s="210"/>
      <c r="B89" s="58"/>
      <c r="C89" s="58"/>
      <c r="D89" s="58"/>
      <c r="F89" s="58"/>
      <c r="G89" s="58"/>
      <c r="H89" s="58"/>
      <c r="I89" s="58"/>
      <c r="J89" s="58"/>
      <c r="K89" s="58"/>
    </row>
    <row r="90" spans="1:11">
      <c r="A90" s="210"/>
      <c r="B90" s="58"/>
      <c r="C90" s="58"/>
      <c r="D90" s="58"/>
      <c r="F90" s="58"/>
      <c r="G90" s="58"/>
      <c r="H90" s="58"/>
      <c r="I90" s="58"/>
      <c r="J90" s="58"/>
      <c r="K90" s="58"/>
    </row>
    <row r="91" spans="1:11">
      <c r="A91" s="210"/>
      <c r="B91" s="58"/>
      <c r="C91" s="58"/>
      <c r="D91" s="58"/>
      <c r="F91" s="58"/>
      <c r="G91" s="58"/>
      <c r="H91" s="58"/>
      <c r="I91" s="58"/>
      <c r="J91" s="58"/>
      <c r="K91" s="58"/>
    </row>
    <row r="92" spans="1:11">
      <c r="A92" s="210"/>
      <c r="B92" s="58"/>
      <c r="C92" s="58"/>
      <c r="D92" s="58"/>
      <c r="F92" s="58"/>
      <c r="G92" s="58"/>
      <c r="H92" s="58"/>
      <c r="I92" s="58"/>
      <c r="J92" s="58"/>
      <c r="K92" s="58"/>
    </row>
    <row r="93" spans="1:11">
      <c r="A93" s="210"/>
      <c r="B93" s="58"/>
      <c r="C93" s="58"/>
      <c r="D93" s="58"/>
      <c r="F93" s="58"/>
      <c r="G93" s="58"/>
      <c r="H93" s="58"/>
      <c r="I93" s="58"/>
      <c r="J93" s="58"/>
      <c r="K93" s="58"/>
    </row>
    <row r="94" spans="1:11">
      <c r="A94" s="210"/>
      <c r="B94" s="58"/>
      <c r="C94" s="58"/>
      <c r="D94" s="58"/>
      <c r="F94" s="58"/>
      <c r="G94" s="58"/>
      <c r="H94" s="58"/>
      <c r="I94" s="58"/>
      <c r="J94" s="58"/>
      <c r="K94" s="58"/>
    </row>
    <row r="95" spans="1:11">
      <c r="A95" s="210"/>
      <c r="B95" s="58"/>
      <c r="C95" s="58"/>
      <c r="D95" s="58"/>
      <c r="F95" s="58"/>
      <c r="G95" s="58"/>
      <c r="H95" s="58"/>
      <c r="I95" s="58"/>
      <c r="J95" s="58"/>
      <c r="K95" s="58"/>
    </row>
    <row r="96" spans="1:11">
      <c r="A96" s="210"/>
      <c r="B96" s="58"/>
      <c r="C96" s="58"/>
      <c r="D96" s="58"/>
      <c r="F96" s="58"/>
      <c r="G96" s="58"/>
      <c r="H96" s="58"/>
      <c r="I96" s="58"/>
      <c r="J96" s="58"/>
      <c r="K96" s="58"/>
    </row>
    <row r="97" spans="1:11">
      <c r="A97" s="210"/>
      <c r="B97" s="58"/>
      <c r="C97" s="58"/>
      <c r="D97" s="58"/>
      <c r="F97" s="58"/>
      <c r="G97" s="58"/>
      <c r="H97" s="58"/>
      <c r="I97" s="58"/>
      <c r="J97" s="58"/>
      <c r="K97" s="58"/>
    </row>
    <row r="98" spans="1:11">
      <c r="A98" s="210"/>
      <c r="B98" s="58"/>
      <c r="C98" s="58"/>
      <c r="D98" s="58"/>
      <c r="F98" s="58"/>
      <c r="G98" s="58"/>
      <c r="H98" s="58"/>
      <c r="I98" s="58"/>
      <c r="J98" s="58"/>
      <c r="K98" s="58"/>
    </row>
    <row r="99" spans="1:11">
      <c r="A99" s="210"/>
      <c r="B99" s="58"/>
      <c r="C99" s="58"/>
      <c r="D99" s="58"/>
      <c r="F99" s="58"/>
      <c r="G99" s="58"/>
      <c r="H99" s="58"/>
      <c r="I99" s="58"/>
      <c r="J99" s="58"/>
      <c r="K99" s="58"/>
    </row>
    <row r="100" spans="1:11">
      <c r="A100" s="210"/>
      <c r="B100" s="58"/>
      <c r="C100" s="58"/>
      <c r="D100" s="58"/>
      <c r="F100" s="58"/>
      <c r="G100" s="58"/>
      <c r="H100" s="58"/>
      <c r="I100" s="58"/>
      <c r="J100" s="58"/>
      <c r="K100" s="58"/>
    </row>
    <row r="101" spans="1:11">
      <c r="A101" s="210"/>
      <c r="B101" s="58"/>
      <c r="C101" s="58"/>
      <c r="D101" s="58"/>
      <c r="F101" s="58"/>
      <c r="G101" s="58"/>
      <c r="H101" s="58"/>
      <c r="I101" s="58"/>
      <c r="J101" s="58"/>
      <c r="K101" s="58"/>
    </row>
    <row r="102" spans="1:11">
      <c r="A102" s="210"/>
      <c r="B102" s="58"/>
      <c r="C102" s="58"/>
      <c r="D102" s="58"/>
      <c r="F102" s="58"/>
      <c r="G102" s="58"/>
      <c r="H102" s="58"/>
      <c r="I102" s="58"/>
      <c r="J102" s="58"/>
      <c r="K102" s="58"/>
    </row>
    <row r="103" spans="1:11">
      <c r="A103" s="210"/>
      <c r="B103" s="58"/>
      <c r="C103" s="58"/>
      <c r="D103" s="58"/>
      <c r="F103" s="58"/>
      <c r="G103" s="58"/>
      <c r="H103" s="58"/>
      <c r="I103" s="58"/>
      <c r="J103" s="58"/>
      <c r="K103" s="58"/>
    </row>
    <row r="104" spans="1:11">
      <c r="A104" s="210"/>
      <c r="B104" s="58"/>
      <c r="C104" s="58"/>
      <c r="D104" s="58"/>
      <c r="F104" s="58"/>
      <c r="G104" s="58"/>
      <c r="H104" s="58"/>
      <c r="I104" s="58"/>
      <c r="J104" s="58"/>
      <c r="K104" s="58"/>
    </row>
    <row r="105" spans="1:11">
      <c r="A105" s="210"/>
      <c r="B105" s="58"/>
      <c r="C105" s="58"/>
      <c r="D105" s="58"/>
      <c r="F105" s="58"/>
      <c r="G105" s="58"/>
      <c r="H105" s="58"/>
      <c r="I105" s="58"/>
      <c r="J105" s="58"/>
      <c r="K105" s="58"/>
    </row>
    <row r="106" spans="1:11">
      <c r="A106" s="210"/>
      <c r="B106" s="58"/>
      <c r="C106" s="58"/>
      <c r="D106" s="58"/>
      <c r="F106" s="58"/>
      <c r="G106" s="58"/>
      <c r="H106" s="58"/>
      <c r="I106" s="58"/>
      <c r="J106" s="58"/>
      <c r="K106" s="58"/>
    </row>
    <row r="107" spans="1:11">
      <c r="A107" s="210"/>
      <c r="B107" s="58"/>
      <c r="C107" s="58"/>
      <c r="D107" s="58"/>
      <c r="F107" s="58"/>
      <c r="G107" s="58"/>
      <c r="H107" s="58"/>
      <c r="I107" s="58"/>
      <c r="J107" s="58"/>
      <c r="K107" s="58"/>
    </row>
    <row r="108" spans="1:11">
      <c r="A108" s="210"/>
      <c r="B108" s="58"/>
      <c r="C108" s="58"/>
      <c r="D108" s="58"/>
      <c r="F108" s="58"/>
      <c r="G108" s="58"/>
      <c r="H108" s="58"/>
      <c r="I108" s="58"/>
      <c r="J108" s="58"/>
      <c r="K108" s="58"/>
    </row>
    <row r="109" spans="1:11">
      <c r="A109" s="210"/>
      <c r="B109" s="58"/>
      <c r="C109" s="58"/>
      <c r="D109" s="58"/>
      <c r="F109" s="58"/>
      <c r="G109" s="58"/>
      <c r="H109" s="58"/>
      <c r="I109" s="58"/>
      <c r="J109" s="58"/>
      <c r="K109" s="58"/>
    </row>
    <row r="110" spans="1:11">
      <c r="A110" s="210"/>
      <c r="B110" s="58"/>
      <c r="C110" s="58"/>
      <c r="D110" s="58"/>
      <c r="F110" s="58"/>
      <c r="G110" s="58"/>
      <c r="H110" s="58"/>
      <c r="I110" s="58"/>
      <c r="J110" s="58"/>
      <c r="K110" s="58"/>
    </row>
    <row r="111" spans="1:11">
      <c r="A111" s="210"/>
      <c r="B111" s="58"/>
      <c r="C111" s="58"/>
      <c r="D111" s="58"/>
      <c r="F111" s="58"/>
      <c r="G111" s="58"/>
      <c r="H111" s="58"/>
      <c r="I111" s="58"/>
      <c r="J111" s="58"/>
      <c r="K111" s="58"/>
    </row>
    <row r="112" spans="1:11">
      <c r="A112" s="210"/>
      <c r="B112" s="58"/>
      <c r="C112" s="58"/>
      <c r="D112" s="58"/>
      <c r="F112" s="58"/>
      <c r="G112" s="58"/>
      <c r="H112" s="58"/>
      <c r="I112" s="58"/>
      <c r="J112" s="58"/>
      <c r="K112" s="58"/>
    </row>
    <row r="113" spans="1:11">
      <c r="A113" s="210"/>
      <c r="B113" s="58"/>
      <c r="C113" s="58"/>
      <c r="D113" s="58"/>
      <c r="F113" s="58"/>
      <c r="G113" s="58"/>
      <c r="H113" s="58"/>
      <c r="I113" s="58"/>
      <c r="J113" s="58"/>
      <c r="K113" s="58"/>
    </row>
    <row r="114" spans="1:11">
      <c r="A114" s="210"/>
      <c r="B114" s="58"/>
      <c r="C114" s="58"/>
      <c r="D114" s="58"/>
      <c r="F114" s="58"/>
      <c r="G114" s="58"/>
      <c r="H114" s="58"/>
      <c r="I114" s="58"/>
      <c r="J114" s="58"/>
      <c r="K114" s="58"/>
    </row>
    <row r="115" spans="1:11">
      <c r="A115" s="210"/>
      <c r="B115" s="58"/>
      <c r="C115" s="58"/>
      <c r="D115" s="58"/>
      <c r="F115" s="58"/>
      <c r="G115" s="58"/>
      <c r="H115" s="58"/>
      <c r="I115" s="58"/>
      <c r="J115" s="58"/>
      <c r="K115" s="58"/>
    </row>
    <row r="116" spans="1:11">
      <c r="A116" s="210"/>
      <c r="B116" s="58"/>
      <c r="C116" s="58"/>
      <c r="D116" s="58"/>
      <c r="F116" s="58"/>
      <c r="G116" s="58"/>
      <c r="H116" s="58"/>
      <c r="I116" s="58"/>
      <c r="J116" s="58"/>
      <c r="K116" s="58"/>
    </row>
    <row r="117" spans="1:11">
      <c r="A117" s="210"/>
      <c r="B117" s="58"/>
      <c r="C117" s="58"/>
      <c r="D117" s="58"/>
      <c r="F117" s="58"/>
      <c r="G117" s="58"/>
      <c r="H117" s="58"/>
      <c r="I117" s="58"/>
      <c r="J117" s="58"/>
      <c r="K117" s="58"/>
    </row>
    <row r="118" spans="1:11">
      <c r="A118" s="210"/>
      <c r="B118" s="58"/>
      <c r="C118" s="58"/>
      <c r="D118" s="58"/>
      <c r="F118" s="58"/>
      <c r="G118" s="58"/>
      <c r="H118" s="58"/>
      <c r="I118" s="58"/>
      <c r="J118" s="58"/>
      <c r="K118" s="58"/>
    </row>
    <row r="119" spans="1:11">
      <c r="A119" s="210"/>
      <c r="B119" s="58"/>
      <c r="C119" s="58"/>
      <c r="D119" s="58"/>
      <c r="F119" s="58"/>
      <c r="G119" s="58"/>
      <c r="H119" s="58"/>
      <c r="I119" s="58"/>
      <c r="J119" s="58"/>
      <c r="K119" s="58"/>
    </row>
    <row r="120" spans="1:11">
      <c r="A120" s="210"/>
      <c r="B120" s="58"/>
      <c r="C120" s="58"/>
      <c r="D120" s="58"/>
      <c r="F120" s="58"/>
      <c r="G120" s="58"/>
      <c r="H120" s="58"/>
      <c r="I120" s="58"/>
      <c r="J120" s="58"/>
      <c r="K120" s="58"/>
    </row>
    <row r="121" spans="1:11">
      <c r="A121" s="210"/>
      <c r="B121" s="58"/>
      <c r="C121" s="58"/>
      <c r="D121" s="58"/>
      <c r="F121" s="58"/>
      <c r="G121" s="58"/>
      <c r="H121" s="58"/>
      <c r="I121" s="58"/>
      <c r="J121" s="58"/>
      <c r="K121" s="58"/>
    </row>
    <row r="122" spans="1:11">
      <c r="A122" s="210"/>
      <c r="B122" s="58"/>
      <c r="C122" s="58"/>
      <c r="D122" s="58"/>
      <c r="F122" s="58"/>
      <c r="G122" s="58"/>
      <c r="H122" s="58"/>
      <c r="I122" s="58"/>
      <c r="J122" s="58"/>
      <c r="K122" s="58"/>
    </row>
    <row r="123" spans="1:11">
      <c r="A123" s="210"/>
      <c r="B123" s="58"/>
      <c r="C123" s="58"/>
      <c r="D123" s="58"/>
      <c r="F123" s="58"/>
      <c r="G123" s="58"/>
      <c r="H123" s="58"/>
      <c r="I123" s="58"/>
      <c r="J123" s="58"/>
      <c r="K123" s="58"/>
    </row>
    <row r="124" spans="1:11">
      <c r="A124" s="210"/>
      <c r="B124" s="58"/>
      <c r="C124" s="58"/>
      <c r="D124" s="58"/>
      <c r="F124" s="58"/>
      <c r="G124" s="58"/>
      <c r="H124" s="58"/>
      <c r="I124" s="58"/>
      <c r="J124" s="58"/>
      <c r="K124" s="58"/>
    </row>
    <row r="125" spans="1:11">
      <c r="A125" s="210"/>
      <c r="B125" s="58"/>
      <c r="C125" s="58"/>
      <c r="D125" s="58"/>
      <c r="F125" s="58"/>
      <c r="G125" s="58"/>
      <c r="H125" s="58"/>
      <c r="I125" s="58"/>
      <c r="J125" s="58"/>
      <c r="K125" s="58"/>
    </row>
    <row r="126" spans="1:11">
      <c r="A126" s="210"/>
      <c r="B126" s="58"/>
      <c r="C126" s="58"/>
      <c r="D126" s="58"/>
      <c r="F126" s="58"/>
      <c r="G126" s="58"/>
      <c r="H126" s="58"/>
      <c r="I126" s="58"/>
      <c r="J126" s="58"/>
      <c r="K126" s="58"/>
    </row>
    <row r="127" spans="1:11">
      <c r="A127" s="210"/>
      <c r="B127" s="58"/>
      <c r="C127" s="58"/>
      <c r="D127" s="58"/>
      <c r="F127" s="58"/>
      <c r="G127" s="58"/>
      <c r="H127" s="58"/>
      <c r="I127" s="58"/>
      <c r="J127" s="58"/>
      <c r="K127" s="58"/>
    </row>
    <row r="128" spans="1:11">
      <c r="A128" s="210"/>
      <c r="B128" s="58"/>
      <c r="C128" s="58"/>
      <c r="D128" s="58"/>
      <c r="F128" s="58"/>
      <c r="G128" s="58"/>
      <c r="H128" s="58"/>
      <c r="I128" s="58"/>
      <c r="J128" s="58"/>
      <c r="K128" s="58"/>
    </row>
    <row r="129" spans="1:11">
      <c r="A129" s="210"/>
      <c r="B129" s="58"/>
      <c r="C129" s="58"/>
      <c r="D129" s="58"/>
      <c r="F129" s="58"/>
      <c r="G129" s="58"/>
      <c r="H129" s="58"/>
      <c r="I129" s="58"/>
      <c r="J129" s="58"/>
      <c r="K129" s="58"/>
    </row>
    <row r="130" spans="1:11">
      <c r="A130" s="210"/>
      <c r="B130" s="58"/>
      <c r="C130" s="58"/>
      <c r="D130" s="58"/>
      <c r="F130" s="58"/>
      <c r="G130" s="58"/>
      <c r="H130" s="58"/>
      <c r="I130" s="58"/>
      <c r="J130" s="58"/>
      <c r="K130" s="58"/>
    </row>
    <row r="131" spans="1:11">
      <c r="A131" s="210"/>
      <c r="B131" s="58"/>
      <c r="C131" s="58"/>
      <c r="D131" s="58"/>
      <c r="F131" s="58"/>
      <c r="G131" s="58"/>
      <c r="H131" s="58"/>
      <c r="I131" s="58"/>
      <c r="J131" s="58"/>
      <c r="K131" s="58"/>
    </row>
    <row r="132" spans="1:11">
      <c r="A132" s="210"/>
      <c r="B132" s="58"/>
      <c r="C132" s="58"/>
      <c r="D132" s="58"/>
      <c r="F132" s="58"/>
      <c r="G132" s="58"/>
      <c r="H132" s="58"/>
      <c r="I132" s="58"/>
      <c r="J132" s="58"/>
      <c r="K132" s="58"/>
    </row>
    <row r="133" spans="1:11">
      <c r="A133" s="210"/>
      <c r="B133" s="58"/>
      <c r="C133" s="58"/>
      <c r="D133" s="58"/>
      <c r="F133" s="58"/>
      <c r="G133" s="58"/>
      <c r="H133" s="58"/>
      <c r="I133" s="58"/>
      <c r="J133" s="58"/>
      <c r="K133" s="58"/>
    </row>
    <row r="134" spans="1:11">
      <c r="A134" s="210"/>
      <c r="B134" s="58"/>
      <c r="C134" s="58"/>
      <c r="D134" s="58"/>
      <c r="F134" s="58"/>
      <c r="G134" s="58"/>
      <c r="H134" s="58"/>
      <c r="I134" s="58"/>
      <c r="J134" s="58"/>
      <c r="K134" s="58"/>
    </row>
    <row r="135" spans="1:11">
      <c r="A135" s="210"/>
      <c r="B135" s="58"/>
      <c r="C135" s="58"/>
      <c r="D135" s="58"/>
      <c r="F135" s="58"/>
      <c r="G135" s="58"/>
      <c r="H135" s="58"/>
      <c r="I135" s="58"/>
      <c r="J135" s="58"/>
      <c r="K135" s="58"/>
    </row>
    <row r="136" spans="1:11">
      <c r="A136" s="210"/>
      <c r="B136" s="58"/>
      <c r="C136" s="58"/>
      <c r="D136" s="58"/>
      <c r="F136" s="58"/>
      <c r="G136" s="58"/>
      <c r="H136" s="58"/>
      <c r="I136" s="58"/>
      <c r="J136" s="58"/>
      <c r="K136" s="58"/>
    </row>
    <row r="137" spans="1:11">
      <c r="A137" s="210"/>
      <c r="B137" s="58"/>
      <c r="C137" s="58"/>
      <c r="D137" s="58"/>
      <c r="F137" s="58"/>
      <c r="G137" s="58"/>
      <c r="H137" s="58"/>
      <c r="I137" s="58"/>
      <c r="J137" s="58"/>
      <c r="K137" s="58"/>
    </row>
    <row r="138" spans="1:11">
      <c r="A138" s="210"/>
      <c r="B138" s="58"/>
      <c r="C138" s="58"/>
      <c r="D138" s="58"/>
      <c r="F138" s="58"/>
      <c r="G138" s="58"/>
      <c r="H138" s="58"/>
      <c r="I138" s="58"/>
      <c r="J138" s="58"/>
      <c r="K138" s="58"/>
    </row>
    <row r="139" spans="1:11">
      <c r="A139" s="210"/>
      <c r="B139" s="58"/>
      <c r="C139" s="58"/>
      <c r="D139" s="58"/>
      <c r="F139" s="58"/>
      <c r="G139" s="58"/>
      <c r="H139" s="58"/>
      <c r="I139" s="58"/>
      <c r="J139" s="58"/>
      <c r="K139" s="58"/>
    </row>
    <row r="140" spans="1:11">
      <c r="A140" s="210"/>
      <c r="B140" s="58"/>
      <c r="C140" s="58"/>
      <c r="D140" s="58"/>
      <c r="F140" s="58"/>
      <c r="G140" s="58"/>
      <c r="H140" s="58"/>
      <c r="I140" s="58"/>
      <c r="J140" s="58"/>
      <c r="K140" s="58"/>
    </row>
    <row r="141" spans="1:11">
      <c r="A141" s="210"/>
      <c r="B141" s="58"/>
      <c r="C141" s="58"/>
      <c r="D141" s="58"/>
      <c r="F141" s="58"/>
      <c r="G141" s="58"/>
      <c r="H141" s="58"/>
      <c r="I141" s="58"/>
      <c r="J141" s="58"/>
      <c r="K141" s="58"/>
    </row>
    <row r="142" spans="1:11">
      <c r="A142" s="210"/>
      <c r="B142" s="58"/>
      <c r="C142" s="58"/>
      <c r="D142" s="58"/>
      <c r="F142" s="58"/>
      <c r="G142" s="58"/>
      <c r="H142" s="58"/>
      <c r="I142" s="58"/>
      <c r="J142" s="58"/>
      <c r="K142" s="58"/>
    </row>
    <row r="143" spans="1:11">
      <c r="A143" s="210"/>
      <c r="B143" s="58"/>
      <c r="C143" s="58"/>
      <c r="D143" s="58"/>
      <c r="F143" s="58"/>
      <c r="G143" s="58"/>
      <c r="H143" s="58"/>
      <c r="I143" s="58"/>
      <c r="J143" s="58"/>
      <c r="K143" s="58"/>
    </row>
    <row r="144" spans="1:11">
      <c r="A144" s="210"/>
      <c r="B144" s="58"/>
      <c r="C144" s="58"/>
      <c r="D144" s="58"/>
      <c r="F144" s="58"/>
      <c r="G144" s="58"/>
      <c r="H144" s="58"/>
      <c r="I144" s="58"/>
      <c r="J144" s="58"/>
      <c r="K144" s="58"/>
    </row>
    <row r="145" spans="1:11">
      <c r="A145" s="210"/>
      <c r="B145" s="58"/>
      <c r="C145" s="58"/>
      <c r="D145" s="58"/>
      <c r="F145" s="58"/>
      <c r="G145" s="58"/>
      <c r="H145" s="58"/>
      <c r="I145" s="58"/>
      <c r="J145" s="58"/>
      <c r="K145" s="58"/>
    </row>
    <row r="146" spans="1:11">
      <c r="A146" s="210"/>
      <c r="B146" s="58"/>
      <c r="C146" s="58"/>
      <c r="D146" s="58"/>
      <c r="F146" s="58"/>
      <c r="G146" s="58"/>
      <c r="H146" s="58"/>
      <c r="I146" s="58"/>
      <c r="J146" s="58"/>
      <c r="K146" s="58"/>
    </row>
    <row r="147" spans="1:11">
      <c r="A147" s="210"/>
      <c r="B147" s="58"/>
      <c r="C147" s="58"/>
      <c r="D147" s="58"/>
      <c r="F147" s="58"/>
      <c r="G147" s="58"/>
      <c r="H147" s="58"/>
      <c r="I147" s="58"/>
      <c r="J147" s="58"/>
      <c r="K147" s="58"/>
    </row>
    <row r="148" spans="1:11">
      <c r="A148" s="210"/>
      <c r="B148" s="58"/>
      <c r="C148" s="58"/>
      <c r="D148" s="58"/>
      <c r="F148" s="58"/>
      <c r="G148" s="58"/>
      <c r="H148" s="58"/>
      <c r="I148" s="58"/>
      <c r="J148" s="58"/>
      <c r="K148" s="58"/>
    </row>
    <row r="149" spans="1:11">
      <c r="A149" s="210"/>
      <c r="B149" s="58"/>
      <c r="C149" s="58"/>
      <c r="D149" s="58"/>
      <c r="F149" s="58"/>
      <c r="G149" s="58"/>
      <c r="H149" s="58"/>
      <c r="I149" s="58"/>
      <c r="J149" s="58"/>
      <c r="K149" s="58"/>
    </row>
    <row r="150" spans="1:11">
      <c r="A150" s="210"/>
      <c r="B150" s="58"/>
      <c r="C150" s="58"/>
      <c r="D150" s="58"/>
      <c r="F150" s="58"/>
      <c r="G150" s="58"/>
      <c r="H150" s="58"/>
      <c r="I150" s="58"/>
      <c r="J150" s="58"/>
      <c r="K150" s="58"/>
    </row>
    <row r="151" spans="1:11">
      <c r="A151" s="210"/>
      <c r="B151" s="58"/>
      <c r="C151" s="58"/>
      <c r="D151" s="58"/>
      <c r="F151" s="58"/>
      <c r="G151" s="58"/>
      <c r="H151" s="58"/>
      <c r="I151" s="58"/>
      <c r="J151" s="58"/>
      <c r="K151" s="58"/>
    </row>
    <row r="152" spans="1:11">
      <c r="A152" s="210"/>
      <c r="B152" s="58"/>
      <c r="C152" s="58"/>
      <c r="D152" s="58"/>
      <c r="F152" s="58"/>
      <c r="G152" s="58"/>
      <c r="H152" s="58"/>
      <c r="I152" s="58"/>
      <c r="J152" s="58"/>
      <c r="K152" s="58"/>
    </row>
    <row r="153" spans="1:11">
      <c r="A153" s="210"/>
      <c r="B153" s="58"/>
      <c r="C153" s="58"/>
      <c r="D153" s="58"/>
      <c r="F153" s="58"/>
      <c r="G153" s="58"/>
      <c r="H153" s="58"/>
      <c r="I153" s="58"/>
      <c r="J153" s="58"/>
      <c r="K153" s="58"/>
    </row>
    <row r="154" spans="1:11">
      <c r="A154" s="210"/>
      <c r="B154" s="58"/>
      <c r="C154" s="58"/>
      <c r="D154" s="58"/>
      <c r="F154" s="58"/>
      <c r="G154" s="58"/>
      <c r="H154" s="58"/>
      <c r="I154" s="58"/>
      <c r="J154" s="58"/>
      <c r="K154" s="58"/>
    </row>
    <row r="155" spans="1:11">
      <c r="A155" s="210"/>
      <c r="B155" s="58"/>
      <c r="C155" s="58"/>
      <c r="D155" s="58"/>
      <c r="F155" s="58"/>
      <c r="G155" s="58"/>
      <c r="H155" s="58"/>
      <c r="I155" s="58"/>
      <c r="J155" s="58"/>
      <c r="K155" s="58"/>
    </row>
    <row r="156" spans="1:11">
      <c r="A156" s="210"/>
      <c r="B156" s="58"/>
      <c r="C156" s="58"/>
      <c r="D156" s="58"/>
      <c r="F156" s="58"/>
      <c r="G156" s="58"/>
      <c r="H156" s="58"/>
      <c r="I156" s="58"/>
      <c r="J156" s="58"/>
      <c r="K156" s="58"/>
    </row>
    <row r="157" spans="1:11">
      <c r="A157" s="210"/>
      <c r="B157" s="58"/>
      <c r="C157" s="58"/>
      <c r="D157" s="58"/>
      <c r="F157" s="58"/>
      <c r="G157" s="58"/>
      <c r="H157" s="58"/>
      <c r="I157" s="58"/>
      <c r="J157" s="58"/>
      <c r="K157" s="58"/>
    </row>
    <row r="158" spans="1:11">
      <c r="A158" s="210"/>
      <c r="B158" s="58"/>
      <c r="C158" s="58"/>
      <c r="D158" s="58"/>
      <c r="F158" s="58"/>
      <c r="G158" s="58"/>
      <c r="H158" s="58"/>
      <c r="I158" s="58"/>
      <c r="J158" s="58"/>
      <c r="K158" s="58"/>
    </row>
    <row r="159" spans="1:11">
      <c r="A159" s="210"/>
      <c r="B159" s="58"/>
      <c r="C159" s="58"/>
      <c r="D159" s="58"/>
      <c r="F159" s="58"/>
      <c r="G159" s="58"/>
      <c r="H159" s="58"/>
      <c r="I159" s="58"/>
      <c r="J159" s="58"/>
      <c r="K159" s="58"/>
    </row>
    <row r="160" spans="1:11">
      <c r="A160" s="210"/>
      <c r="B160" s="58"/>
      <c r="C160" s="58"/>
      <c r="D160" s="58"/>
      <c r="F160" s="58"/>
      <c r="G160" s="58"/>
      <c r="H160" s="58"/>
      <c r="I160" s="58"/>
      <c r="J160" s="58"/>
      <c r="K160" s="58"/>
    </row>
    <row r="161" spans="1:11">
      <c r="A161" s="210"/>
      <c r="B161" s="58"/>
      <c r="C161" s="58"/>
      <c r="D161" s="58"/>
      <c r="F161" s="58"/>
      <c r="G161" s="58"/>
      <c r="H161" s="58"/>
      <c r="I161" s="58"/>
      <c r="J161" s="58"/>
      <c r="K161" s="58"/>
    </row>
    <row r="162" spans="1:11">
      <c r="A162" s="210"/>
      <c r="B162" s="58"/>
      <c r="C162" s="58"/>
      <c r="D162" s="58"/>
      <c r="F162" s="58"/>
      <c r="G162" s="58"/>
      <c r="H162" s="58"/>
      <c r="I162" s="58"/>
      <c r="J162" s="58"/>
      <c r="K162" s="58"/>
    </row>
    <row r="163" spans="1:11">
      <c r="A163" s="210"/>
      <c r="B163" s="58"/>
      <c r="C163" s="58"/>
      <c r="D163" s="58"/>
      <c r="F163" s="58"/>
      <c r="G163" s="58"/>
      <c r="H163" s="58"/>
      <c r="I163" s="58"/>
      <c r="J163" s="58"/>
      <c r="K163" s="58"/>
    </row>
    <row r="164" spans="1:11">
      <c r="A164" s="210"/>
      <c r="B164" s="58"/>
      <c r="C164" s="58"/>
      <c r="D164" s="58"/>
      <c r="F164" s="58"/>
      <c r="G164" s="58"/>
      <c r="H164" s="58"/>
      <c r="I164" s="58"/>
      <c r="J164" s="58"/>
      <c r="K164" s="58"/>
    </row>
    <row r="165" spans="1:11">
      <c r="A165" s="210"/>
      <c r="B165" s="58"/>
      <c r="C165" s="58"/>
      <c r="D165" s="58"/>
      <c r="F165" s="58"/>
      <c r="G165" s="58"/>
      <c r="H165" s="58"/>
      <c r="I165" s="58"/>
      <c r="J165" s="58"/>
      <c r="K165" s="58"/>
    </row>
    <row r="166" spans="1:11">
      <c r="A166" s="210"/>
      <c r="B166" s="58"/>
      <c r="C166" s="58"/>
      <c r="D166" s="58"/>
      <c r="F166" s="58"/>
      <c r="G166" s="58"/>
      <c r="H166" s="58"/>
      <c r="I166" s="58"/>
      <c r="J166" s="58"/>
      <c r="K166" s="58"/>
    </row>
    <row r="167" spans="1:11">
      <c r="A167" s="210"/>
      <c r="B167" s="58"/>
      <c r="C167" s="58"/>
      <c r="D167" s="58"/>
      <c r="F167" s="58"/>
      <c r="G167" s="58"/>
      <c r="H167" s="58"/>
      <c r="I167" s="58"/>
      <c r="J167" s="58"/>
      <c r="K167" s="58"/>
    </row>
    <row r="168" spans="1:11">
      <c r="A168" s="210"/>
      <c r="B168" s="58"/>
      <c r="C168" s="58"/>
      <c r="D168" s="58"/>
      <c r="F168" s="58"/>
      <c r="G168" s="58"/>
      <c r="H168" s="58"/>
      <c r="I168" s="58"/>
      <c r="J168" s="58"/>
      <c r="K168" s="58"/>
    </row>
    <row r="169" spans="1:11">
      <c r="A169" s="210"/>
      <c r="B169" s="58"/>
      <c r="C169" s="58"/>
      <c r="D169" s="58"/>
      <c r="F169" s="58"/>
      <c r="G169" s="58"/>
      <c r="H169" s="58"/>
      <c r="I169" s="58"/>
      <c r="J169" s="58"/>
      <c r="K169" s="58"/>
    </row>
    <row r="170" spans="1:11">
      <c r="A170" s="210"/>
      <c r="B170" s="58"/>
      <c r="C170" s="58"/>
      <c r="D170" s="58"/>
      <c r="F170" s="58"/>
      <c r="G170" s="58"/>
      <c r="H170" s="58"/>
      <c r="I170" s="58"/>
      <c r="J170" s="58"/>
      <c r="K170" s="58"/>
    </row>
    <row r="171" spans="1:11">
      <c r="A171" s="210"/>
      <c r="B171" s="58"/>
      <c r="C171" s="58"/>
      <c r="D171" s="58"/>
      <c r="F171" s="58"/>
      <c r="G171" s="58"/>
      <c r="H171" s="58"/>
      <c r="I171" s="58"/>
      <c r="J171" s="58"/>
      <c r="K171" s="58"/>
    </row>
    <row r="172" spans="1:11">
      <c r="A172" s="210"/>
      <c r="B172" s="58"/>
      <c r="C172" s="58"/>
      <c r="D172" s="58"/>
      <c r="F172" s="58"/>
      <c r="G172" s="58"/>
      <c r="H172" s="58"/>
      <c r="I172" s="58"/>
      <c r="J172" s="58"/>
      <c r="K172" s="58"/>
    </row>
    <row r="173" spans="1:11">
      <c r="A173" s="210"/>
      <c r="B173" s="58"/>
      <c r="C173" s="58"/>
      <c r="D173" s="58"/>
      <c r="F173" s="58"/>
      <c r="G173" s="58"/>
      <c r="H173" s="58"/>
      <c r="I173" s="58"/>
      <c r="J173" s="58"/>
      <c r="K173" s="58"/>
    </row>
    <row r="174" spans="1:11">
      <c r="A174" s="210"/>
      <c r="B174" s="58"/>
      <c r="C174" s="58"/>
      <c r="D174" s="58"/>
      <c r="F174" s="58"/>
      <c r="G174" s="58"/>
      <c r="H174" s="58"/>
      <c r="I174" s="58"/>
      <c r="J174" s="58"/>
      <c r="K174" s="58"/>
    </row>
    <row r="175" spans="1:11">
      <c r="A175" s="210"/>
      <c r="B175" s="58"/>
      <c r="C175" s="58"/>
      <c r="D175" s="58"/>
      <c r="F175" s="58"/>
      <c r="G175" s="58"/>
      <c r="H175" s="58"/>
      <c r="I175" s="58"/>
      <c r="J175" s="58"/>
      <c r="K175" s="58"/>
    </row>
    <row r="176" spans="1:11">
      <c r="A176" s="210"/>
      <c r="B176" s="58"/>
      <c r="C176" s="58"/>
      <c r="D176" s="58"/>
      <c r="F176" s="58"/>
      <c r="G176" s="58"/>
      <c r="H176" s="58"/>
      <c r="I176" s="58"/>
      <c r="J176" s="58"/>
      <c r="K176" s="58"/>
    </row>
    <row r="177" spans="1:11">
      <c r="A177" s="210"/>
      <c r="B177" s="58"/>
      <c r="C177" s="58"/>
      <c r="D177" s="58"/>
      <c r="F177" s="58"/>
      <c r="G177" s="58"/>
      <c r="H177" s="58"/>
      <c r="I177" s="58"/>
      <c r="J177" s="58"/>
      <c r="K177" s="58"/>
    </row>
    <row r="178" spans="1:11">
      <c r="A178" s="210"/>
      <c r="B178" s="58"/>
      <c r="C178" s="58"/>
      <c r="D178" s="58"/>
      <c r="F178" s="58"/>
      <c r="G178" s="58"/>
      <c r="H178" s="58"/>
      <c r="I178" s="58"/>
      <c r="J178" s="58"/>
      <c r="K178" s="58"/>
    </row>
    <row r="179" spans="1:11">
      <c r="A179" s="210"/>
      <c r="B179" s="58"/>
      <c r="C179" s="58"/>
      <c r="D179" s="58"/>
      <c r="F179" s="58"/>
      <c r="G179" s="58"/>
      <c r="H179" s="58"/>
      <c r="I179" s="58"/>
      <c r="J179" s="58"/>
      <c r="K179" s="58"/>
    </row>
    <row r="180" spans="1:11">
      <c r="A180" s="210"/>
      <c r="B180" s="58"/>
      <c r="C180" s="58"/>
      <c r="D180" s="58"/>
      <c r="F180" s="58"/>
      <c r="G180" s="58"/>
      <c r="H180" s="58"/>
      <c r="I180" s="58"/>
      <c r="J180" s="58"/>
      <c r="K180" s="58"/>
    </row>
    <row r="181" spans="1:11">
      <c r="A181" s="210"/>
      <c r="B181" s="58"/>
      <c r="C181" s="58"/>
      <c r="D181" s="58"/>
      <c r="F181" s="58"/>
      <c r="G181" s="58"/>
      <c r="H181" s="58"/>
      <c r="I181" s="58"/>
      <c r="J181" s="58"/>
      <c r="K181" s="58"/>
    </row>
    <row r="182" spans="1:11">
      <c r="A182" s="210"/>
      <c r="B182" s="58"/>
      <c r="C182" s="58"/>
      <c r="D182" s="58"/>
      <c r="F182" s="58"/>
      <c r="G182" s="58"/>
      <c r="H182" s="58"/>
      <c r="I182" s="58"/>
      <c r="J182" s="58"/>
      <c r="K182" s="58"/>
    </row>
    <row r="183" spans="1:11">
      <c r="A183" s="210"/>
      <c r="B183" s="58"/>
      <c r="C183" s="58"/>
      <c r="D183" s="58"/>
      <c r="F183" s="58"/>
      <c r="G183" s="58"/>
      <c r="H183" s="58"/>
      <c r="I183" s="58"/>
      <c r="J183" s="58"/>
      <c r="K183" s="58"/>
    </row>
    <row r="184" spans="1:11">
      <c r="A184" s="210"/>
      <c r="B184" s="58"/>
      <c r="C184" s="58"/>
      <c r="D184" s="58"/>
      <c r="F184" s="58"/>
      <c r="G184" s="58"/>
      <c r="H184" s="58"/>
      <c r="I184" s="58"/>
      <c r="J184" s="58"/>
      <c r="K184" s="58"/>
    </row>
    <row r="185" spans="1:11">
      <c r="A185" s="210"/>
      <c r="B185" s="58"/>
      <c r="C185" s="58"/>
      <c r="D185" s="58"/>
      <c r="F185" s="58"/>
      <c r="G185" s="58"/>
      <c r="H185" s="58"/>
      <c r="I185" s="58"/>
      <c r="J185" s="58"/>
      <c r="K185" s="58"/>
    </row>
    <row r="186" spans="1:11">
      <c r="A186" s="210"/>
      <c r="B186" s="58"/>
      <c r="C186" s="58"/>
      <c r="D186" s="58"/>
      <c r="F186" s="58"/>
      <c r="G186" s="58"/>
      <c r="H186" s="58"/>
      <c r="I186" s="58"/>
      <c r="J186" s="58"/>
      <c r="K186" s="58"/>
    </row>
    <row r="187" spans="1:11">
      <c r="A187" s="210"/>
      <c r="B187" s="58"/>
      <c r="C187" s="58"/>
      <c r="D187" s="58"/>
      <c r="F187" s="58"/>
      <c r="G187" s="58"/>
      <c r="H187" s="58"/>
      <c r="I187" s="58"/>
      <c r="J187" s="58"/>
      <c r="K187" s="58"/>
    </row>
    <row r="188" spans="1:11">
      <c r="A188" s="210"/>
      <c r="B188" s="58"/>
      <c r="C188" s="58"/>
      <c r="D188" s="58"/>
      <c r="F188" s="58"/>
      <c r="G188" s="58"/>
      <c r="H188" s="58"/>
      <c r="I188" s="58"/>
      <c r="J188" s="58"/>
      <c r="K188" s="58"/>
    </row>
    <row r="189" spans="1:11">
      <c r="A189" s="210"/>
      <c r="B189" s="58"/>
      <c r="C189" s="58"/>
      <c r="D189" s="58"/>
      <c r="F189" s="58"/>
      <c r="G189" s="58"/>
      <c r="H189" s="58"/>
      <c r="I189" s="58"/>
      <c r="J189" s="58"/>
      <c r="K189" s="58"/>
    </row>
    <row r="190" spans="1:11">
      <c r="A190" s="210"/>
      <c r="B190" s="58"/>
      <c r="C190" s="58"/>
      <c r="D190" s="58"/>
      <c r="F190" s="58"/>
      <c r="G190" s="58"/>
      <c r="H190" s="58"/>
      <c r="I190" s="58"/>
      <c r="J190" s="58"/>
      <c r="K190" s="58"/>
    </row>
    <row r="191" spans="1:11">
      <c r="A191" s="210"/>
      <c r="B191" s="58"/>
      <c r="C191" s="58"/>
      <c r="D191" s="58"/>
      <c r="F191" s="58"/>
      <c r="G191" s="58"/>
      <c r="H191" s="58"/>
      <c r="I191" s="58"/>
      <c r="J191" s="58"/>
      <c r="K191" s="58"/>
    </row>
    <row r="192" spans="1:11">
      <c r="A192" s="210"/>
      <c r="B192" s="58"/>
      <c r="C192" s="58"/>
      <c r="D192" s="58"/>
      <c r="F192" s="58"/>
      <c r="G192" s="58"/>
      <c r="H192" s="58"/>
      <c r="I192" s="58"/>
      <c r="J192" s="58"/>
      <c r="K192" s="58"/>
    </row>
    <row r="193" spans="1:11">
      <c r="A193" s="210"/>
      <c r="B193" s="58"/>
      <c r="C193" s="58"/>
      <c r="D193" s="58"/>
      <c r="F193" s="58"/>
      <c r="G193" s="58"/>
      <c r="H193" s="58"/>
      <c r="I193" s="58"/>
      <c r="J193" s="58"/>
      <c r="K193" s="58"/>
    </row>
    <row r="194" spans="1:11">
      <c r="A194" s="210"/>
      <c r="B194" s="58"/>
      <c r="C194" s="58"/>
      <c r="D194" s="58"/>
      <c r="F194" s="58"/>
      <c r="G194" s="58"/>
      <c r="H194" s="58"/>
      <c r="I194" s="58"/>
      <c r="J194" s="58"/>
      <c r="K194" s="58"/>
    </row>
    <row r="195" spans="1:11">
      <c r="A195" s="210"/>
      <c r="B195" s="58"/>
      <c r="C195" s="58"/>
      <c r="D195" s="58"/>
      <c r="F195" s="58"/>
      <c r="G195" s="58"/>
      <c r="H195" s="58"/>
      <c r="I195" s="58"/>
      <c r="J195" s="58"/>
      <c r="K195" s="58"/>
    </row>
    <row r="196" spans="1:11">
      <c r="A196" s="210"/>
      <c r="B196" s="58"/>
      <c r="C196" s="58"/>
      <c r="D196" s="58"/>
      <c r="F196" s="58"/>
      <c r="G196" s="58"/>
      <c r="H196" s="58"/>
      <c r="I196" s="58"/>
      <c r="J196" s="58"/>
      <c r="K196" s="58"/>
    </row>
    <row r="197" spans="1:11">
      <c r="A197" s="210"/>
      <c r="B197" s="58"/>
      <c r="C197" s="58"/>
      <c r="D197" s="58"/>
      <c r="F197" s="58"/>
      <c r="G197" s="58"/>
      <c r="H197" s="58"/>
      <c r="I197" s="58"/>
      <c r="J197" s="58"/>
      <c r="K197" s="58"/>
    </row>
    <row r="198" spans="1:11">
      <c r="A198" s="210"/>
      <c r="B198" s="58"/>
      <c r="C198" s="58"/>
      <c r="D198" s="58"/>
      <c r="F198" s="58"/>
      <c r="G198" s="58"/>
      <c r="H198" s="58"/>
      <c r="I198" s="58"/>
      <c r="J198" s="58"/>
      <c r="K198" s="58"/>
    </row>
    <row r="199" spans="1:11">
      <c r="A199" s="210"/>
      <c r="B199" s="58"/>
      <c r="C199" s="58"/>
      <c r="D199" s="58"/>
      <c r="F199" s="58"/>
      <c r="G199" s="58"/>
      <c r="H199" s="58"/>
      <c r="I199" s="58"/>
      <c r="J199" s="58"/>
      <c r="K199" s="58"/>
    </row>
    <row r="200" spans="1:11">
      <c r="A200" s="210"/>
      <c r="B200" s="58"/>
      <c r="C200" s="58"/>
      <c r="D200" s="58"/>
      <c r="F200" s="58"/>
      <c r="G200" s="58"/>
      <c r="H200" s="58"/>
      <c r="I200" s="58"/>
      <c r="J200" s="58"/>
      <c r="K200" s="58"/>
    </row>
    <row r="201" spans="1:11">
      <c r="A201" s="210"/>
      <c r="B201" s="58"/>
      <c r="C201" s="58"/>
      <c r="D201" s="58"/>
      <c r="F201" s="58"/>
      <c r="G201" s="58"/>
      <c r="H201" s="58"/>
      <c r="I201" s="58"/>
      <c r="J201" s="58"/>
      <c r="K201" s="58"/>
    </row>
    <row r="202" spans="1:11">
      <c r="A202" s="210"/>
      <c r="B202" s="58"/>
      <c r="C202" s="58"/>
      <c r="D202" s="58"/>
      <c r="F202" s="58"/>
      <c r="G202" s="58"/>
      <c r="H202" s="58"/>
      <c r="I202" s="58"/>
      <c r="J202" s="58"/>
      <c r="K202" s="58"/>
    </row>
    <row r="203" spans="1:11">
      <c r="A203" s="210"/>
      <c r="B203" s="58"/>
      <c r="C203" s="58"/>
      <c r="D203" s="58"/>
      <c r="F203" s="58"/>
      <c r="G203" s="58"/>
      <c r="H203" s="58"/>
      <c r="I203" s="58"/>
      <c r="J203" s="58"/>
      <c r="K203" s="58"/>
    </row>
    <row r="204" spans="1:11">
      <c r="A204" s="210"/>
      <c r="B204" s="58"/>
      <c r="C204" s="58"/>
      <c r="D204" s="58"/>
      <c r="F204" s="58"/>
      <c r="G204" s="58"/>
      <c r="H204" s="58"/>
      <c r="I204" s="58"/>
      <c r="J204" s="58"/>
      <c r="K204" s="58"/>
    </row>
    <row r="205" spans="1:11">
      <c r="A205" s="210"/>
      <c r="B205" s="58"/>
      <c r="C205" s="58"/>
      <c r="D205" s="58"/>
      <c r="F205" s="58"/>
      <c r="G205" s="58"/>
      <c r="H205" s="58"/>
      <c r="I205" s="58"/>
      <c r="J205" s="58"/>
      <c r="K205" s="58"/>
    </row>
    <row r="206" spans="1:11">
      <c r="A206" s="210"/>
      <c r="B206" s="58"/>
      <c r="C206" s="58"/>
      <c r="D206" s="58"/>
      <c r="F206" s="58"/>
      <c r="G206" s="58"/>
      <c r="H206" s="58"/>
      <c r="I206" s="58"/>
      <c r="J206" s="58"/>
      <c r="K206" s="58"/>
    </row>
    <row r="207" spans="1:11">
      <c r="A207" s="210"/>
      <c r="B207" s="58"/>
      <c r="C207" s="58"/>
      <c r="D207" s="58"/>
      <c r="F207" s="58"/>
      <c r="G207" s="58"/>
      <c r="H207" s="58"/>
      <c r="I207" s="58"/>
      <c r="J207" s="58"/>
      <c r="K207" s="58"/>
    </row>
    <row r="208" spans="1:11">
      <c r="A208" s="210"/>
      <c r="B208" s="58"/>
      <c r="C208" s="58"/>
      <c r="D208" s="58"/>
      <c r="F208" s="58"/>
      <c r="G208" s="58"/>
      <c r="H208" s="58"/>
      <c r="I208" s="58"/>
      <c r="J208" s="58"/>
      <c r="K208" s="58"/>
    </row>
    <row r="209" spans="1:11">
      <c r="A209" s="210"/>
      <c r="B209" s="58"/>
      <c r="C209" s="58"/>
      <c r="D209" s="58"/>
      <c r="F209" s="58"/>
      <c r="G209" s="58"/>
      <c r="H209" s="58"/>
      <c r="I209" s="58"/>
      <c r="J209" s="58"/>
      <c r="K209" s="58"/>
    </row>
    <row r="210" spans="1:11">
      <c r="A210" s="210"/>
      <c r="B210" s="58"/>
      <c r="C210" s="58"/>
      <c r="D210" s="58"/>
      <c r="F210" s="58"/>
      <c r="G210" s="58"/>
      <c r="H210" s="58"/>
      <c r="I210" s="58"/>
      <c r="J210" s="58"/>
      <c r="K210" s="58"/>
    </row>
    <row r="211" spans="1:11">
      <c r="A211" s="210"/>
      <c r="B211" s="58"/>
      <c r="C211" s="58"/>
      <c r="D211" s="58"/>
      <c r="F211" s="58"/>
      <c r="G211" s="58"/>
      <c r="H211" s="58"/>
      <c r="I211" s="58"/>
      <c r="J211" s="58"/>
      <c r="K211" s="58"/>
    </row>
    <row r="212" spans="1:11">
      <c r="A212" s="210"/>
      <c r="B212" s="58"/>
      <c r="C212" s="58"/>
      <c r="D212" s="58"/>
      <c r="F212" s="58"/>
      <c r="G212" s="58"/>
      <c r="H212" s="58"/>
      <c r="I212" s="58"/>
      <c r="J212" s="58"/>
      <c r="K212" s="58"/>
    </row>
    <row r="213" spans="1:11">
      <c r="A213" s="210"/>
      <c r="B213" s="58"/>
      <c r="C213" s="58"/>
      <c r="D213" s="58"/>
      <c r="F213" s="58"/>
      <c r="G213" s="58"/>
      <c r="H213" s="58"/>
      <c r="I213" s="58"/>
      <c r="J213" s="58"/>
      <c r="K213" s="58"/>
    </row>
    <row r="214" spans="1:11">
      <c r="A214" s="210"/>
      <c r="B214" s="58"/>
      <c r="C214" s="58"/>
      <c r="D214" s="58"/>
      <c r="F214" s="58"/>
      <c r="G214" s="58"/>
      <c r="H214" s="58"/>
      <c r="I214" s="58"/>
      <c r="J214" s="58"/>
      <c r="K214" s="58"/>
    </row>
    <row r="215" spans="1:11">
      <c r="A215" s="210"/>
      <c r="B215" s="58"/>
      <c r="C215" s="58"/>
      <c r="D215" s="58"/>
      <c r="F215" s="58"/>
      <c r="G215" s="58"/>
      <c r="H215" s="58"/>
      <c r="I215" s="58"/>
      <c r="J215" s="58"/>
      <c r="K215" s="58"/>
    </row>
    <row r="216" spans="1:11">
      <c r="A216" s="210"/>
      <c r="B216" s="58"/>
      <c r="C216" s="58"/>
      <c r="D216" s="58"/>
      <c r="F216" s="58"/>
      <c r="G216" s="58"/>
      <c r="H216" s="58"/>
      <c r="I216" s="58"/>
      <c r="J216" s="58"/>
      <c r="K216" s="58"/>
    </row>
    <row r="217" spans="1:11">
      <c r="A217" s="210"/>
      <c r="B217" s="58"/>
      <c r="C217" s="58"/>
      <c r="D217" s="58"/>
      <c r="F217" s="58"/>
      <c r="G217" s="58"/>
      <c r="H217" s="58"/>
      <c r="I217" s="58"/>
      <c r="J217" s="58"/>
      <c r="K217" s="58"/>
    </row>
    <row r="218" spans="1:11">
      <c r="A218" s="210"/>
      <c r="B218" s="58"/>
      <c r="C218" s="58"/>
      <c r="D218" s="58"/>
      <c r="F218" s="58"/>
      <c r="G218" s="58"/>
      <c r="H218" s="58"/>
      <c r="I218" s="58"/>
      <c r="J218" s="58"/>
      <c r="K218" s="58"/>
    </row>
    <row r="219" spans="1:11">
      <c r="A219" s="210"/>
      <c r="B219" s="58"/>
      <c r="C219" s="58"/>
      <c r="D219" s="58"/>
      <c r="F219" s="58"/>
      <c r="G219" s="58"/>
      <c r="H219" s="58"/>
      <c r="I219" s="58"/>
      <c r="J219" s="58"/>
      <c r="K219" s="58"/>
    </row>
    <row r="220" spans="1:11">
      <c r="A220" s="210"/>
      <c r="B220" s="58"/>
      <c r="C220" s="58"/>
      <c r="D220" s="58"/>
      <c r="F220" s="58"/>
      <c r="G220" s="58"/>
      <c r="H220" s="58"/>
      <c r="I220" s="58"/>
      <c r="J220" s="58"/>
      <c r="K220" s="58"/>
    </row>
    <row r="221" spans="1:11">
      <c r="A221" s="210"/>
      <c r="B221" s="58"/>
      <c r="C221" s="58"/>
      <c r="D221" s="58"/>
      <c r="F221" s="58"/>
      <c r="G221" s="58"/>
      <c r="H221" s="58"/>
      <c r="I221" s="58"/>
      <c r="J221" s="58"/>
      <c r="K221" s="58"/>
    </row>
    <row r="222" spans="1:11">
      <c r="A222" s="210"/>
      <c r="B222" s="58"/>
      <c r="C222" s="58"/>
      <c r="D222" s="58"/>
      <c r="F222" s="58"/>
      <c r="G222" s="58"/>
      <c r="H222" s="58"/>
      <c r="I222" s="58"/>
      <c r="J222" s="58"/>
      <c r="K222" s="58"/>
    </row>
    <row r="223" spans="1:11">
      <c r="A223" s="210"/>
      <c r="B223" s="58"/>
      <c r="C223" s="58"/>
      <c r="D223" s="58"/>
      <c r="F223" s="58"/>
      <c r="G223" s="58"/>
      <c r="H223" s="58"/>
      <c r="I223" s="58"/>
      <c r="J223" s="58"/>
      <c r="K223" s="58"/>
    </row>
    <row r="224" spans="1:11">
      <c r="A224" s="210"/>
      <c r="B224" s="58"/>
      <c r="C224" s="58"/>
      <c r="D224" s="58"/>
      <c r="F224" s="58"/>
      <c r="G224" s="58"/>
      <c r="H224" s="58"/>
      <c r="I224" s="58"/>
      <c r="J224" s="58"/>
      <c r="K224" s="58"/>
    </row>
    <row r="225" spans="1:11">
      <c r="A225" s="210"/>
      <c r="B225" s="58"/>
      <c r="C225" s="58"/>
      <c r="D225" s="58"/>
      <c r="F225" s="58"/>
      <c r="G225" s="58"/>
      <c r="H225" s="58"/>
      <c r="I225" s="58"/>
      <c r="J225" s="58"/>
      <c r="K225" s="58"/>
    </row>
    <row r="226" spans="1:11">
      <c r="A226" s="210"/>
      <c r="B226" s="58"/>
      <c r="C226" s="58"/>
      <c r="D226" s="58"/>
      <c r="F226" s="58"/>
      <c r="G226" s="58"/>
      <c r="H226" s="58"/>
      <c r="I226" s="58"/>
      <c r="J226" s="58"/>
      <c r="K226" s="58"/>
    </row>
    <row r="227" spans="1:11">
      <c r="A227" s="210"/>
      <c r="B227" s="58"/>
      <c r="C227" s="58"/>
      <c r="D227" s="58"/>
      <c r="F227" s="58"/>
      <c r="G227" s="58"/>
      <c r="H227" s="58"/>
      <c r="I227" s="58"/>
      <c r="J227" s="58"/>
      <c r="K227" s="58"/>
    </row>
    <row r="228" spans="1:11">
      <c r="A228" s="210"/>
      <c r="B228" s="58"/>
      <c r="C228" s="58"/>
      <c r="D228" s="58"/>
      <c r="F228" s="58"/>
      <c r="G228" s="58"/>
      <c r="H228" s="58"/>
      <c r="I228" s="58"/>
      <c r="J228" s="58"/>
      <c r="K228" s="58"/>
    </row>
    <row r="229" spans="1:11">
      <c r="A229" s="210"/>
      <c r="B229" s="58"/>
      <c r="C229" s="58"/>
      <c r="D229" s="58"/>
      <c r="F229" s="58"/>
      <c r="G229" s="58"/>
      <c r="H229" s="58"/>
      <c r="I229" s="58"/>
      <c r="J229" s="58"/>
      <c r="K229" s="58"/>
    </row>
    <row r="230" spans="1:11">
      <c r="A230" s="210"/>
      <c r="B230" s="58"/>
      <c r="C230" s="58"/>
      <c r="D230" s="58"/>
      <c r="F230" s="58"/>
      <c r="G230" s="58"/>
      <c r="H230" s="58"/>
      <c r="I230" s="58"/>
      <c r="J230" s="58"/>
      <c r="K230" s="58"/>
    </row>
    <row r="231" spans="1:11">
      <c r="A231" s="210"/>
      <c r="B231" s="58"/>
      <c r="C231" s="58"/>
      <c r="D231" s="58"/>
      <c r="F231" s="58"/>
      <c r="G231" s="58"/>
      <c r="H231" s="58"/>
      <c r="I231" s="58"/>
      <c r="J231" s="58"/>
      <c r="K231" s="58"/>
    </row>
    <row r="232" spans="1:11">
      <c r="A232" s="210"/>
      <c r="B232" s="58"/>
      <c r="C232" s="58"/>
      <c r="D232" s="58"/>
      <c r="F232" s="58"/>
      <c r="G232" s="58"/>
      <c r="H232" s="58"/>
      <c r="I232" s="58"/>
      <c r="J232" s="58"/>
      <c r="K232" s="58"/>
    </row>
    <row r="233" spans="1:11">
      <c r="A233" s="210"/>
      <c r="B233" s="58"/>
      <c r="C233" s="58"/>
      <c r="D233" s="58"/>
      <c r="F233" s="58"/>
      <c r="G233" s="58"/>
      <c r="H233" s="58"/>
      <c r="I233" s="58"/>
      <c r="J233" s="58"/>
      <c r="K233" s="58"/>
    </row>
    <row r="234" spans="1:11">
      <c r="A234" s="210"/>
      <c r="B234" s="58"/>
      <c r="C234" s="58"/>
      <c r="D234" s="58"/>
      <c r="F234" s="58"/>
      <c r="G234" s="58"/>
      <c r="H234" s="58"/>
      <c r="I234" s="58"/>
      <c r="J234" s="58"/>
      <c r="K234" s="58"/>
    </row>
    <row r="235" spans="1:11">
      <c r="A235" s="210"/>
      <c r="B235" s="58"/>
      <c r="C235" s="58"/>
      <c r="D235" s="58"/>
      <c r="F235" s="58"/>
      <c r="G235" s="58"/>
      <c r="H235" s="58"/>
      <c r="I235" s="58"/>
      <c r="J235" s="58"/>
      <c r="K235" s="58"/>
    </row>
    <row r="236" spans="1:11">
      <c r="A236" s="210"/>
      <c r="B236" s="58"/>
      <c r="C236" s="58"/>
      <c r="D236" s="58"/>
      <c r="F236" s="58"/>
      <c r="G236" s="58"/>
      <c r="H236" s="58"/>
      <c r="I236" s="58"/>
      <c r="J236" s="58"/>
      <c r="K236" s="58"/>
    </row>
    <row r="237" spans="1:11">
      <c r="A237" s="210"/>
      <c r="B237" s="58"/>
      <c r="C237" s="58"/>
      <c r="D237" s="58"/>
      <c r="F237" s="58"/>
      <c r="G237" s="58"/>
      <c r="H237" s="58"/>
      <c r="I237" s="58"/>
      <c r="J237" s="58"/>
      <c r="K237" s="58"/>
    </row>
    <row r="238" spans="1:11">
      <c r="A238" s="210"/>
      <c r="B238" s="58"/>
      <c r="C238" s="58"/>
      <c r="D238" s="58"/>
      <c r="F238" s="58"/>
      <c r="G238" s="58"/>
      <c r="H238" s="58"/>
      <c r="I238" s="58"/>
      <c r="J238" s="58"/>
      <c r="K238" s="58"/>
    </row>
    <row r="239" spans="1:11">
      <c r="A239" s="210"/>
      <c r="B239" s="58"/>
      <c r="C239" s="58"/>
      <c r="D239" s="58"/>
      <c r="F239" s="58"/>
      <c r="G239" s="58"/>
      <c r="H239" s="58"/>
      <c r="I239" s="58"/>
      <c r="J239" s="58"/>
      <c r="K239" s="58"/>
    </row>
    <row r="240" spans="1:11">
      <c r="A240" s="210"/>
      <c r="B240" s="58"/>
      <c r="C240" s="58"/>
      <c r="D240" s="58"/>
      <c r="F240" s="58"/>
      <c r="G240" s="58"/>
      <c r="H240" s="58"/>
      <c r="I240" s="58"/>
      <c r="J240" s="58"/>
      <c r="K240" s="58"/>
    </row>
    <row r="241" spans="1:11">
      <c r="A241" s="210"/>
      <c r="B241" s="58"/>
      <c r="C241" s="58"/>
      <c r="D241" s="58"/>
      <c r="F241" s="58"/>
      <c r="G241" s="58"/>
      <c r="H241" s="58"/>
      <c r="I241" s="58"/>
      <c r="J241" s="58"/>
      <c r="K241" s="58"/>
    </row>
    <row r="242" spans="1:11">
      <c r="A242" s="210"/>
      <c r="B242" s="58"/>
      <c r="C242" s="58"/>
      <c r="D242" s="58"/>
      <c r="F242" s="58"/>
      <c r="G242" s="58"/>
      <c r="H242" s="58"/>
      <c r="I242" s="58"/>
      <c r="J242" s="58"/>
      <c r="K242" s="58"/>
    </row>
    <row r="243" spans="1:11">
      <c r="A243" s="210"/>
      <c r="B243" s="58"/>
      <c r="C243" s="58"/>
      <c r="D243" s="58"/>
      <c r="F243" s="58"/>
      <c r="G243" s="58"/>
      <c r="H243" s="58"/>
      <c r="I243" s="58"/>
      <c r="J243" s="58"/>
      <c r="K243" s="58"/>
    </row>
    <row r="244" spans="1:11">
      <c r="A244" s="210"/>
      <c r="B244" s="58"/>
      <c r="C244" s="58"/>
      <c r="D244" s="58"/>
      <c r="F244" s="58"/>
      <c r="G244" s="58"/>
      <c r="H244" s="58"/>
      <c r="I244" s="58"/>
      <c r="J244" s="58"/>
      <c r="K244" s="58"/>
    </row>
    <row r="245" spans="1:11">
      <c r="A245" s="210"/>
      <c r="B245" s="58"/>
      <c r="C245" s="58"/>
      <c r="D245" s="58"/>
      <c r="F245" s="58"/>
      <c r="G245" s="58"/>
      <c r="H245" s="58"/>
      <c r="I245" s="58"/>
      <c r="J245" s="58"/>
      <c r="K245" s="58"/>
    </row>
    <row r="246" spans="1:11">
      <c r="A246" s="210"/>
      <c r="B246" s="58"/>
      <c r="C246" s="58"/>
      <c r="D246" s="58"/>
      <c r="F246" s="58"/>
      <c r="G246" s="58"/>
      <c r="H246" s="58"/>
      <c r="I246" s="58"/>
      <c r="J246" s="58"/>
      <c r="K246" s="58"/>
    </row>
    <row r="247" spans="1:11">
      <c r="A247" s="210"/>
      <c r="B247" s="58"/>
      <c r="C247" s="58"/>
      <c r="D247" s="58"/>
      <c r="F247" s="58"/>
      <c r="G247" s="58"/>
      <c r="H247" s="58"/>
      <c r="I247" s="58"/>
      <c r="J247" s="58"/>
      <c r="K247" s="58"/>
    </row>
    <row r="248" spans="1:11">
      <c r="A248" s="210"/>
      <c r="B248" s="58"/>
      <c r="C248" s="58"/>
      <c r="D248" s="58"/>
      <c r="F248" s="58"/>
      <c r="G248" s="58"/>
      <c r="H248" s="58"/>
      <c r="I248" s="58"/>
      <c r="J248" s="58"/>
      <c r="K248" s="58"/>
    </row>
    <row r="249" spans="1:11">
      <c r="A249" s="210"/>
      <c r="B249" s="58"/>
      <c r="C249" s="58"/>
      <c r="D249" s="58"/>
      <c r="F249" s="58"/>
      <c r="G249" s="58"/>
      <c r="H249" s="58"/>
      <c r="I249" s="58"/>
      <c r="J249" s="58"/>
      <c r="K249" s="58"/>
    </row>
    <row r="250" spans="1:11">
      <c r="A250" s="210"/>
      <c r="B250" s="58"/>
      <c r="C250" s="58"/>
      <c r="D250" s="58"/>
      <c r="F250" s="58"/>
      <c r="G250" s="58"/>
      <c r="H250" s="58"/>
      <c r="I250" s="58"/>
      <c r="J250" s="58"/>
      <c r="K250" s="58"/>
    </row>
    <row r="251" spans="1:11">
      <c r="A251" s="210"/>
      <c r="B251" s="58"/>
      <c r="C251" s="58"/>
      <c r="D251" s="58"/>
      <c r="F251" s="58"/>
      <c r="G251" s="58"/>
      <c r="H251" s="58"/>
      <c r="I251" s="58"/>
      <c r="J251" s="58"/>
      <c r="K251" s="58"/>
    </row>
    <row r="252" spans="1:11">
      <c r="A252" s="210"/>
      <c r="B252" s="58"/>
      <c r="C252" s="58"/>
      <c r="D252" s="58"/>
      <c r="F252" s="58"/>
      <c r="G252" s="58"/>
      <c r="H252" s="58"/>
      <c r="I252" s="58"/>
      <c r="J252" s="58"/>
      <c r="K252" s="58"/>
    </row>
    <row r="253" spans="1:11">
      <c r="A253" s="210"/>
      <c r="B253" s="58"/>
      <c r="C253" s="58"/>
      <c r="D253" s="58"/>
      <c r="F253" s="58"/>
      <c r="G253" s="58"/>
      <c r="H253" s="58"/>
      <c r="I253" s="58"/>
      <c r="J253" s="58"/>
      <c r="K253" s="58"/>
    </row>
    <row r="254" spans="1:11">
      <c r="A254" s="210"/>
      <c r="B254" s="58"/>
      <c r="C254" s="58"/>
      <c r="D254" s="58"/>
      <c r="F254" s="58"/>
      <c r="G254" s="58"/>
      <c r="H254" s="58"/>
      <c r="I254" s="58"/>
      <c r="J254" s="58"/>
      <c r="K254" s="58"/>
    </row>
    <row r="255" spans="1:11">
      <c r="A255" s="210"/>
      <c r="B255" s="58"/>
      <c r="C255" s="58"/>
      <c r="D255" s="58"/>
      <c r="F255" s="58"/>
      <c r="G255" s="58"/>
      <c r="H255" s="58"/>
      <c r="I255" s="58"/>
      <c r="J255" s="58"/>
      <c r="K255" s="58"/>
    </row>
    <row r="256" spans="1:11">
      <c r="A256" s="210"/>
      <c r="B256" s="58"/>
      <c r="C256" s="58"/>
      <c r="D256" s="58"/>
      <c r="F256" s="58"/>
      <c r="G256" s="58"/>
      <c r="H256" s="58"/>
      <c r="I256" s="58"/>
      <c r="J256" s="58"/>
      <c r="K256" s="58"/>
    </row>
    <row r="257" spans="1:11">
      <c r="A257" s="210"/>
      <c r="B257" s="58"/>
      <c r="C257" s="58"/>
      <c r="D257" s="58"/>
      <c r="F257" s="58"/>
      <c r="G257" s="58"/>
      <c r="H257" s="58"/>
      <c r="I257" s="58"/>
      <c r="J257" s="58"/>
      <c r="K257" s="58"/>
    </row>
    <row r="258" spans="1:11">
      <c r="A258" s="210"/>
      <c r="B258" s="58"/>
      <c r="C258" s="58"/>
      <c r="D258" s="58"/>
      <c r="F258" s="58"/>
      <c r="G258" s="58"/>
      <c r="H258" s="58"/>
      <c r="I258" s="58"/>
      <c r="J258" s="58"/>
      <c r="K258" s="58"/>
    </row>
    <row r="259" spans="1:11">
      <c r="A259" s="210"/>
      <c r="B259" s="58"/>
      <c r="C259" s="58"/>
      <c r="D259" s="58"/>
      <c r="F259" s="58"/>
      <c r="G259" s="58"/>
      <c r="H259" s="58"/>
      <c r="I259" s="58"/>
      <c r="J259" s="58"/>
      <c r="K259" s="58"/>
    </row>
    <row r="260" spans="1:11">
      <c r="A260" s="210"/>
      <c r="B260" s="58"/>
      <c r="C260" s="58"/>
      <c r="D260" s="58"/>
      <c r="F260" s="58"/>
      <c r="G260" s="58"/>
      <c r="H260" s="58"/>
      <c r="I260" s="58"/>
      <c r="J260" s="58"/>
      <c r="K260" s="58"/>
    </row>
    <row r="261" spans="1:11">
      <c r="A261" s="210"/>
      <c r="B261" s="58"/>
      <c r="C261" s="58"/>
      <c r="D261" s="58"/>
      <c r="F261" s="58"/>
      <c r="G261" s="58"/>
      <c r="H261" s="58"/>
      <c r="I261" s="58"/>
      <c r="J261" s="58"/>
      <c r="K261" s="58"/>
    </row>
    <row r="262" spans="1:11">
      <c r="A262" s="210"/>
      <c r="B262" s="58"/>
      <c r="C262" s="58"/>
      <c r="D262" s="58"/>
      <c r="F262" s="58"/>
      <c r="G262" s="58"/>
      <c r="H262" s="58"/>
      <c r="I262" s="58"/>
      <c r="J262" s="58"/>
      <c r="K262" s="58"/>
    </row>
    <row r="263" spans="1:11">
      <c r="A263" s="210"/>
      <c r="B263" s="58"/>
      <c r="C263" s="58"/>
      <c r="D263" s="58"/>
      <c r="F263" s="58"/>
      <c r="G263" s="58"/>
      <c r="H263" s="58"/>
      <c r="I263" s="58"/>
      <c r="J263" s="58"/>
      <c r="K263" s="58"/>
    </row>
    <row r="264" spans="1:11">
      <c r="A264" s="210"/>
      <c r="B264" s="58"/>
      <c r="C264" s="58"/>
      <c r="D264" s="58"/>
      <c r="F264" s="58"/>
      <c r="G264" s="58"/>
      <c r="H264" s="58"/>
      <c r="I264" s="58"/>
      <c r="J264" s="58"/>
      <c r="K264" s="58"/>
    </row>
    <row r="265" spans="1:11">
      <c r="A265" s="210"/>
      <c r="B265" s="58"/>
      <c r="C265" s="58"/>
      <c r="D265" s="58"/>
      <c r="F265" s="58"/>
      <c r="G265" s="58"/>
      <c r="H265" s="58"/>
      <c r="I265" s="58"/>
      <c r="J265" s="58"/>
      <c r="K265" s="58"/>
    </row>
    <row r="266" spans="1:11">
      <c r="A266" s="210"/>
      <c r="B266" s="58"/>
      <c r="C266" s="58"/>
      <c r="D266" s="58"/>
      <c r="F266" s="58"/>
      <c r="G266" s="58"/>
      <c r="H266" s="58"/>
      <c r="I266" s="58"/>
      <c r="J266" s="58"/>
      <c r="K266" s="58"/>
    </row>
    <row r="267" spans="1:11">
      <c r="A267" s="210"/>
      <c r="B267" s="58"/>
      <c r="C267" s="58"/>
      <c r="D267" s="58"/>
      <c r="F267" s="58"/>
      <c r="G267" s="58"/>
      <c r="H267" s="58"/>
      <c r="I267" s="58"/>
      <c r="J267" s="58"/>
      <c r="K267" s="58"/>
    </row>
    <row r="268" spans="1:11">
      <c r="A268" s="210"/>
      <c r="B268" s="58"/>
      <c r="C268" s="58"/>
      <c r="D268" s="58"/>
      <c r="F268" s="58"/>
      <c r="G268" s="58"/>
      <c r="H268" s="58"/>
      <c r="I268" s="58"/>
      <c r="J268" s="58"/>
      <c r="K268" s="58"/>
    </row>
    <row r="269" spans="1:11">
      <c r="A269" s="210"/>
      <c r="B269" s="58"/>
      <c r="C269" s="58"/>
      <c r="D269" s="58"/>
      <c r="F269" s="58"/>
      <c r="G269" s="58"/>
      <c r="H269" s="58"/>
      <c r="I269" s="58"/>
      <c r="J269" s="58"/>
      <c r="K269" s="58"/>
    </row>
    <row r="270" spans="1:11">
      <c r="A270" s="210"/>
      <c r="B270" s="58"/>
      <c r="C270" s="58"/>
      <c r="D270" s="58"/>
      <c r="F270" s="58"/>
      <c r="G270" s="58"/>
      <c r="H270" s="58"/>
      <c r="I270" s="58"/>
      <c r="J270" s="58"/>
      <c r="K270" s="58"/>
    </row>
    <row r="271" spans="1:11">
      <c r="A271" s="210"/>
      <c r="B271" s="58"/>
      <c r="C271" s="58"/>
      <c r="D271" s="58"/>
      <c r="F271" s="58"/>
      <c r="G271" s="58"/>
      <c r="H271" s="58"/>
      <c r="I271" s="58"/>
      <c r="J271" s="58"/>
      <c r="K271" s="58"/>
    </row>
    <row r="272" spans="1:11">
      <c r="A272" s="210"/>
      <c r="B272" s="58"/>
      <c r="C272" s="58"/>
      <c r="D272" s="58"/>
      <c r="F272" s="58"/>
      <c r="G272" s="58"/>
      <c r="H272" s="58"/>
      <c r="I272" s="58"/>
      <c r="J272" s="58"/>
      <c r="K272" s="58"/>
    </row>
    <row r="273" spans="1:11">
      <c r="A273" s="210"/>
      <c r="B273" s="58"/>
      <c r="C273" s="58"/>
      <c r="D273" s="58"/>
      <c r="F273" s="58"/>
      <c r="G273" s="58"/>
      <c r="H273" s="58"/>
      <c r="I273" s="58"/>
      <c r="J273" s="58"/>
      <c r="K273" s="58"/>
    </row>
    <row r="274" spans="1:11">
      <c r="A274" s="210"/>
      <c r="B274" s="58"/>
      <c r="C274" s="58"/>
      <c r="D274" s="58"/>
      <c r="F274" s="58"/>
      <c r="G274" s="58"/>
      <c r="H274" s="58"/>
      <c r="I274" s="58"/>
      <c r="J274" s="58"/>
      <c r="K274" s="58"/>
    </row>
    <row r="275" spans="1:11">
      <c r="A275" s="210"/>
      <c r="B275" s="58"/>
      <c r="C275" s="58"/>
      <c r="D275" s="58"/>
      <c r="F275" s="58"/>
      <c r="G275" s="58"/>
      <c r="H275" s="58"/>
      <c r="I275" s="58"/>
      <c r="J275" s="58"/>
      <c r="K275" s="58"/>
    </row>
    <row r="276" spans="1:11">
      <c r="A276" s="210"/>
      <c r="B276" s="58"/>
      <c r="C276" s="58"/>
      <c r="D276" s="58"/>
      <c r="F276" s="58"/>
      <c r="G276" s="58"/>
      <c r="H276" s="58"/>
      <c r="I276" s="58"/>
      <c r="J276" s="58"/>
      <c r="K276" s="58"/>
    </row>
    <row r="277" spans="1:11">
      <c r="A277" s="210"/>
      <c r="B277" s="58"/>
      <c r="C277" s="58"/>
      <c r="D277" s="58"/>
      <c r="F277" s="58"/>
      <c r="G277" s="58"/>
      <c r="H277" s="58"/>
      <c r="I277" s="58"/>
      <c r="J277" s="58"/>
      <c r="K277" s="58"/>
    </row>
    <row r="278" spans="1:11">
      <c r="A278" s="210"/>
      <c r="B278" s="58"/>
      <c r="C278" s="58"/>
      <c r="D278" s="58"/>
      <c r="F278" s="58"/>
      <c r="G278" s="58"/>
      <c r="H278" s="58"/>
      <c r="I278" s="58"/>
      <c r="J278" s="58"/>
      <c r="K278" s="58"/>
    </row>
    <row r="279" spans="1:11">
      <c r="A279" s="210"/>
      <c r="B279" s="58"/>
      <c r="C279" s="58"/>
      <c r="D279" s="58"/>
      <c r="F279" s="58"/>
      <c r="G279" s="58"/>
      <c r="H279" s="58"/>
      <c r="I279" s="58"/>
      <c r="J279" s="58"/>
      <c r="K279" s="58"/>
    </row>
    <row r="280" spans="1:11">
      <c r="A280" s="210"/>
      <c r="B280" s="58"/>
      <c r="C280" s="58"/>
      <c r="D280" s="58"/>
      <c r="F280" s="58"/>
      <c r="G280" s="58"/>
      <c r="H280" s="58"/>
      <c r="I280" s="58"/>
      <c r="J280" s="58"/>
      <c r="K280" s="58"/>
    </row>
    <row r="281" spans="1:11">
      <c r="A281" s="210"/>
      <c r="B281" s="58"/>
      <c r="C281" s="58"/>
      <c r="D281" s="58"/>
      <c r="F281" s="58"/>
      <c r="G281" s="58"/>
      <c r="H281" s="58"/>
      <c r="I281" s="58"/>
      <c r="J281" s="58"/>
      <c r="K281" s="58"/>
    </row>
    <row r="282" spans="1:11">
      <c r="A282" s="210"/>
      <c r="B282" s="58"/>
      <c r="C282" s="58"/>
      <c r="D282" s="58"/>
      <c r="F282" s="58"/>
      <c r="G282" s="58"/>
      <c r="H282" s="58"/>
      <c r="I282" s="58"/>
      <c r="J282" s="58"/>
      <c r="K282" s="58"/>
    </row>
    <row r="283" spans="1:11">
      <c r="A283" s="210"/>
      <c r="B283" s="58"/>
      <c r="C283" s="58"/>
      <c r="D283" s="58"/>
      <c r="F283" s="58"/>
      <c r="G283" s="58"/>
      <c r="H283" s="58"/>
      <c r="I283" s="58"/>
      <c r="J283" s="58"/>
      <c r="K283" s="58"/>
    </row>
    <row r="284" spans="1:11">
      <c r="A284" s="210"/>
      <c r="B284" s="58"/>
      <c r="C284" s="58"/>
      <c r="D284" s="58"/>
      <c r="F284" s="58"/>
      <c r="G284" s="58"/>
      <c r="H284" s="58"/>
      <c r="I284" s="58"/>
      <c r="J284" s="58"/>
      <c r="K284" s="58"/>
    </row>
    <row r="285" spans="1:11">
      <c r="A285" s="210"/>
      <c r="B285" s="58"/>
      <c r="C285" s="58"/>
      <c r="D285" s="58"/>
      <c r="F285" s="58"/>
      <c r="G285" s="58"/>
      <c r="H285" s="58"/>
      <c r="I285" s="58"/>
      <c r="J285" s="58"/>
      <c r="K285" s="58"/>
    </row>
    <row r="286" spans="1:11">
      <c r="A286" s="210"/>
      <c r="B286" s="58"/>
      <c r="C286" s="58"/>
      <c r="D286" s="58"/>
      <c r="F286" s="58"/>
      <c r="G286" s="58"/>
      <c r="H286" s="58"/>
      <c r="I286" s="58"/>
      <c r="J286" s="58"/>
      <c r="K286" s="58"/>
    </row>
    <row r="287" spans="1:11">
      <c r="A287" s="210"/>
      <c r="B287" s="58"/>
      <c r="C287" s="58"/>
      <c r="D287" s="58"/>
      <c r="F287" s="58"/>
      <c r="G287" s="58"/>
      <c r="H287" s="58"/>
      <c r="I287" s="58"/>
      <c r="J287" s="58"/>
      <c r="K287" s="58"/>
    </row>
    <row r="288" spans="1:11">
      <c r="A288" s="210"/>
      <c r="B288" s="58"/>
      <c r="C288" s="58"/>
      <c r="D288" s="58"/>
      <c r="F288" s="58"/>
      <c r="G288" s="58"/>
      <c r="H288" s="58"/>
      <c r="I288" s="58"/>
      <c r="J288" s="58"/>
      <c r="K288" s="58"/>
    </row>
    <row r="289" spans="1:11">
      <c r="A289" s="210"/>
      <c r="B289" s="58"/>
      <c r="C289" s="58"/>
      <c r="D289" s="58"/>
      <c r="F289" s="58"/>
      <c r="G289" s="58"/>
      <c r="H289" s="58"/>
      <c r="I289" s="58"/>
      <c r="J289" s="58"/>
      <c r="K289" s="58"/>
    </row>
    <row r="290" spans="1:11">
      <c r="A290" s="210"/>
      <c r="B290" s="58"/>
      <c r="C290" s="58"/>
      <c r="D290" s="58"/>
      <c r="F290" s="58"/>
      <c r="G290" s="58"/>
      <c r="H290" s="58"/>
      <c r="I290" s="58"/>
      <c r="J290" s="58"/>
      <c r="K290" s="58"/>
    </row>
    <row r="291" spans="1:11">
      <c r="A291" s="210"/>
      <c r="B291" s="58"/>
      <c r="C291" s="58"/>
      <c r="D291" s="58"/>
      <c r="F291" s="58"/>
      <c r="G291" s="58"/>
      <c r="H291" s="58"/>
      <c r="I291" s="58"/>
      <c r="J291" s="58"/>
      <c r="K291" s="58"/>
    </row>
    <row r="292" spans="1:11">
      <c r="A292" s="210"/>
      <c r="B292" s="58"/>
      <c r="C292" s="58"/>
      <c r="D292" s="58"/>
      <c r="F292" s="58"/>
      <c r="G292" s="58"/>
      <c r="H292" s="58"/>
      <c r="I292" s="58"/>
      <c r="J292" s="58"/>
      <c r="K292" s="58"/>
    </row>
    <row r="293" spans="1:11">
      <c r="A293" s="210"/>
      <c r="B293" s="58"/>
      <c r="C293" s="58"/>
      <c r="D293" s="58"/>
      <c r="F293" s="58"/>
      <c r="G293" s="58"/>
      <c r="H293" s="58"/>
      <c r="I293" s="58"/>
      <c r="J293" s="58"/>
      <c r="K293" s="58"/>
    </row>
    <row r="294" spans="1:11">
      <c r="A294" s="210"/>
      <c r="B294" s="58"/>
      <c r="C294" s="58"/>
      <c r="D294" s="58"/>
      <c r="F294" s="58"/>
      <c r="G294" s="58"/>
      <c r="H294" s="58"/>
      <c r="I294" s="58"/>
      <c r="J294" s="58"/>
      <c r="K294" s="58"/>
    </row>
    <row r="295" spans="1:11">
      <c r="A295" s="210"/>
      <c r="B295" s="58"/>
      <c r="C295" s="58"/>
      <c r="D295" s="58"/>
      <c r="F295" s="58"/>
      <c r="G295" s="58"/>
      <c r="H295" s="58"/>
      <c r="I295" s="58"/>
      <c r="J295" s="58"/>
      <c r="K295" s="58"/>
    </row>
    <row r="296" spans="1:11">
      <c r="A296" s="210"/>
      <c r="B296" s="58"/>
      <c r="C296" s="58"/>
      <c r="D296" s="58"/>
      <c r="F296" s="58"/>
      <c r="G296" s="58"/>
      <c r="H296" s="58"/>
      <c r="I296" s="58"/>
      <c r="J296" s="58"/>
      <c r="K296" s="58"/>
    </row>
    <row r="297" spans="1:11">
      <c r="A297" s="210"/>
      <c r="B297" s="58"/>
      <c r="C297" s="58"/>
      <c r="D297" s="58"/>
      <c r="F297" s="58"/>
      <c r="G297" s="58"/>
      <c r="H297" s="58"/>
      <c r="I297" s="58"/>
      <c r="J297" s="58"/>
      <c r="K297" s="58"/>
    </row>
    <row r="298" spans="1:11">
      <c r="A298" s="210"/>
      <c r="B298" s="58"/>
      <c r="C298" s="58"/>
      <c r="D298" s="58"/>
      <c r="F298" s="58"/>
      <c r="G298" s="58"/>
      <c r="H298" s="58"/>
      <c r="I298" s="58"/>
      <c r="J298" s="58"/>
      <c r="K298" s="58"/>
    </row>
    <row r="299" spans="1:11">
      <c r="A299" s="210"/>
      <c r="B299" s="58"/>
      <c r="C299" s="58"/>
      <c r="D299" s="58"/>
      <c r="F299" s="58"/>
      <c r="G299" s="58"/>
      <c r="H299" s="58"/>
      <c r="I299" s="58"/>
      <c r="J299" s="58"/>
      <c r="K299" s="58"/>
    </row>
    <row r="300" spans="1:11">
      <c r="A300" s="210"/>
      <c r="B300" s="58"/>
      <c r="C300" s="58"/>
      <c r="D300" s="58"/>
      <c r="F300" s="58"/>
      <c r="G300" s="58"/>
      <c r="H300" s="58"/>
      <c r="I300" s="58"/>
      <c r="J300" s="58"/>
      <c r="K300" s="58"/>
    </row>
    <row r="301" spans="1:11">
      <c r="A301" s="210"/>
      <c r="B301" s="58"/>
      <c r="C301" s="58"/>
      <c r="D301" s="58"/>
      <c r="F301" s="58"/>
      <c r="G301" s="58"/>
      <c r="H301" s="58"/>
      <c r="I301" s="58"/>
      <c r="J301" s="58"/>
      <c r="K301" s="58"/>
    </row>
    <row r="302" spans="1:11">
      <c r="A302" s="210"/>
      <c r="B302" s="58"/>
      <c r="C302" s="58"/>
      <c r="D302" s="58"/>
      <c r="F302" s="58"/>
      <c r="G302" s="58"/>
      <c r="H302" s="58"/>
      <c r="I302" s="58"/>
      <c r="J302" s="58"/>
      <c r="K302" s="58"/>
    </row>
    <row r="303" spans="1:11">
      <c r="A303" s="210"/>
      <c r="B303" s="58"/>
      <c r="C303" s="58"/>
      <c r="D303" s="58"/>
      <c r="F303" s="58"/>
      <c r="G303" s="58"/>
      <c r="H303" s="58"/>
      <c r="I303" s="58"/>
      <c r="J303" s="58"/>
      <c r="K303" s="58"/>
    </row>
    <row r="304" spans="1:11">
      <c r="A304" s="210"/>
      <c r="B304" s="58"/>
      <c r="C304" s="58"/>
      <c r="D304" s="58"/>
      <c r="F304" s="58"/>
      <c r="G304" s="58"/>
      <c r="H304" s="58"/>
      <c r="I304" s="58"/>
      <c r="J304" s="58"/>
      <c r="K304" s="58"/>
    </row>
    <row r="305" spans="1:11">
      <c r="A305" s="210"/>
      <c r="B305" s="58"/>
      <c r="C305" s="58"/>
      <c r="D305" s="58"/>
      <c r="F305" s="58"/>
      <c r="G305" s="58"/>
      <c r="H305" s="58"/>
      <c r="I305" s="58"/>
      <c r="J305" s="58"/>
      <c r="K305" s="58"/>
    </row>
    <row r="306" spans="1:11">
      <c r="A306" s="210"/>
      <c r="B306" s="58"/>
      <c r="C306" s="58"/>
      <c r="D306" s="58"/>
      <c r="F306" s="58"/>
      <c r="G306" s="58"/>
      <c r="H306" s="58"/>
      <c r="I306" s="58"/>
      <c r="J306" s="58"/>
      <c r="K306" s="58"/>
    </row>
    <row r="307" spans="1:11">
      <c r="A307" s="210"/>
      <c r="B307" s="58"/>
      <c r="C307" s="58"/>
      <c r="D307" s="58"/>
      <c r="F307" s="58"/>
      <c r="G307" s="58"/>
      <c r="H307" s="58"/>
      <c r="I307" s="58"/>
      <c r="J307" s="58"/>
      <c r="K307" s="58"/>
    </row>
    <row r="308" spans="1:11">
      <c r="A308" s="210"/>
      <c r="B308" s="58"/>
      <c r="C308" s="58"/>
      <c r="D308" s="58"/>
      <c r="F308" s="58"/>
      <c r="G308" s="58"/>
      <c r="H308" s="58"/>
      <c r="I308" s="58"/>
      <c r="J308" s="58"/>
      <c r="K308" s="58"/>
    </row>
    <row r="309" spans="1:11">
      <c r="A309" s="210"/>
      <c r="B309" s="58"/>
      <c r="C309" s="58"/>
      <c r="D309" s="58"/>
      <c r="F309" s="58"/>
      <c r="G309" s="58"/>
      <c r="H309" s="58"/>
      <c r="I309" s="58"/>
      <c r="J309" s="58"/>
      <c r="K309" s="58"/>
    </row>
    <row r="310" spans="1:11">
      <c r="A310" s="210"/>
      <c r="B310" s="58"/>
      <c r="C310" s="58"/>
      <c r="D310" s="58"/>
      <c r="F310" s="58"/>
      <c r="G310" s="58"/>
      <c r="H310" s="58"/>
      <c r="I310" s="58"/>
      <c r="J310" s="58"/>
      <c r="K310" s="58"/>
    </row>
    <row r="311" spans="1:11">
      <c r="A311" s="210"/>
      <c r="B311" s="58"/>
      <c r="C311" s="58"/>
      <c r="D311" s="58"/>
      <c r="F311" s="58"/>
      <c r="G311" s="58"/>
      <c r="H311" s="58"/>
      <c r="I311" s="58"/>
      <c r="J311" s="58"/>
      <c r="K311" s="58"/>
    </row>
    <row r="312" spans="1:11">
      <c r="A312" s="210"/>
      <c r="B312" s="58"/>
      <c r="C312" s="58"/>
      <c r="D312" s="58"/>
      <c r="F312" s="58"/>
      <c r="G312" s="58"/>
      <c r="H312" s="58"/>
      <c r="I312" s="58"/>
      <c r="J312" s="58"/>
      <c r="K312" s="58"/>
    </row>
    <row r="313" spans="1:11">
      <c r="A313" s="210"/>
      <c r="B313" s="58"/>
      <c r="C313" s="58"/>
      <c r="D313" s="58"/>
      <c r="F313" s="58"/>
      <c r="G313" s="58"/>
      <c r="H313" s="58"/>
      <c r="I313" s="58"/>
      <c r="J313" s="58"/>
      <c r="K313" s="58"/>
    </row>
    <row r="314" spans="1:11">
      <c r="A314" s="210"/>
      <c r="B314" s="58"/>
      <c r="C314" s="58"/>
      <c r="D314" s="58"/>
      <c r="F314" s="58"/>
      <c r="G314" s="58"/>
      <c r="H314" s="58"/>
      <c r="I314" s="58"/>
      <c r="J314" s="58"/>
      <c r="K314" s="58"/>
    </row>
    <row r="315" spans="1:11">
      <c r="A315" s="210"/>
      <c r="B315" s="58"/>
      <c r="C315" s="58"/>
      <c r="D315" s="58"/>
      <c r="F315" s="58"/>
      <c r="G315" s="58"/>
      <c r="H315" s="58"/>
      <c r="I315" s="58"/>
      <c r="J315" s="58"/>
      <c r="K315" s="58"/>
    </row>
    <row r="316" spans="1:11">
      <c r="A316" s="210"/>
      <c r="B316" s="58"/>
      <c r="C316" s="58"/>
      <c r="D316" s="58"/>
      <c r="F316" s="58"/>
      <c r="G316" s="58"/>
      <c r="H316" s="58"/>
      <c r="I316" s="58"/>
      <c r="J316" s="58"/>
      <c r="K316" s="58"/>
    </row>
    <row r="317" spans="1:11">
      <c r="A317" s="210"/>
      <c r="B317" s="58"/>
      <c r="C317" s="58"/>
      <c r="D317" s="58"/>
      <c r="F317" s="58"/>
      <c r="G317" s="58"/>
      <c r="H317" s="58"/>
      <c r="I317" s="58"/>
      <c r="J317" s="58"/>
      <c r="K317" s="58"/>
    </row>
    <row r="318" spans="1:11">
      <c r="A318" s="210"/>
      <c r="B318" s="58"/>
      <c r="C318" s="58"/>
      <c r="D318" s="58"/>
      <c r="F318" s="58"/>
      <c r="G318" s="58"/>
      <c r="H318" s="58"/>
      <c r="I318" s="58"/>
      <c r="J318" s="58"/>
      <c r="K318" s="58"/>
    </row>
    <row r="319" spans="1:11">
      <c r="A319" s="210"/>
      <c r="B319" s="58"/>
      <c r="C319" s="58"/>
      <c r="D319" s="58"/>
      <c r="F319" s="58"/>
      <c r="G319" s="58"/>
      <c r="H319" s="58"/>
      <c r="I319" s="58"/>
      <c r="J319" s="58"/>
      <c r="K319" s="58"/>
    </row>
    <row r="320" spans="1:11">
      <c r="A320" s="210"/>
      <c r="B320" s="58"/>
      <c r="C320" s="58"/>
      <c r="D320" s="58"/>
      <c r="F320" s="58"/>
      <c r="G320" s="58"/>
      <c r="H320" s="58"/>
      <c r="I320" s="58"/>
      <c r="J320" s="58"/>
      <c r="K320" s="58"/>
    </row>
    <row r="321" spans="1:11">
      <c r="A321" s="210"/>
      <c r="B321" s="58"/>
      <c r="C321" s="58"/>
      <c r="D321" s="58"/>
      <c r="F321" s="58"/>
      <c r="G321" s="58"/>
      <c r="H321" s="58"/>
      <c r="I321" s="58"/>
      <c r="J321" s="58"/>
      <c r="K321" s="58"/>
    </row>
    <row r="322" spans="1:11">
      <c r="A322" s="210"/>
      <c r="B322" s="58"/>
      <c r="C322" s="58"/>
      <c r="D322" s="58"/>
      <c r="F322" s="58"/>
      <c r="G322" s="58"/>
      <c r="H322" s="58"/>
      <c r="I322" s="58"/>
      <c r="J322" s="58"/>
      <c r="K322" s="58"/>
    </row>
    <row r="323" spans="1:11">
      <c r="A323" s="210"/>
      <c r="B323" s="58"/>
      <c r="C323" s="58"/>
      <c r="D323" s="58"/>
      <c r="F323" s="58"/>
      <c r="G323" s="58"/>
      <c r="H323" s="58"/>
      <c r="I323" s="58"/>
      <c r="J323" s="58"/>
      <c r="K323" s="58"/>
    </row>
    <row r="324" spans="1:11">
      <c r="A324" s="210"/>
      <c r="B324" s="58"/>
      <c r="C324" s="58"/>
      <c r="D324" s="58"/>
      <c r="F324" s="58"/>
      <c r="G324" s="58"/>
      <c r="H324" s="58"/>
      <c r="I324" s="58"/>
      <c r="J324" s="58"/>
      <c r="K324" s="58"/>
    </row>
    <row r="325" spans="1:11">
      <c r="A325" s="210"/>
      <c r="B325" s="58"/>
      <c r="C325" s="58"/>
      <c r="D325" s="58"/>
      <c r="F325" s="58"/>
      <c r="G325" s="58"/>
      <c r="H325" s="58"/>
      <c r="I325" s="58"/>
      <c r="J325" s="58"/>
      <c r="K325" s="58"/>
    </row>
    <row r="326" spans="1:11">
      <c r="A326" s="210"/>
      <c r="B326" s="58"/>
      <c r="C326" s="58"/>
      <c r="D326" s="58"/>
      <c r="F326" s="58"/>
      <c r="G326" s="58"/>
      <c r="H326" s="58"/>
      <c r="I326" s="58"/>
      <c r="J326" s="58"/>
      <c r="K326" s="58"/>
    </row>
    <row r="327" spans="1:11">
      <c r="A327" s="210"/>
      <c r="B327" s="58"/>
      <c r="C327" s="58"/>
      <c r="D327" s="58"/>
      <c r="F327" s="58"/>
      <c r="G327" s="58"/>
      <c r="H327" s="58"/>
      <c r="I327" s="58"/>
      <c r="J327" s="58"/>
      <c r="K327" s="58"/>
    </row>
    <row r="328" spans="1:11">
      <c r="A328" s="210"/>
      <c r="B328" s="58"/>
      <c r="C328" s="58"/>
      <c r="D328" s="58"/>
      <c r="F328" s="58"/>
      <c r="G328" s="58"/>
      <c r="H328" s="58"/>
      <c r="I328" s="58"/>
      <c r="J328" s="58"/>
      <c r="K328" s="58"/>
    </row>
    <row r="329" spans="1:11">
      <c r="A329" s="210"/>
      <c r="B329" s="58"/>
      <c r="C329" s="58"/>
      <c r="D329" s="58"/>
      <c r="F329" s="58"/>
      <c r="G329" s="58"/>
      <c r="H329" s="58"/>
      <c r="I329" s="58"/>
      <c r="J329" s="58"/>
      <c r="K329" s="58"/>
    </row>
    <row r="330" spans="1:11">
      <c r="A330" s="210"/>
      <c r="B330" s="58"/>
      <c r="C330" s="58"/>
      <c r="D330" s="58"/>
      <c r="F330" s="58"/>
      <c r="G330" s="58"/>
      <c r="H330" s="58"/>
      <c r="I330" s="58"/>
      <c r="J330" s="58"/>
      <c r="K330" s="58"/>
    </row>
    <row r="331" spans="1:11">
      <c r="A331" s="210"/>
      <c r="B331" s="58"/>
      <c r="C331" s="58"/>
      <c r="D331" s="58"/>
      <c r="F331" s="58"/>
      <c r="G331" s="58"/>
      <c r="H331" s="58"/>
      <c r="I331" s="58"/>
      <c r="J331" s="58"/>
      <c r="K331" s="58"/>
    </row>
    <row r="332" spans="1:11">
      <c r="A332" s="210"/>
      <c r="B332" s="58"/>
      <c r="C332" s="58"/>
      <c r="D332" s="58"/>
      <c r="F332" s="58"/>
      <c r="G332" s="58"/>
      <c r="H332" s="58"/>
      <c r="I332" s="58"/>
      <c r="J332" s="58"/>
      <c r="K332" s="58"/>
    </row>
    <row r="333" spans="1:11">
      <c r="A333" s="210"/>
      <c r="B333" s="58"/>
      <c r="C333" s="58"/>
      <c r="D333" s="58"/>
      <c r="F333" s="58"/>
      <c r="G333" s="58"/>
      <c r="H333" s="58"/>
      <c r="I333" s="58"/>
      <c r="J333" s="58"/>
      <c r="K333" s="58"/>
    </row>
    <row r="334" spans="1:11">
      <c r="A334" s="210"/>
      <c r="B334" s="58"/>
      <c r="C334" s="58"/>
      <c r="D334" s="58"/>
      <c r="F334" s="58"/>
      <c r="G334" s="58"/>
      <c r="H334" s="58"/>
      <c r="I334" s="58"/>
      <c r="J334" s="58"/>
      <c r="K334" s="58"/>
    </row>
    <row r="335" spans="1:11">
      <c r="A335" s="210"/>
      <c r="B335" s="58"/>
      <c r="C335" s="58"/>
      <c r="D335" s="58"/>
      <c r="F335" s="58"/>
      <c r="G335" s="58"/>
      <c r="H335" s="58"/>
      <c r="I335" s="58"/>
      <c r="J335" s="58"/>
      <c r="K335" s="58"/>
    </row>
    <row r="336" spans="1:11">
      <c r="A336" s="210"/>
      <c r="B336" s="58"/>
      <c r="C336" s="58"/>
      <c r="D336" s="58"/>
      <c r="F336" s="58"/>
      <c r="G336" s="58"/>
      <c r="H336" s="58"/>
      <c r="I336" s="58"/>
      <c r="J336" s="58"/>
      <c r="K336" s="58"/>
    </row>
    <row r="337" spans="1:11">
      <c r="A337" s="210"/>
      <c r="B337" s="58"/>
      <c r="C337" s="58"/>
      <c r="D337" s="58"/>
      <c r="F337" s="58"/>
      <c r="G337" s="58"/>
      <c r="H337" s="58"/>
      <c r="I337" s="58"/>
      <c r="J337" s="58"/>
      <c r="K337" s="58"/>
    </row>
    <row r="338" spans="1:11">
      <c r="A338" s="210"/>
      <c r="B338" s="58"/>
      <c r="C338" s="58"/>
      <c r="D338" s="58"/>
      <c r="F338" s="58"/>
      <c r="G338" s="58"/>
      <c r="H338" s="58"/>
      <c r="I338" s="58"/>
      <c r="J338" s="58"/>
      <c r="K338" s="58"/>
    </row>
    <row r="339" spans="1:11">
      <c r="A339" s="210"/>
      <c r="B339" s="58"/>
      <c r="C339" s="58"/>
      <c r="D339" s="58"/>
      <c r="F339" s="58"/>
      <c r="G339" s="58"/>
      <c r="H339" s="58"/>
      <c r="I339" s="58"/>
      <c r="J339" s="58"/>
      <c r="K339" s="58"/>
    </row>
    <row r="340" spans="1:11">
      <c r="A340" s="210"/>
      <c r="B340" s="58"/>
      <c r="C340" s="58"/>
      <c r="D340" s="58"/>
      <c r="F340" s="58"/>
      <c r="G340" s="58"/>
      <c r="H340" s="58"/>
      <c r="I340" s="58"/>
      <c r="J340" s="58"/>
      <c r="K340" s="58"/>
    </row>
    <row r="341" spans="1:11">
      <c r="A341" s="210"/>
      <c r="B341" s="58"/>
      <c r="C341" s="58"/>
      <c r="D341" s="58"/>
      <c r="F341" s="58"/>
      <c r="G341" s="58"/>
      <c r="H341" s="58"/>
      <c r="I341" s="58"/>
      <c r="J341" s="58"/>
      <c r="K341" s="58"/>
    </row>
    <row r="342" spans="1:11">
      <c r="A342" s="210"/>
      <c r="B342" s="58"/>
      <c r="C342" s="58"/>
      <c r="D342" s="58"/>
      <c r="F342" s="58"/>
      <c r="G342" s="58"/>
      <c r="H342" s="58"/>
      <c r="I342" s="58"/>
      <c r="J342" s="58"/>
      <c r="K342" s="58"/>
    </row>
    <row r="343" spans="1:11">
      <c r="A343" s="210"/>
      <c r="B343" s="58"/>
      <c r="C343" s="58"/>
      <c r="D343" s="58"/>
      <c r="F343" s="58"/>
      <c r="G343" s="58"/>
      <c r="H343" s="58"/>
      <c r="I343" s="58"/>
      <c r="J343" s="58"/>
      <c r="K343" s="58"/>
    </row>
    <row r="344" spans="1:11">
      <c r="A344" s="210"/>
      <c r="B344" s="58"/>
      <c r="C344" s="58"/>
      <c r="D344" s="58"/>
      <c r="F344" s="58"/>
      <c r="G344" s="58"/>
      <c r="H344" s="58"/>
      <c r="I344" s="58"/>
      <c r="J344" s="58"/>
      <c r="K344" s="58"/>
    </row>
    <row r="345" spans="1:11">
      <c r="A345" s="210"/>
      <c r="B345" s="58"/>
      <c r="C345" s="58"/>
      <c r="D345" s="58"/>
      <c r="F345" s="58"/>
      <c r="G345" s="58"/>
      <c r="H345" s="58"/>
      <c r="I345" s="58"/>
      <c r="J345" s="58"/>
      <c r="K345" s="58"/>
    </row>
    <row r="346" spans="1:11">
      <c r="A346" s="210"/>
      <c r="B346" s="58"/>
      <c r="C346" s="58"/>
      <c r="D346" s="58"/>
      <c r="F346" s="58"/>
      <c r="G346" s="58"/>
      <c r="H346" s="58"/>
      <c r="I346" s="58"/>
      <c r="J346" s="58"/>
      <c r="K346" s="58"/>
    </row>
    <row r="347" spans="1:11">
      <c r="A347" s="210"/>
      <c r="B347" s="58"/>
      <c r="C347" s="58"/>
      <c r="D347" s="58"/>
      <c r="F347" s="58"/>
      <c r="G347" s="58"/>
      <c r="H347" s="58"/>
      <c r="I347" s="58"/>
      <c r="J347" s="58"/>
      <c r="K347" s="58"/>
    </row>
    <row r="348" spans="1:11">
      <c r="A348" s="210"/>
      <c r="B348" s="58"/>
      <c r="C348" s="58"/>
      <c r="D348" s="58"/>
      <c r="F348" s="58"/>
      <c r="G348" s="58"/>
      <c r="H348" s="58"/>
      <c r="I348" s="58"/>
      <c r="J348" s="58"/>
      <c r="K348" s="58"/>
    </row>
    <row r="349" spans="1:11">
      <c r="A349" s="210"/>
      <c r="B349" s="58"/>
      <c r="C349" s="58"/>
      <c r="D349" s="58"/>
      <c r="F349" s="58"/>
      <c r="G349" s="58"/>
      <c r="H349" s="58"/>
      <c r="I349" s="58"/>
      <c r="J349" s="58"/>
      <c r="K349" s="58"/>
    </row>
    <row r="350" spans="1:11">
      <c r="A350" s="210"/>
      <c r="B350" s="58"/>
      <c r="C350" s="58"/>
      <c r="D350" s="58"/>
      <c r="F350" s="58"/>
      <c r="G350" s="58"/>
      <c r="H350" s="58"/>
      <c r="I350" s="58"/>
      <c r="J350" s="58"/>
      <c r="K350" s="58"/>
    </row>
    <row r="351" spans="1:11">
      <c r="A351" s="210"/>
      <c r="B351" s="58"/>
      <c r="C351" s="58"/>
      <c r="D351" s="58"/>
      <c r="F351" s="58"/>
      <c r="G351" s="58"/>
      <c r="H351" s="58"/>
      <c r="I351" s="58"/>
      <c r="J351" s="58"/>
      <c r="K351" s="58"/>
    </row>
    <row r="352" spans="1:11">
      <c r="A352" s="210"/>
      <c r="B352" s="58"/>
      <c r="C352" s="58"/>
      <c r="D352" s="58"/>
      <c r="F352" s="58"/>
      <c r="G352" s="58"/>
      <c r="H352" s="58"/>
      <c r="I352" s="58"/>
      <c r="J352" s="58"/>
      <c r="K352" s="58"/>
    </row>
    <row r="353" spans="1:11">
      <c r="A353" s="210"/>
      <c r="B353" s="58"/>
      <c r="C353" s="58"/>
      <c r="D353" s="58"/>
      <c r="F353" s="58"/>
      <c r="G353" s="58"/>
      <c r="H353" s="58"/>
      <c r="I353" s="58"/>
      <c r="J353" s="58"/>
      <c r="K353" s="58"/>
    </row>
    <row r="354" spans="1:11">
      <c r="A354" s="210"/>
      <c r="B354" s="58"/>
      <c r="C354" s="58"/>
      <c r="D354" s="58"/>
      <c r="F354" s="58"/>
      <c r="G354" s="58"/>
      <c r="H354" s="58"/>
      <c r="I354" s="58"/>
      <c r="J354" s="58"/>
      <c r="K354" s="58"/>
    </row>
    <row r="355" spans="1:11">
      <c r="A355" s="210"/>
      <c r="B355" s="58"/>
      <c r="C355" s="58"/>
      <c r="D355" s="58"/>
      <c r="F355" s="58"/>
      <c r="G355" s="58"/>
      <c r="H355" s="58"/>
      <c r="I355" s="58"/>
      <c r="J355" s="58"/>
      <c r="K355" s="58"/>
    </row>
    <row r="356" spans="1:11">
      <c r="A356" s="210"/>
      <c r="B356" s="58"/>
      <c r="C356" s="58"/>
      <c r="D356" s="58"/>
      <c r="F356" s="58"/>
      <c r="G356" s="58"/>
      <c r="H356" s="58"/>
      <c r="I356" s="58"/>
      <c r="J356" s="58"/>
      <c r="K356" s="58"/>
    </row>
    <row r="357" spans="1:11">
      <c r="A357" s="210"/>
      <c r="B357" s="58"/>
      <c r="C357" s="58"/>
      <c r="D357" s="58"/>
      <c r="F357" s="58"/>
      <c r="G357" s="58"/>
      <c r="H357" s="58"/>
      <c r="I357" s="58"/>
      <c r="J357" s="58"/>
      <c r="K357" s="58"/>
    </row>
    <row r="358" spans="1:11">
      <c r="A358" s="210"/>
      <c r="B358" s="58"/>
      <c r="C358" s="58"/>
      <c r="D358" s="58"/>
      <c r="F358" s="58"/>
      <c r="G358" s="58"/>
      <c r="H358" s="58"/>
      <c r="I358" s="58"/>
      <c r="J358" s="58"/>
      <c r="K358" s="58"/>
    </row>
    <row r="359" spans="1:11">
      <c r="A359" s="210"/>
      <c r="B359" s="58"/>
      <c r="C359" s="58"/>
      <c r="D359" s="58"/>
      <c r="F359" s="58"/>
      <c r="G359" s="58"/>
      <c r="H359" s="58"/>
      <c r="I359" s="58"/>
      <c r="J359" s="58"/>
      <c r="K359" s="58"/>
    </row>
    <row r="360" spans="1:11">
      <c r="A360" s="210"/>
      <c r="B360" s="58"/>
      <c r="C360" s="58"/>
      <c r="D360" s="58"/>
      <c r="F360" s="58"/>
      <c r="G360" s="58"/>
      <c r="H360" s="58"/>
      <c r="I360" s="58"/>
      <c r="J360" s="58"/>
      <c r="K360" s="58"/>
    </row>
    <row r="361" spans="1:11">
      <c r="A361" s="210"/>
      <c r="B361" s="58"/>
      <c r="C361" s="58"/>
      <c r="D361" s="58"/>
      <c r="F361" s="58"/>
      <c r="G361" s="58"/>
      <c r="H361" s="58"/>
      <c r="I361" s="58"/>
      <c r="J361" s="58"/>
      <c r="K361" s="58"/>
    </row>
    <row r="362" spans="1:11">
      <c r="A362" s="210"/>
      <c r="B362" s="58"/>
      <c r="C362" s="58"/>
      <c r="D362" s="58"/>
      <c r="F362" s="58"/>
      <c r="G362" s="58"/>
      <c r="H362" s="58"/>
      <c r="I362" s="58"/>
      <c r="J362" s="58"/>
      <c r="K362" s="58"/>
    </row>
    <row r="363" spans="1:11">
      <c r="A363" s="210"/>
      <c r="B363" s="58"/>
      <c r="C363" s="58"/>
      <c r="D363" s="58"/>
      <c r="F363" s="58"/>
      <c r="G363" s="58"/>
      <c r="H363" s="58"/>
      <c r="I363" s="58"/>
      <c r="J363" s="58"/>
      <c r="K363" s="58"/>
    </row>
    <row r="364" spans="1:11">
      <c r="A364" s="210"/>
      <c r="B364" s="58"/>
      <c r="C364" s="58"/>
      <c r="D364" s="58"/>
      <c r="F364" s="58"/>
      <c r="G364" s="58"/>
      <c r="H364" s="58"/>
      <c r="I364" s="58"/>
      <c r="J364" s="58"/>
      <c r="K364" s="58"/>
    </row>
    <row r="365" spans="1:11">
      <c r="A365" s="210"/>
      <c r="B365" s="58"/>
      <c r="C365" s="58"/>
      <c r="D365" s="58"/>
      <c r="F365" s="58"/>
      <c r="G365" s="58"/>
      <c r="H365" s="58"/>
      <c r="I365" s="58"/>
      <c r="J365" s="58"/>
      <c r="K365" s="58"/>
    </row>
    <row r="366" spans="1:11">
      <c r="A366" s="210"/>
      <c r="B366" s="58"/>
      <c r="C366" s="58"/>
      <c r="D366" s="58"/>
      <c r="F366" s="58"/>
      <c r="G366" s="58"/>
      <c r="H366" s="58"/>
      <c r="I366" s="58"/>
      <c r="J366" s="58"/>
      <c r="K366" s="58"/>
    </row>
    <row r="367" spans="1:11">
      <c r="A367" s="210"/>
      <c r="B367" s="58"/>
      <c r="C367" s="58"/>
      <c r="D367" s="58"/>
      <c r="F367" s="58"/>
      <c r="G367" s="58"/>
      <c r="H367" s="58"/>
      <c r="I367" s="58"/>
      <c r="J367" s="58"/>
      <c r="K367" s="58"/>
    </row>
    <row r="368" spans="1:11">
      <c r="A368" s="210"/>
      <c r="B368" s="58"/>
      <c r="C368" s="58"/>
      <c r="D368" s="58"/>
      <c r="F368" s="58"/>
      <c r="G368" s="58"/>
      <c r="H368" s="58"/>
      <c r="I368" s="58"/>
      <c r="J368" s="58"/>
      <c r="K368" s="58"/>
    </row>
    <row r="369" spans="1:11">
      <c r="A369" s="210"/>
      <c r="B369" s="58"/>
      <c r="C369" s="58"/>
      <c r="D369" s="58"/>
      <c r="F369" s="58"/>
      <c r="G369" s="58"/>
      <c r="H369" s="58"/>
      <c r="I369" s="58"/>
      <c r="J369" s="58"/>
      <c r="K369" s="58"/>
    </row>
    <row r="370" spans="1:11">
      <c r="A370" s="210"/>
      <c r="B370" s="58"/>
      <c r="C370" s="58"/>
      <c r="D370" s="58"/>
      <c r="F370" s="58"/>
      <c r="G370" s="58"/>
      <c r="H370" s="58"/>
      <c r="I370" s="58"/>
      <c r="J370" s="58"/>
      <c r="K370" s="58"/>
    </row>
    <row r="371" spans="1:11">
      <c r="A371" s="210"/>
      <c r="B371" s="58"/>
      <c r="C371" s="58"/>
      <c r="D371" s="58"/>
      <c r="F371" s="58"/>
      <c r="G371" s="58"/>
      <c r="H371" s="58"/>
      <c r="I371" s="58"/>
      <c r="J371" s="58"/>
      <c r="K371" s="58"/>
    </row>
    <row r="372" spans="1:11">
      <c r="A372" s="210"/>
      <c r="B372" s="58"/>
      <c r="C372" s="58"/>
      <c r="D372" s="58"/>
      <c r="F372" s="58"/>
      <c r="G372" s="58"/>
      <c r="H372" s="58"/>
      <c r="I372" s="58"/>
      <c r="J372" s="58"/>
      <c r="K372" s="58"/>
    </row>
    <row r="373" spans="1:11">
      <c r="A373" s="210"/>
      <c r="B373" s="58"/>
      <c r="C373" s="58"/>
      <c r="D373" s="58"/>
      <c r="F373" s="58"/>
      <c r="G373" s="58"/>
      <c r="H373" s="58"/>
      <c r="I373" s="58"/>
      <c r="J373" s="58"/>
      <c r="K373" s="58"/>
    </row>
    <row r="374" spans="1:11">
      <c r="A374" s="210"/>
      <c r="B374" s="58"/>
      <c r="C374" s="58"/>
      <c r="D374" s="58"/>
      <c r="F374" s="58"/>
      <c r="G374" s="58"/>
      <c r="H374" s="58"/>
      <c r="I374" s="58"/>
      <c r="J374" s="58"/>
      <c r="K374" s="58"/>
    </row>
    <row r="375" spans="1:11">
      <c r="A375" s="210"/>
      <c r="B375" s="58"/>
      <c r="C375" s="58"/>
      <c r="D375" s="58"/>
      <c r="F375" s="58"/>
      <c r="G375" s="58"/>
      <c r="H375" s="58"/>
      <c r="I375" s="58"/>
      <c r="J375" s="58"/>
      <c r="K375" s="58"/>
    </row>
    <row r="376" spans="1:11">
      <c r="A376" s="210"/>
      <c r="B376" s="58"/>
      <c r="C376" s="58"/>
      <c r="D376" s="58"/>
      <c r="F376" s="58"/>
      <c r="G376" s="58"/>
      <c r="H376" s="58"/>
      <c r="I376" s="58"/>
      <c r="J376" s="58"/>
      <c r="K376" s="58"/>
    </row>
    <row r="377" spans="1:11">
      <c r="A377" s="210"/>
      <c r="B377" s="58"/>
      <c r="C377" s="58"/>
      <c r="D377" s="58"/>
      <c r="F377" s="58"/>
      <c r="G377" s="58"/>
      <c r="H377" s="58"/>
      <c r="I377" s="58"/>
      <c r="J377" s="58"/>
      <c r="K377" s="58"/>
    </row>
    <row r="378" spans="1:11">
      <c r="A378" s="210"/>
      <c r="B378" s="58"/>
      <c r="C378" s="58"/>
      <c r="D378" s="58"/>
      <c r="F378" s="58"/>
      <c r="G378" s="58"/>
      <c r="H378" s="58"/>
      <c r="I378" s="58"/>
      <c r="J378" s="58"/>
      <c r="K378" s="58"/>
    </row>
    <row r="379" spans="1:11">
      <c r="A379" s="210"/>
      <c r="B379" s="58"/>
      <c r="C379" s="58"/>
      <c r="D379" s="58"/>
      <c r="F379" s="58"/>
      <c r="G379" s="58"/>
      <c r="H379" s="58"/>
      <c r="I379" s="58"/>
      <c r="J379" s="58"/>
      <c r="K379" s="58"/>
    </row>
    <row r="380" spans="1:11">
      <c r="A380" s="210"/>
      <c r="B380" s="58"/>
      <c r="C380" s="58"/>
      <c r="D380" s="58"/>
      <c r="F380" s="58"/>
      <c r="G380" s="58"/>
      <c r="H380" s="58"/>
      <c r="I380" s="58"/>
      <c r="J380" s="58"/>
      <c r="K380" s="58"/>
    </row>
    <row r="381" spans="1:11">
      <c r="A381" s="210"/>
      <c r="B381" s="58"/>
      <c r="C381" s="58"/>
      <c r="D381" s="58"/>
      <c r="F381" s="58"/>
      <c r="G381" s="58"/>
      <c r="H381" s="58"/>
      <c r="I381" s="58"/>
      <c r="J381" s="58"/>
      <c r="K381" s="58"/>
    </row>
    <row r="382" spans="1:11">
      <c r="A382" s="210"/>
      <c r="B382" s="58"/>
      <c r="C382" s="58"/>
      <c r="D382" s="58"/>
      <c r="F382" s="58"/>
      <c r="G382" s="58"/>
      <c r="H382" s="58"/>
      <c r="I382" s="58"/>
      <c r="J382" s="58"/>
      <c r="K382" s="58"/>
    </row>
    <row r="383" spans="1:11">
      <c r="A383" s="210"/>
      <c r="B383" s="58"/>
      <c r="C383" s="58"/>
      <c r="D383" s="58"/>
      <c r="F383" s="58"/>
      <c r="G383" s="58"/>
      <c r="H383" s="58"/>
      <c r="I383" s="58"/>
      <c r="J383" s="58"/>
      <c r="K383" s="58"/>
    </row>
    <row r="384" spans="1:11">
      <c r="A384" s="210"/>
      <c r="B384" s="58"/>
      <c r="C384" s="58"/>
      <c r="D384" s="58"/>
      <c r="F384" s="58"/>
      <c r="G384" s="58"/>
      <c r="H384" s="58"/>
      <c r="I384" s="58"/>
      <c r="J384" s="58"/>
      <c r="K384" s="58"/>
    </row>
    <row r="385" spans="1:11">
      <c r="A385" s="210"/>
      <c r="B385" s="58"/>
      <c r="C385" s="58"/>
      <c r="D385" s="58"/>
      <c r="F385" s="58"/>
      <c r="G385" s="58"/>
      <c r="H385" s="58"/>
      <c r="I385" s="58"/>
      <c r="J385" s="58"/>
      <c r="K385" s="58"/>
    </row>
    <row r="386" spans="1:11">
      <c r="A386" s="210"/>
      <c r="B386" s="58"/>
      <c r="C386" s="58"/>
      <c r="D386" s="58"/>
      <c r="F386" s="58"/>
      <c r="G386" s="58"/>
      <c r="H386" s="58"/>
      <c r="I386" s="58"/>
      <c r="J386" s="58"/>
      <c r="K386" s="58"/>
    </row>
    <row r="387" spans="1:11">
      <c r="A387" s="210"/>
      <c r="B387" s="58"/>
      <c r="C387" s="58"/>
      <c r="D387" s="58"/>
      <c r="F387" s="58"/>
      <c r="G387" s="58"/>
      <c r="H387" s="58"/>
      <c r="I387" s="58"/>
      <c r="J387" s="58"/>
      <c r="K387" s="58"/>
    </row>
    <row r="388" spans="1:11">
      <c r="A388" s="210"/>
      <c r="B388" s="58"/>
      <c r="C388" s="58"/>
      <c r="D388" s="58"/>
      <c r="F388" s="58"/>
      <c r="G388" s="58"/>
      <c r="H388" s="58"/>
      <c r="I388" s="58"/>
      <c r="J388" s="58"/>
      <c r="K388" s="58"/>
    </row>
    <row r="389" spans="1:11">
      <c r="A389" s="210"/>
      <c r="B389" s="58"/>
      <c r="C389" s="58"/>
      <c r="D389" s="58"/>
      <c r="F389" s="58"/>
      <c r="G389" s="58"/>
      <c r="H389" s="58"/>
      <c r="I389" s="58"/>
      <c r="J389" s="58"/>
      <c r="K389" s="58"/>
    </row>
    <row r="390" spans="1:11">
      <c r="A390" s="210"/>
      <c r="B390" s="58"/>
      <c r="C390" s="58"/>
      <c r="D390" s="58"/>
      <c r="F390" s="58"/>
      <c r="G390" s="58"/>
      <c r="H390" s="58"/>
      <c r="I390" s="58"/>
      <c r="J390" s="58"/>
      <c r="K390" s="58"/>
    </row>
    <row r="391" spans="1:11">
      <c r="A391" s="210"/>
      <c r="B391" s="58"/>
      <c r="C391" s="58"/>
      <c r="D391" s="58"/>
      <c r="F391" s="58"/>
      <c r="G391" s="58"/>
      <c r="H391" s="58"/>
      <c r="I391" s="58"/>
      <c r="J391" s="58"/>
      <c r="K391" s="58"/>
    </row>
    <row r="392" spans="1:11">
      <c r="A392" s="210"/>
      <c r="B392" s="58"/>
      <c r="C392" s="58"/>
      <c r="D392" s="58"/>
      <c r="F392" s="58"/>
      <c r="G392" s="58"/>
      <c r="H392" s="58"/>
      <c r="I392" s="58"/>
      <c r="J392" s="58"/>
      <c r="K392" s="58"/>
    </row>
    <row r="393" spans="1:11">
      <c r="A393" s="210"/>
      <c r="B393" s="58"/>
      <c r="C393" s="58"/>
      <c r="D393" s="58"/>
      <c r="F393" s="58"/>
      <c r="G393" s="58"/>
      <c r="H393" s="58"/>
      <c r="I393" s="58"/>
      <c r="J393" s="58"/>
      <c r="K393" s="58"/>
    </row>
    <row r="394" spans="1:11">
      <c r="A394" s="210"/>
      <c r="B394" s="58"/>
      <c r="C394" s="58"/>
      <c r="D394" s="58"/>
      <c r="F394" s="58"/>
      <c r="G394" s="58"/>
      <c r="H394" s="58"/>
      <c r="I394" s="58"/>
      <c r="J394" s="58"/>
      <c r="K394" s="58"/>
    </row>
    <row r="395" spans="1:11">
      <c r="A395" s="210"/>
      <c r="B395" s="58"/>
      <c r="C395" s="58"/>
      <c r="D395" s="58"/>
      <c r="F395" s="58"/>
      <c r="G395" s="58"/>
      <c r="H395" s="58"/>
      <c r="I395" s="58"/>
      <c r="J395" s="58"/>
      <c r="K395" s="58"/>
    </row>
    <row r="396" spans="1:11">
      <c r="A396" s="210"/>
      <c r="B396" s="58"/>
      <c r="C396" s="58"/>
      <c r="D396" s="58"/>
      <c r="F396" s="58"/>
      <c r="G396" s="58"/>
      <c r="H396" s="58"/>
      <c r="I396" s="58"/>
      <c r="J396" s="58"/>
      <c r="K396" s="58"/>
    </row>
    <row r="397" spans="1:11">
      <c r="A397" s="210"/>
      <c r="B397" s="58"/>
      <c r="C397" s="58"/>
      <c r="D397" s="58"/>
      <c r="F397" s="58"/>
      <c r="G397" s="58"/>
      <c r="H397" s="58"/>
      <c r="I397" s="58"/>
      <c r="J397" s="58"/>
      <c r="K397" s="58"/>
    </row>
    <row r="398" spans="1:11">
      <c r="A398" s="210"/>
      <c r="B398" s="58"/>
      <c r="C398" s="58"/>
      <c r="D398" s="58"/>
      <c r="F398" s="58"/>
      <c r="G398" s="58"/>
      <c r="H398" s="58"/>
      <c r="I398" s="58"/>
      <c r="J398" s="58"/>
      <c r="K398" s="58"/>
    </row>
    <row r="399" spans="1:11">
      <c r="A399" s="210"/>
      <c r="B399" s="58"/>
      <c r="C399" s="58"/>
      <c r="D399" s="58"/>
      <c r="F399" s="58"/>
      <c r="G399" s="58"/>
      <c r="H399" s="58"/>
      <c r="I399" s="58"/>
      <c r="J399" s="58"/>
      <c r="K399" s="58"/>
    </row>
    <row r="400" spans="1:11">
      <c r="A400" s="210"/>
      <c r="B400" s="58"/>
      <c r="C400" s="58"/>
      <c r="D400" s="58"/>
      <c r="F400" s="58"/>
      <c r="G400" s="58"/>
      <c r="H400" s="58"/>
      <c r="I400" s="58"/>
      <c r="J400" s="58"/>
      <c r="K400" s="58"/>
    </row>
    <row r="401" spans="1:11">
      <c r="A401" s="210"/>
      <c r="B401" s="58"/>
      <c r="C401" s="58"/>
      <c r="D401" s="58"/>
      <c r="F401" s="58"/>
      <c r="G401" s="58"/>
      <c r="H401" s="58"/>
      <c r="I401" s="58"/>
      <c r="J401" s="58"/>
      <c r="K401" s="58"/>
    </row>
    <row r="402" spans="1:11">
      <c r="A402" s="210"/>
      <c r="B402" s="58"/>
      <c r="C402" s="58"/>
      <c r="D402" s="58"/>
      <c r="F402" s="58"/>
      <c r="G402" s="58"/>
      <c r="H402" s="58"/>
      <c r="I402" s="58"/>
      <c r="J402" s="58"/>
      <c r="K402" s="58"/>
    </row>
    <row r="403" spans="1:11">
      <c r="A403" s="210"/>
      <c r="B403" s="58"/>
      <c r="C403" s="58"/>
      <c r="D403" s="58"/>
      <c r="F403" s="58"/>
      <c r="G403" s="58"/>
      <c r="H403" s="58"/>
      <c r="I403" s="58"/>
      <c r="J403" s="58"/>
      <c r="K403" s="58"/>
    </row>
    <row r="404" spans="1:11">
      <c r="A404" s="210"/>
      <c r="B404" s="58"/>
      <c r="C404" s="58"/>
      <c r="D404" s="58"/>
      <c r="F404" s="58"/>
      <c r="G404" s="58"/>
      <c r="H404" s="58"/>
      <c r="I404" s="58"/>
      <c r="J404" s="58"/>
      <c r="K404" s="58"/>
    </row>
    <row r="405" spans="1:11">
      <c r="A405" s="210"/>
      <c r="B405" s="58"/>
      <c r="C405" s="58"/>
      <c r="D405" s="58"/>
      <c r="F405" s="58"/>
      <c r="G405" s="58"/>
      <c r="H405" s="58"/>
      <c r="I405" s="58"/>
      <c r="J405" s="58"/>
      <c r="K405" s="58"/>
    </row>
    <row r="406" spans="1:11">
      <c r="A406" s="210"/>
      <c r="B406" s="58"/>
      <c r="C406" s="58"/>
      <c r="D406" s="58"/>
      <c r="F406" s="58"/>
      <c r="G406" s="58"/>
      <c r="H406" s="58"/>
      <c r="I406" s="58"/>
      <c r="J406" s="58"/>
      <c r="K406" s="58"/>
    </row>
    <row r="407" spans="1:11">
      <c r="A407" s="210"/>
      <c r="B407" s="58"/>
      <c r="C407" s="58"/>
      <c r="D407" s="58"/>
      <c r="F407" s="58"/>
      <c r="G407" s="58"/>
      <c r="H407" s="58"/>
      <c r="I407" s="58"/>
      <c r="J407" s="58"/>
      <c r="K407" s="58"/>
    </row>
    <row r="408" spans="1:11">
      <c r="A408" s="210"/>
      <c r="B408" s="58"/>
      <c r="C408" s="58"/>
      <c r="D408" s="58"/>
      <c r="F408" s="58"/>
      <c r="G408" s="58"/>
      <c r="H408" s="58"/>
      <c r="I408" s="58"/>
      <c r="J408" s="58"/>
      <c r="K408" s="58"/>
    </row>
    <row r="409" spans="1:11">
      <c r="A409" s="210"/>
      <c r="B409" s="58"/>
      <c r="C409" s="58"/>
      <c r="D409" s="58"/>
      <c r="F409" s="58"/>
      <c r="G409" s="58"/>
      <c r="H409" s="58"/>
      <c r="I409" s="58"/>
      <c r="J409" s="58"/>
      <c r="K409" s="58"/>
    </row>
    <row r="410" spans="1:11">
      <c r="A410" s="210"/>
      <c r="B410" s="58"/>
      <c r="C410" s="58"/>
      <c r="D410" s="58"/>
      <c r="F410" s="58"/>
      <c r="G410" s="58"/>
      <c r="H410" s="58"/>
      <c r="I410" s="58"/>
      <c r="J410" s="58"/>
      <c r="K410" s="58"/>
    </row>
    <row r="411" spans="1:11">
      <c r="A411" s="210"/>
      <c r="B411" s="58"/>
      <c r="C411" s="58"/>
      <c r="D411" s="58"/>
      <c r="F411" s="58"/>
      <c r="G411" s="58"/>
      <c r="H411" s="58"/>
      <c r="I411" s="58"/>
      <c r="J411" s="58"/>
      <c r="K411" s="58"/>
    </row>
    <row r="412" spans="1:11">
      <c r="A412" s="210"/>
      <c r="B412" s="58"/>
      <c r="C412" s="58"/>
      <c r="D412" s="58"/>
      <c r="F412" s="58"/>
      <c r="G412" s="58"/>
      <c r="H412" s="58"/>
      <c r="I412" s="58"/>
      <c r="J412" s="58"/>
      <c r="K412" s="58"/>
    </row>
    <row r="413" spans="1:11">
      <c r="A413" s="210"/>
      <c r="B413" s="58"/>
      <c r="C413" s="58"/>
      <c r="D413" s="58"/>
      <c r="F413" s="58"/>
      <c r="G413" s="58"/>
      <c r="H413" s="58"/>
      <c r="I413" s="58"/>
      <c r="J413" s="58"/>
      <c r="K413" s="58"/>
    </row>
    <row r="414" spans="1:11">
      <c r="A414" s="210"/>
      <c r="B414" s="58"/>
      <c r="C414" s="58"/>
      <c r="D414" s="58"/>
      <c r="F414" s="58"/>
      <c r="G414" s="58"/>
      <c r="H414" s="58"/>
      <c r="I414" s="58"/>
      <c r="J414" s="58"/>
      <c r="K414" s="58"/>
    </row>
    <row r="415" spans="1:11">
      <c r="A415" s="210"/>
      <c r="B415" s="58"/>
      <c r="C415" s="58"/>
      <c r="D415" s="58"/>
      <c r="F415" s="58"/>
      <c r="G415" s="58"/>
      <c r="H415" s="58"/>
      <c r="I415" s="58"/>
      <c r="J415" s="58"/>
      <c r="K415" s="58"/>
    </row>
    <row r="416" spans="1:11">
      <c r="A416" s="210"/>
      <c r="B416" s="58"/>
      <c r="C416" s="58"/>
      <c r="D416" s="58"/>
      <c r="F416" s="58"/>
      <c r="G416" s="58"/>
      <c r="H416" s="58"/>
      <c r="I416" s="58"/>
      <c r="J416" s="58"/>
      <c r="K416" s="58"/>
    </row>
    <row r="417" spans="1:11">
      <c r="A417" s="210"/>
      <c r="B417" s="58"/>
      <c r="C417" s="58"/>
      <c r="D417" s="58"/>
      <c r="F417" s="58"/>
      <c r="G417" s="58"/>
      <c r="H417" s="58"/>
      <c r="I417" s="58"/>
      <c r="J417" s="58"/>
      <c r="K417" s="58"/>
    </row>
    <row r="418" spans="1:11">
      <c r="A418" s="210"/>
      <c r="B418" s="58"/>
      <c r="C418" s="58"/>
      <c r="D418" s="58"/>
      <c r="F418" s="58"/>
      <c r="G418" s="58"/>
      <c r="H418" s="58"/>
      <c r="I418" s="58"/>
      <c r="J418" s="58"/>
      <c r="K418" s="58"/>
    </row>
    <row r="419" spans="1:11">
      <c r="A419" s="210"/>
      <c r="B419" s="58"/>
      <c r="C419" s="58"/>
      <c r="D419" s="58"/>
      <c r="F419" s="58"/>
      <c r="G419" s="58"/>
      <c r="H419" s="58"/>
      <c r="I419" s="58"/>
      <c r="J419" s="58"/>
      <c r="K419" s="58"/>
    </row>
    <row r="420" spans="1:11">
      <c r="A420" s="210"/>
      <c r="B420" s="58"/>
      <c r="C420" s="58"/>
      <c r="D420" s="58"/>
      <c r="F420" s="58"/>
      <c r="G420" s="58"/>
      <c r="H420" s="58"/>
      <c r="I420" s="58"/>
      <c r="J420" s="58"/>
      <c r="K420" s="58"/>
    </row>
    <row r="421" spans="1:11">
      <c r="A421" s="210"/>
      <c r="B421" s="58"/>
      <c r="C421" s="58"/>
      <c r="D421" s="58"/>
      <c r="F421" s="58"/>
      <c r="G421" s="58"/>
      <c r="H421" s="58"/>
      <c r="I421" s="58"/>
      <c r="J421" s="58"/>
      <c r="K421" s="58"/>
    </row>
    <row r="422" spans="1:11">
      <c r="A422" s="210"/>
      <c r="B422" s="58"/>
      <c r="C422" s="58"/>
      <c r="D422" s="58"/>
      <c r="F422" s="58"/>
      <c r="G422" s="58"/>
      <c r="H422" s="58"/>
      <c r="I422" s="58"/>
      <c r="J422" s="58"/>
      <c r="K422" s="58"/>
    </row>
    <row r="423" spans="1:11">
      <c r="A423" s="210"/>
      <c r="B423" s="58"/>
      <c r="C423" s="58"/>
      <c r="D423" s="58"/>
      <c r="F423" s="58"/>
      <c r="G423" s="58"/>
      <c r="H423" s="58"/>
      <c r="I423" s="58"/>
      <c r="J423" s="58"/>
      <c r="K423" s="58"/>
    </row>
    <row r="424" spans="1:11">
      <c r="A424" s="210"/>
      <c r="B424" s="58"/>
      <c r="C424" s="58"/>
      <c r="D424" s="58"/>
      <c r="F424" s="58"/>
      <c r="G424" s="58"/>
      <c r="H424" s="58"/>
      <c r="I424" s="58"/>
      <c r="J424" s="58"/>
      <c r="K424" s="58"/>
    </row>
    <row r="425" spans="1:11">
      <c r="A425" s="210"/>
      <c r="B425" s="58"/>
      <c r="C425" s="58"/>
      <c r="D425" s="58"/>
      <c r="F425" s="58"/>
      <c r="G425" s="58"/>
      <c r="H425" s="58"/>
      <c r="I425" s="58"/>
      <c r="J425" s="58"/>
      <c r="K425" s="58"/>
    </row>
    <row r="426" spans="1:11">
      <c r="A426" s="210"/>
      <c r="B426" s="58"/>
      <c r="C426" s="58"/>
      <c r="D426" s="58"/>
      <c r="F426" s="58"/>
      <c r="G426" s="58"/>
      <c r="H426" s="58"/>
      <c r="I426" s="58"/>
      <c r="J426" s="58"/>
      <c r="K426" s="58"/>
    </row>
    <row r="427" spans="1:11">
      <c r="A427" s="210"/>
      <c r="B427" s="58"/>
      <c r="C427" s="58"/>
      <c r="D427" s="58"/>
      <c r="F427" s="58"/>
      <c r="G427" s="58"/>
      <c r="H427" s="58"/>
      <c r="I427" s="58"/>
      <c r="J427" s="58"/>
      <c r="K427" s="58"/>
    </row>
    <row r="428" spans="1:11">
      <c r="A428" s="210"/>
      <c r="B428" s="58"/>
      <c r="C428" s="58"/>
      <c r="D428" s="58"/>
      <c r="F428" s="58"/>
      <c r="G428" s="58"/>
      <c r="H428" s="58"/>
      <c r="I428" s="58"/>
      <c r="J428" s="58"/>
      <c r="K428" s="58"/>
    </row>
    <row r="429" spans="1:11">
      <c r="A429" s="210"/>
      <c r="B429" s="58"/>
      <c r="C429" s="58"/>
      <c r="D429" s="58"/>
      <c r="F429" s="58"/>
      <c r="G429" s="58"/>
      <c r="H429" s="58"/>
      <c r="I429" s="58"/>
      <c r="J429" s="58"/>
      <c r="K429" s="58"/>
    </row>
    <row r="430" spans="1:11">
      <c r="A430" s="210"/>
      <c r="B430" s="58"/>
      <c r="C430" s="58"/>
      <c r="D430" s="58"/>
      <c r="F430" s="58"/>
      <c r="G430" s="58"/>
      <c r="H430" s="58"/>
      <c r="I430" s="58"/>
      <c r="J430" s="58"/>
      <c r="K430" s="58"/>
    </row>
    <row r="431" spans="1:11">
      <c r="A431" s="210"/>
      <c r="B431" s="58"/>
      <c r="C431" s="58"/>
      <c r="D431" s="58"/>
      <c r="F431" s="58"/>
      <c r="G431" s="58"/>
      <c r="H431" s="58"/>
      <c r="I431" s="58"/>
      <c r="J431" s="58"/>
      <c r="K431" s="58"/>
    </row>
    <row r="432" spans="1:11">
      <c r="A432" s="210"/>
      <c r="B432" s="58"/>
      <c r="C432" s="58"/>
      <c r="D432" s="58"/>
      <c r="F432" s="58"/>
      <c r="G432" s="58"/>
      <c r="H432" s="58"/>
      <c r="I432" s="58"/>
      <c r="J432" s="58"/>
      <c r="K432" s="58"/>
    </row>
    <row r="433" spans="1:11">
      <c r="A433" s="210"/>
      <c r="B433" s="58"/>
      <c r="C433" s="58"/>
      <c r="D433" s="58"/>
      <c r="F433" s="58"/>
      <c r="G433" s="58"/>
      <c r="H433" s="58"/>
      <c r="I433" s="58"/>
      <c r="J433" s="58"/>
      <c r="K433" s="58"/>
    </row>
    <row r="434" spans="1:11">
      <c r="A434" s="210"/>
      <c r="B434" s="58"/>
      <c r="C434" s="58"/>
      <c r="D434" s="58"/>
      <c r="F434" s="58"/>
      <c r="G434" s="58"/>
      <c r="H434" s="58"/>
      <c r="I434" s="58"/>
      <c r="J434" s="58"/>
      <c r="K434" s="58"/>
    </row>
    <row r="435" spans="1:11">
      <c r="A435" s="210"/>
      <c r="B435" s="58"/>
      <c r="C435" s="58"/>
      <c r="D435" s="58"/>
      <c r="F435" s="58"/>
      <c r="G435" s="58"/>
      <c r="H435" s="58"/>
      <c r="I435" s="58"/>
      <c r="J435" s="58"/>
      <c r="K435" s="58"/>
    </row>
    <row r="436" spans="1:11">
      <c r="A436" s="210"/>
      <c r="B436" s="58"/>
      <c r="C436" s="58"/>
      <c r="D436" s="58"/>
      <c r="F436" s="58"/>
      <c r="G436" s="58"/>
      <c r="H436" s="58"/>
      <c r="I436" s="58"/>
      <c r="J436" s="58"/>
      <c r="K436" s="58"/>
    </row>
    <row r="437" spans="1:11">
      <c r="A437" s="210"/>
      <c r="B437" s="58"/>
      <c r="C437" s="58"/>
      <c r="D437" s="58"/>
      <c r="F437" s="58"/>
      <c r="G437" s="58"/>
      <c r="H437" s="58"/>
      <c r="I437" s="58"/>
      <c r="J437" s="58"/>
      <c r="K437" s="58"/>
    </row>
    <row r="438" spans="1:11">
      <c r="A438" s="210"/>
      <c r="B438" s="58"/>
      <c r="C438" s="58"/>
      <c r="D438" s="58"/>
      <c r="F438" s="58"/>
      <c r="G438" s="58"/>
      <c r="H438" s="58"/>
      <c r="I438" s="58"/>
      <c r="J438" s="58"/>
      <c r="K438" s="58"/>
    </row>
    <row r="439" spans="1:11">
      <c r="A439" s="210"/>
      <c r="B439" s="58"/>
      <c r="C439" s="58"/>
      <c r="D439" s="58"/>
      <c r="F439" s="58"/>
      <c r="G439" s="58"/>
      <c r="H439" s="58"/>
      <c r="I439" s="58"/>
      <c r="J439" s="58"/>
      <c r="K439" s="58"/>
    </row>
    <row r="440" spans="1:11">
      <c r="A440" s="210"/>
      <c r="B440" s="58"/>
      <c r="C440" s="58"/>
      <c r="D440" s="58"/>
      <c r="F440" s="58"/>
      <c r="G440" s="58"/>
      <c r="H440" s="58"/>
      <c r="I440" s="58"/>
      <c r="J440" s="58"/>
      <c r="K440" s="58"/>
    </row>
    <row r="441" spans="1:11">
      <c r="A441" s="210"/>
      <c r="B441" s="58"/>
      <c r="C441" s="58"/>
      <c r="D441" s="58"/>
      <c r="F441" s="58"/>
      <c r="G441" s="58"/>
      <c r="H441" s="58"/>
      <c r="I441" s="58"/>
      <c r="J441" s="58"/>
      <c r="K441" s="58"/>
    </row>
    <row r="442" spans="1:11">
      <c r="A442" s="210"/>
      <c r="B442" s="58"/>
      <c r="C442" s="58"/>
      <c r="D442" s="58"/>
      <c r="F442" s="58"/>
      <c r="G442" s="58"/>
      <c r="H442" s="58"/>
      <c r="I442" s="58"/>
      <c r="J442" s="58"/>
      <c r="K442" s="58"/>
    </row>
    <row r="443" spans="1:11">
      <c r="A443" s="210"/>
      <c r="B443" s="58"/>
      <c r="C443" s="58"/>
      <c r="D443" s="58"/>
      <c r="F443" s="58"/>
      <c r="G443" s="58"/>
      <c r="H443" s="58"/>
      <c r="I443" s="58"/>
      <c r="J443" s="58"/>
      <c r="K443" s="58"/>
    </row>
    <row r="444" spans="1:11">
      <c r="A444" s="210"/>
      <c r="B444" s="58"/>
      <c r="C444" s="58"/>
      <c r="D444" s="58"/>
      <c r="F444" s="58"/>
      <c r="G444" s="58"/>
      <c r="H444" s="58"/>
      <c r="I444" s="58"/>
      <c r="J444" s="58"/>
      <c r="K444" s="58"/>
    </row>
    <row r="445" spans="1:11">
      <c r="A445" s="210"/>
      <c r="B445" s="58"/>
      <c r="C445" s="58"/>
      <c r="D445" s="58"/>
      <c r="F445" s="58"/>
      <c r="G445" s="58"/>
      <c r="H445" s="58"/>
      <c r="I445" s="58"/>
      <c r="J445" s="58"/>
      <c r="K445" s="58"/>
    </row>
    <row r="446" spans="1:11">
      <c r="A446" s="210"/>
      <c r="B446" s="58"/>
      <c r="C446" s="58"/>
      <c r="D446" s="58"/>
      <c r="F446" s="58"/>
      <c r="G446" s="58"/>
      <c r="H446" s="58"/>
      <c r="I446" s="58"/>
      <c r="J446" s="58"/>
      <c r="K446" s="58"/>
    </row>
    <row r="447" spans="1:11">
      <c r="A447" s="210"/>
      <c r="B447" s="58"/>
      <c r="C447" s="58"/>
      <c r="D447" s="58"/>
      <c r="F447" s="58"/>
      <c r="G447" s="58"/>
      <c r="H447" s="58"/>
      <c r="I447" s="58"/>
      <c r="J447" s="58"/>
      <c r="K447" s="58"/>
    </row>
    <row r="448" spans="1:11">
      <c r="A448" s="210"/>
      <c r="B448" s="58"/>
      <c r="C448" s="58"/>
      <c r="D448" s="58"/>
      <c r="F448" s="58"/>
      <c r="G448" s="58"/>
      <c r="H448" s="58"/>
      <c r="I448" s="58"/>
      <c r="J448" s="58"/>
      <c r="K448" s="58"/>
    </row>
    <row r="449" spans="1:11">
      <c r="A449" s="210"/>
      <c r="B449" s="58"/>
      <c r="C449" s="58"/>
      <c r="D449" s="58"/>
      <c r="F449" s="58"/>
      <c r="G449" s="58"/>
      <c r="H449" s="58"/>
      <c r="I449" s="58"/>
      <c r="J449" s="58"/>
      <c r="K449" s="58"/>
    </row>
    <row r="450" spans="1:11">
      <c r="A450" s="210"/>
      <c r="B450" s="58"/>
      <c r="C450" s="58"/>
      <c r="D450" s="58"/>
      <c r="F450" s="58"/>
      <c r="G450" s="58"/>
      <c r="H450" s="58"/>
      <c r="I450" s="58"/>
      <c r="J450" s="58"/>
      <c r="K450" s="58"/>
    </row>
    <row r="451" spans="1:11">
      <c r="A451" s="210"/>
      <c r="B451" s="58"/>
      <c r="C451" s="58"/>
      <c r="D451" s="58"/>
      <c r="F451" s="58"/>
      <c r="G451" s="58"/>
      <c r="H451" s="58"/>
      <c r="I451" s="58"/>
      <c r="J451" s="58"/>
      <c r="K451" s="58"/>
    </row>
    <row r="452" spans="1:11">
      <c r="A452" s="210"/>
      <c r="B452" s="58"/>
      <c r="C452" s="58"/>
      <c r="D452" s="58"/>
      <c r="F452" s="58"/>
      <c r="G452" s="58"/>
      <c r="H452" s="58"/>
      <c r="I452" s="58"/>
      <c r="J452" s="58"/>
      <c r="K452" s="58"/>
    </row>
    <row r="453" spans="1:11">
      <c r="A453" s="210"/>
      <c r="B453" s="58"/>
      <c r="C453" s="58"/>
      <c r="D453" s="58"/>
      <c r="F453" s="58"/>
      <c r="G453" s="58"/>
      <c r="H453" s="58"/>
      <c r="I453" s="58"/>
      <c r="J453" s="58"/>
      <c r="K453" s="58"/>
    </row>
    <row r="454" spans="1:11">
      <c r="A454" s="210"/>
      <c r="B454" s="58"/>
      <c r="C454" s="58"/>
      <c r="D454" s="58"/>
      <c r="F454" s="58"/>
      <c r="G454" s="58"/>
      <c r="H454" s="58"/>
      <c r="I454" s="58"/>
      <c r="J454" s="58"/>
      <c r="K454" s="58"/>
    </row>
    <row r="455" spans="1:11">
      <c r="A455" s="210"/>
      <c r="B455" s="58"/>
      <c r="C455" s="58"/>
      <c r="D455" s="58"/>
      <c r="F455" s="58"/>
      <c r="G455" s="58"/>
      <c r="H455" s="58"/>
      <c r="I455" s="58"/>
      <c r="J455" s="58"/>
      <c r="K455" s="58"/>
    </row>
    <row r="456" spans="1:11">
      <c r="A456" s="210"/>
      <c r="B456" s="58"/>
      <c r="C456" s="58"/>
      <c r="D456" s="58"/>
      <c r="F456" s="58"/>
      <c r="G456" s="58"/>
      <c r="H456" s="58"/>
      <c r="I456" s="58"/>
      <c r="J456" s="58"/>
      <c r="K456" s="58"/>
    </row>
    <row r="457" spans="1:11">
      <c r="A457" s="210"/>
      <c r="B457" s="58"/>
      <c r="C457" s="58"/>
      <c r="D457" s="58"/>
      <c r="F457" s="58"/>
      <c r="G457" s="58"/>
      <c r="H457" s="58"/>
      <c r="I457" s="58"/>
      <c r="J457" s="58"/>
      <c r="K457" s="58"/>
    </row>
    <row r="458" spans="1:11">
      <c r="A458" s="210"/>
      <c r="B458" s="58"/>
      <c r="C458" s="58"/>
      <c r="D458" s="58"/>
      <c r="F458" s="58"/>
      <c r="G458" s="58"/>
      <c r="H458" s="58"/>
      <c r="I458" s="58"/>
      <c r="J458" s="58"/>
      <c r="K458" s="58"/>
    </row>
    <row r="459" spans="1:11">
      <c r="A459" s="210"/>
      <c r="B459" s="58"/>
      <c r="C459" s="58"/>
      <c r="D459" s="58"/>
      <c r="F459" s="58"/>
      <c r="G459" s="58"/>
      <c r="H459" s="58"/>
      <c r="I459" s="58"/>
      <c r="J459" s="58"/>
      <c r="K459" s="58"/>
    </row>
    <row r="460" spans="1:11">
      <c r="A460" s="210"/>
      <c r="B460" s="58"/>
      <c r="C460" s="58"/>
      <c r="D460" s="58"/>
      <c r="F460" s="58"/>
      <c r="G460" s="58"/>
      <c r="H460" s="58"/>
      <c r="I460" s="58"/>
      <c r="J460" s="58"/>
      <c r="K460" s="58"/>
    </row>
    <row r="461" spans="1:11">
      <c r="A461" s="210"/>
      <c r="B461" s="58"/>
      <c r="C461" s="58"/>
      <c r="D461" s="58"/>
      <c r="F461" s="58"/>
      <c r="G461" s="58"/>
      <c r="H461" s="58"/>
      <c r="I461" s="58"/>
      <c r="J461" s="58"/>
      <c r="K461" s="58"/>
    </row>
    <row r="462" spans="1:11">
      <c r="A462" s="210"/>
      <c r="B462" s="58"/>
      <c r="C462" s="58"/>
      <c r="D462" s="58"/>
      <c r="F462" s="58"/>
      <c r="G462" s="58"/>
      <c r="H462" s="58"/>
      <c r="I462" s="58"/>
      <c r="J462" s="58"/>
      <c r="K462" s="58"/>
    </row>
    <row r="463" spans="1:11">
      <c r="A463" s="210"/>
      <c r="B463" s="58"/>
      <c r="C463" s="58"/>
      <c r="D463" s="58"/>
      <c r="F463" s="58"/>
      <c r="G463" s="58"/>
      <c r="H463" s="58"/>
      <c r="I463" s="58"/>
      <c r="J463" s="58"/>
      <c r="K463" s="58"/>
    </row>
    <row r="464" spans="1:11">
      <c r="A464" s="210"/>
      <c r="B464" s="58"/>
      <c r="C464" s="58"/>
      <c r="D464" s="58"/>
      <c r="F464" s="58"/>
      <c r="G464" s="58"/>
      <c r="H464" s="58"/>
      <c r="I464" s="58"/>
      <c r="J464" s="58"/>
      <c r="K464" s="58"/>
    </row>
    <row r="465" spans="1:11">
      <c r="A465" s="210"/>
      <c r="B465" s="58"/>
      <c r="C465" s="58"/>
      <c r="D465" s="58"/>
      <c r="F465" s="58"/>
      <c r="G465" s="58"/>
      <c r="H465" s="58"/>
      <c r="I465" s="58"/>
      <c r="J465" s="58"/>
      <c r="K465" s="58"/>
    </row>
    <row r="466" spans="1:11">
      <c r="A466" s="210"/>
      <c r="B466" s="58"/>
      <c r="C466" s="58"/>
      <c r="D466" s="58"/>
      <c r="F466" s="58"/>
      <c r="G466" s="58"/>
      <c r="H466" s="58"/>
      <c r="I466" s="58"/>
      <c r="J466" s="58"/>
      <c r="K466" s="58"/>
    </row>
    <row r="467" spans="1:11">
      <c r="A467" s="210"/>
      <c r="B467" s="58"/>
      <c r="C467" s="58"/>
      <c r="D467" s="58"/>
      <c r="F467" s="58"/>
      <c r="G467" s="58"/>
      <c r="H467" s="58"/>
      <c r="I467" s="58"/>
      <c r="J467" s="58"/>
      <c r="K467" s="58"/>
    </row>
    <row r="468" spans="1:11">
      <c r="A468" s="210"/>
      <c r="B468" s="58"/>
      <c r="C468" s="58"/>
      <c r="D468" s="58"/>
      <c r="F468" s="58"/>
      <c r="G468" s="58"/>
      <c r="H468" s="58"/>
      <c r="I468" s="58"/>
      <c r="J468" s="58"/>
      <c r="K468" s="58"/>
    </row>
    <row r="469" spans="1:11">
      <c r="A469" s="210"/>
      <c r="B469" s="58"/>
      <c r="C469" s="58"/>
      <c r="D469" s="58"/>
      <c r="F469" s="58"/>
      <c r="G469" s="58"/>
      <c r="H469" s="58"/>
      <c r="I469" s="58"/>
      <c r="J469" s="58"/>
      <c r="K469" s="58"/>
    </row>
    <row r="470" spans="1:11">
      <c r="A470" s="210"/>
      <c r="B470" s="58"/>
      <c r="C470" s="58"/>
      <c r="D470" s="58"/>
      <c r="F470" s="58"/>
      <c r="G470" s="58"/>
      <c r="H470" s="58"/>
      <c r="I470" s="58"/>
      <c r="J470" s="58"/>
      <c r="K470" s="58"/>
    </row>
    <row r="471" spans="1:11">
      <c r="A471" s="210"/>
      <c r="B471" s="58"/>
      <c r="C471" s="58"/>
      <c r="D471" s="58"/>
      <c r="F471" s="58"/>
      <c r="G471" s="58"/>
      <c r="H471" s="58"/>
      <c r="I471" s="58"/>
      <c r="J471" s="58"/>
      <c r="K471" s="58"/>
    </row>
    <row r="472" spans="1:11">
      <c r="A472" s="210"/>
      <c r="B472" s="58"/>
      <c r="C472" s="58"/>
      <c r="D472" s="58"/>
      <c r="F472" s="58"/>
      <c r="G472" s="58"/>
      <c r="H472" s="58"/>
      <c r="I472" s="58"/>
      <c r="J472" s="58"/>
      <c r="K472" s="58"/>
    </row>
    <row r="473" spans="1:11">
      <c r="A473" s="210"/>
      <c r="B473" s="58"/>
      <c r="C473" s="58"/>
      <c r="D473" s="58"/>
      <c r="F473" s="58"/>
      <c r="G473" s="58"/>
      <c r="H473" s="58"/>
      <c r="I473" s="58"/>
      <c r="J473" s="58"/>
      <c r="K473" s="58"/>
    </row>
    <row r="474" spans="1:11">
      <c r="A474" s="210"/>
      <c r="B474" s="58"/>
      <c r="C474" s="58"/>
      <c r="D474" s="58"/>
      <c r="F474" s="58"/>
      <c r="G474" s="58"/>
      <c r="H474" s="58"/>
      <c r="I474" s="58"/>
      <c r="J474" s="58"/>
      <c r="K474" s="58"/>
    </row>
    <row r="475" spans="1:11">
      <c r="A475" s="210"/>
      <c r="B475" s="58"/>
      <c r="C475" s="58"/>
      <c r="D475" s="58"/>
      <c r="F475" s="58"/>
      <c r="G475" s="58"/>
      <c r="H475" s="58"/>
      <c r="I475" s="58"/>
      <c r="J475" s="58"/>
      <c r="K475" s="58"/>
    </row>
    <row r="476" spans="1:11">
      <c r="A476" s="210"/>
      <c r="B476" s="58"/>
      <c r="C476" s="58"/>
      <c r="D476" s="58"/>
      <c r="F476" s="58"/>
      <c r="G476" s="58"/>
      <c r="H476" s="58"/>
      <c r="I476" s="58"/>
      <c r="J476" s="58"/>
      <c r="K476" s="58"/>
    </row>
    <row r="477" spans="1:11">
      <c r="A477" s="210"/>
      <c r="B477" s="58"/>
      <c r="C477" s="58"/>
      <c r="D477" s="58"/>
      <c r="F477" s="58"/>
      <c r="G477" s="58"/>
      <c r="H477" s="58"/>
      <c r="I477" s="58"/>
      <c r="J477" s="58"/>
      <c r="K477" s="58"/>
    </row>
    <row r="478" spans="1:11">
      <c r="A478" s="210"/>
      <c r="B478" s="58"/>
      <c r="C478" s="58"/>
      <c r="D478" s="58"/>
      <c r="F478" s="58"/>
      <c r="G478" s="58"/>
      <c r="H478" s="58"/>
      <c r="I478" s="58"/>
      <c r="J478" s="58"/>
      <c r="K478" s="58"/>
    </row>
    <row r="479" spans="1:11">
      <c r="A479" s="210"/>
      <c r="B479" s="58"/>
      <c r="C479" s="58"/>
      <c r="D479" s="58"/>
      <c r="F479" s="58"/>
      <c r="G479" s="58"/>
      <c r="H479" s="58"/>
      <c r="I479" s="58"/>
      <c r="J479" s="58"/>
      <c r="K479" s="58"/>
    </row>
    <row r="480" spans="1:11">
      <c r="A480" s="210"/>
      <c r="B480" s="58"/>
      <c r="C480" s="58"/>
      <c r="D480" s="58"/>
      <c r="F480" s="58"/>
      <c r="G480" s="58"/>
      <c r="H480" s="58"/>
      <c r="I480" s="58"/>
      <c r="J480" s="58"/>
      <c r="K480" s="58"/>
    </row>
    <row r="481" spans="1:11">
      <c r="A481" s="210"/>
      <c r="B481" s="58"/>
      <c r="C481" s="58"/>
      <c r="D481" s="58"/>
      <c r="F481" s="58"/>
      <c r="G481" s="58"/>
      <c r="H481" s="58"/>
      <c r="I481" s="58"/>
      <c r="J481" s="58"/>
      <c r="K481" s="58"/>
    </row>
    <row r="482" spans="1:11">
      <c r="A482" s="210"/>
      <c r="B482" s="58"/>
      <c r="C482" s="58"/>
      <c r="D482" s="58"/>
      <c r="F482" s="58"/>
      <c r="G482" s="58"/>
      <c r="H482" s="58"/>
      <c r="I482" s="58"/>
      <c r="J482" s="58"/>
      <c r="K482" s="58"/>
    </row>
    <row r="483" spans="1:11">
      <c r="A483" s="210"/>
      <c r="B483" s="58"/>
      <c r="C483" s="58"/>
      <c r="D483" s="58"/>
      <c r="F483" s="58"/>
      <c r="G483" s="58"/>
      <c r="H483" s="58"/>
      <c r="I483" s="58"/>
      <c r="J483" s="58"/>
      <c r="K483" s="58"/>
    </row>
    <row r="484" spans="1:11">
      <c r="A484" s="210"/>
      <c r="B484" s="58"/>
      <c r="C484" s="58"/>
      <c r="D484" s="58"/>
      <c r="F484" s="58"/>
      <c r="G484" s="58"/>
      <c r="H484" s="58"/>
      <c r="I484" s="58"/>
      <c r="J484" s="58"/>
      <c r="K484" s="58"/>
    </row>
    <row r="485" spans="1:11">
      <c r="A485" s="210"/>
      <c r="B485" s="58"/>
      <c r="C485" s="58"/>
      <c r="D485" s="58"/>
      <c r="F485" s="58"/>
      <c r="G485" s="58"/>
      <c r="H485" s="58"/>
      <c r="I485" s="58"/>
      <c r="J485" s="58"/>
      <c r="K485" s="58"/>
    </row>
    <row r="486" spans="1:11">
      <c r="A486" s="210"/>
      <c r="B486" s="58"/>
      <c r="C486" s="58"/>
      <c r="D486" s="58"/>
      <c r="F486" s="58"/>
      <c r="G486" s="58"/>
      <c r="H486" s="58"/>
      <c r="I486" s="58"/>
      <c r="J486" s="58"/>
      <c r="K486" s="58"/>
    </row>
    <row r="487" spans="1:11">
      <c r="A487" s="210"/>
      <c r="B487" s="58"/>
      <c r="C487" s="58"/>
      <c r="D487" s="58"/>
      <c r="F487" s="58"/>
      <c r="G487" s="58"/>
      <c r="H487" s="58"/>
      <c r="I487" s="58"/>
      <c r="J487" s="58"/>
      <c r="K487" s="58"/>
    </row>
    <row r="488" spans="1:11">
      <c r="A488" s="210"/>
      <c r="B488" s="58"/>
      <c r="C488" s="58"/>
      <c r="D488" s="58"/>
      <c r="F488" s="58"/>
      <c r="G488" s="58"/>
      <c r="H488" s="58"/>
      <c r="I488" s="58"/>
      <c r="J488" s="58"/>
      <c r="K488" s="58"/>
    </row>
    <row r="489" spans="1:11">
      <c r="A489" s="210"/>
      <c r="B489" s="58"/>
      <c r="C489" s="58"/>
      <c r="D489" s="58"/>
      <c r="F489" s="58"/>
      <c r="G489" s="58"/>
      <c r="H489" s="58"/>
      <c r="I489" s="58"/>
      <c r="J489" s="58"/>
      <c r="K489" s="58"/>
    </row>
    <row r="490" spans="1:11">
      <c r="A490" s="210"/>
      <c r="B490" s="58"/>
      <c r="C490" s="58"/>
      <c r="D490" s="58"/>
      <c r="F490" s="58"/>
      <c r="G490" s="58"/>
      <c r="H490" s="58"/>
      <c r="I490" s="58"/>
      <c r="J490" s="58"/>
      <c r="K490" s="58"/>
    </row>
    <row r="491" spans="1:11">
      <c r="A491" s="210"/>
      <c r="B491" s="58"/>
      <c r="C491" s="58"/>
      <c r="D491" s="58"/>
      <c r="F491" s="58"/>
      <c r="G491" s="58"/>
      <c r="H491" s="58"/>
      <c r="I491" s="58"/>
      <c r="J491" s="58"/>
      <c r="K491" s="58"/>
    </row>
    <row r="492" spans="1:11">
      <c r="A492" s="210"/>
      <c r="B492" s="58"/>
      <c r="C492" s="58"/>
      <c r="D492" s="58"/>
      <c r="F492" s="58"/>
      <c r="G492" s="58"/>
      <c r="H492" s="58"/>
      <c r="I492" s="58"/>
      <c r="J492" s="58"/>
      <c r="K492" s="58"/>
    </row>
    <row r="493" spans="1:11">
      <c r="A493" s="210"/>
      <c r="B493" s="58"/>
      <c r="C493" s="58"/>
      <c r="D493" s="58"/>
      <c r="F493" s="58"/>
      <c r="G493" s="58"/>
      <c r="H493" s="58"/>
      <c r="I493" s="58"/>
      <c r="J493" s="58"/>
      <c r="K493" s="58"/>
    </row>
    <row r="494" spans="1:11">
      <c r="A494" s="210"/>
      <c r="B494" s="58"/>
      <c r="C494" s="58"/>
      <c r="D494" s="58"/>
      <c r="F494" s="58"/>
      <c r="G494" s="58"/>
      <c r="H494" s="58"/>
      <c r="I494" s="58"/>
      <c r="J494" s="58"/>
      <c r="K494" s="58"/>
    </row>
    <row r="495" spans="1:11">
      <c r="A495" s="210"/>
      <c r="B495" s="58"/>
      <c r="C495" s="58"/>
      <c r="D495" s="58"/>
      <c r="F495" s="58"/>
      <c r="G495" s="58"/>
      <c r="H495" s="58"/>
      <c r="I495" s="58"/>
      <c r="J495" s="58"/>
      <c r="K495" s="58"/>
    </row>
    <row r="496" spans="1:11">
      <c r="A496" s="210"/>
      <c r="B496" s="58"/>
      <c r="C496" s="58"/>
      <c r="D496" s="58"/>
      <c r="F496" s="58"/>
      <c r="G496" s="58"/>
      <c r="H496" s="58"/>
      <c r="I496" s="58"/>
      <c r="J496" s="58"/>
      <c r="K496" s="58"/>
    </row>
    <row r="497" spans="1:11">
      <c r="A497" s="210"/>
      <c r="B497" s="58"/>
      <c r="C497" s="58"/>
      <c r="D497" s="58"/>
      <c r="F497" s="58"/>
      <c r="G497" s="58"/>
      <c r="H497" s="58"/>
      <c r="I497" s="58"/>
      <c r="J497" s="58"/>
      <c r="K497" s="58"/>
    </row>
    <row r="498" spans="1:11">
      <c r="A498" s="210"/>
      <c r="B498" s="58"/>
      <c r="C498" s="58"/>
      <c r="D498" s="58"/>
      <c r="F498" s="58"/>
      <c r="G498" s="58"/>
      <c r="H498" s="58"/>
      <c r="I498" s="58"/>
      <c r="J498" s="58"/>
      <c r="K498" s="58"/>
    </row>
    <row r="499" spans="1:11">
      <c r="A499" s="210"/>
      <c r="B499" s="58"/>
      <c r="C499" s="58"/>
      <c r="D499" s="58"/>
      <c r="F499" s="58"/>
      <c r="G499" s="58"/>
      <c r="H499" s="58"/>
      <c r="I499" s="58"/>
      <c r="J499" s="58"/>
      <c r="K499" s="58"/>
    </row>
    <row r="500" spans="1:11">
      <c r="A500" s="210"/>
      <c r="B500" s="58"/>
      <c r="C500" s="58"/>
      <c r="D500" s="58"/>
      <c r="F500" s="58"/>
      <c r="G500" s="58"/>
      <c r="H500" s="58"/>
      <c r="I500" s="58"/>
      <c r="J500" s="58"/>
      <c r="K500" s="58"/>
    </row>
    <row r="501" spans="1:11">
      <c r="A501" s="210"/>
      <c r="B501" s="58"/>
      <c r="C501" s="58"/>
      <c r="D501" s="58"/>
      <c r="F501" s="58"/>
      <c r="G501" s="58"/>
      <c r="H501" s="58"/>
      <c r="I501" s="58"/>
      <c r="J501" s="58"/>
      <c r="K501" s="58"/>
    </row>
    <row r="502" spans="1:11">
      <c r="A502" s="210"/>
      <c r="B502" s="58"/>
      <c r="C502" s="58"/>
      <c r="D502" s="58"/>
      <c r="F502" s="58"/>
      <c r="G502" s="58"/>
      <c r="H502" s="58"/>
      <c r="I502" s="58"/>
      <c r="J502" s="58"/>
      <c r="K502" s="58"/>
    </row>
    <row r="503" spans="1:11">
      <c r="A503" s="210"/>
      <c r="B503" s="58"/>
      <c r="C503" s="58"/>
      <c r="D503" s="58"/>
      <c r="F503" s="58"/>
      <c r="G503" s="58"/>
      <c r="H503" s="58"/>
      <c r="I503" s="58"/>
      <c r="J503" s="58"/>
      <c r="K503" s="58"/>
    </row>
    <row r="504" spans="1:11">
      <c r="A504" s="210"/>
      <c r="B504" s="58"/>
      <c r="C504" s="58"/>
      <c r="D504" s="58"/>
      <c r="F504" s="58"/>
      <c r="G504" s="58"/>
      <c r="H504" s="58"/>
      <c r="I504" s="58"/>
      <c r="J504" s="58"/>
      <c r="K504" s="58"/>
    </row>
    <row r="505" spans="1:11">
      <c r="A505" s="210"/>
      <c r="B505" s="58"/>
      <c r="C505" s="58"/>
      <c r="D505" s="58"/>
      <c r="F505" s="58"/>
      <c r="G505" s="58"/>
      <c r="H505" s="58"/>
      <c r="I505" s="58"/>
      <c r="J505" s="58"/>
      <c r="K505" s="58"/>
    </row>
    <row r="506" spans="1:11">
      <c r="A506" s="210"/>
      <c r="B506" s="58"/>
      <c r="C506" s="58"/>
      <c r="D506" s="58"/>
      <c r="F506" s="58"/>
      <c r="G506" s="58"/>
      <c r="H506" s="58"/>
      <c r="I506" s="58"/>
      <c r="J506" s="58"/>
      <c r="K506" s="58"/>
    </row>
    <row r="507" spans="1:11">
      <c r="A507" s="210"/>
      <c r="B507" s="58"/>
      <c r="C507" s="58"/>
      <c r="D507" s="58"/>
      <c r="F507" s="58"/>
      <c r="G507" s="58"/>
      <c r="H507" s="58"/>
      <c r="I507" s="58"/>
      <c r="J507" s="58"/>
      <c r="K507" s="58"/>
    </row>
    <row r="508" spans="1:11">
      <c r="A508" s="210"/>
      <c r="B508" s="58"/>
      <c r="C508" s="58"/>
      <c r="D508" s="58"/>
      <c r="F508" s="58"/>
      <c r="G508" s="58"/>
      <c r="H508" s="58"/>
      <c r="I508" s="58"/>
      <c r="J508" s="58"/>
      <c r="K508" s="58"/>
    </row>
    <row r="509" spans="1:11">
      <c r="A509" s="210"/>
      <c r="B509" s="58"/>
      <c r="C509" s="58"/>
      <c r="D509" s="58"/>
      <c r="F509" s="58"/>
      <c r="G509" s="58"/>
      <c r="H509" s="58"/>
      <c r="I509" s="58"/>
      <c r="J509" s="58"/>
      <c r="K509" s="58"/>
    </row>
    <row r="510" spans="1:11">
      <c r="A510" s="210"/>
      <c r="B510" s="58"/>
      <c r="C510" s="58"/>
      <c r="D510" s="58"/>
      <c r="F510" s="58"/>
      <c r="G510" s="58"/>
      <c r="H510" s="58"/>
      <c r="I510" s="58"/>
      <c r="J510" s="58"/>
      <c r="K510" s="58"/>
    </row>
    <row r="511" spans="1:11">
      <c r="A511" s="210"/>
      <c r="B511" s="58"/>
      <c r="C511" s="58"/>
      <c r="D511" s="58"/>
      <c r="F511" s="58"/>
      <c r="G511" s="58"/>
      <c r="H511" s="58"/>
      <c r="I511" s="58"/>
      <c r="J511" s="58"/>
      <c r="K511" s="58"/>
    </row>
    <row r="512" spans="1:11">
      <c r="A512" s="210"/>
      <c r="B512" s="58"/>
      <c r="C512" s="58"/>
      <c r="D512" s="58"/>
      <c r="F512" s="58"/>
      <c r="G512" s="58"/>
      <c r="H512" s="58"/>
      <c r="I512" s="58"/>
      <c r="J512" s="58"/>
      <c r="K512" s="58"/>
    </row>
    <row r="513" spans="1:11">
      <c r="A513" s="210"/>
      <c r="B513" s="58"/>
      <c r="C513" s="58"/>
      <c r="D513" s="58"/>
      <c r="F513" s="58"/>
      <c r="G513" s="58"/>
      <c r="H513" s="58"/>
      <c r="I513" s="58"/>
      <c r="J513" s="58"/>
      <c r="K513" s="58"/>
    </row>
    <row r="514" spans="1:11">
      <c r="A514" s="210"/>
      <c r="B514" s="58"/>
      <c r="C514" s="58"/>
      <c r="D514" s="58"/>
      <c r="F514" s="58"/>
      <c r="G514" s="58"/>
      <c r="H514" s="58"/>
      <c r="I514" s="58"/>
      <c r="J514" s="58"/>
      <c r="K514" s="58"/>
    </row>
    <row r="515" spans="1:11">
      <c r="A515" s="210"/>
      <c r="B515" s="58"/>
      <c r="C515" s="58"/>
      <c r="D515" s="58"/>
      <c r="F515" s="58"/>
      <c r="G515" s="58"/>
      <c r="H515" s="58"/>
      <c r="I515" s="58"/>
      <c r="J515" s="58"/>
      <c r="K515" s="58"/>
    </row>
    <row r="516" spans="1:11">
      <c r="A516" s="210"/>
      <c r="B516" s="58"/>
      <c r="C516" s="58"/>
      <c r="D516" s="58"/>
      <c r="F516" s="58"/>
      <c r="G516" s="58"/>
      <c r="H516" s="58"/>
      <c r="I516" s="58"/>
      <c r="J516" s="58"/>
      <c r="K516" s="58"/>
    </row>
    <row r="517" spans="1:11">
      <c r="A517" s="210"/>
      <c r="B517" s="58"/>
      <c r="C517" s="58"/>
      <c r="D517" s="58"/>
      <c r="F517" s="58"/>
      <c r="G517" s="58"/>
      <c r="H517" s="58"/>
      <c r="I517" s="58"/>
      <c r="J517" s="58"/>
      <c r="K517" s="58"/>
    </row>
    <row r="518" spans="1:11">
      <c r="A518" s="210"/>
      <c r="B518" s="58"/>
      <c r="C518" s="58"/>
      <c r="D518" s="58"/>
      <c r="F518" s="58"/>
      <c r="G518" s="58"/>
      <c r="H518" s="58"/>
      <c r="I518" s="58"/>
      <c r="J518" s="58"/>
      <c r="K518" s="58"/>
    </row>
    <row r="519" spans="1:11">
      <c r="A519" s="210"/>
      <c r="B519" s="58"/>
      <c r="C519" s="58"/>
      <c r="D519" s="58"/>
      <c r="F519" s="58"/>
      <c r="G519" s="58"/>
      <c r="H519" s="58"/>
      <c r="I519" s="58"/>
      <c r="J519" s="58"/>
      <c r="K519" s="58"/>
    </row>
    <row r="520" spans="1:11">
      <c r="A520" s="210"/>
      <c r="B520" s="58"/>
      <c r="C520" s="58"/>
      <c r="D520" s="58"/>
      <c r="F520" s="58"/>
      <c r="G520" s="58"/>
      <c r="H520" s="58"/>
      <c r="I520" s="58"/>
      <c r="J520" s="58"/>
      <c r="K520" s="58"/>
    </row>
    <row r="521" spans="1:11">
      <c r="A521" s="210"/>
      <c r="B521" s="58"/>
      <c r="C521" s="58"/>
      <c r="D521" s="58"/>
      <c r="F521" s="58"/>
      <c r="G521" s="58"/>
      <c r="H521" s="58"/>
      <c r="I521" s="58"/>
      <c r="J521" s="58"/>
      <c r="K521" s="58"/>
    </row>
    <row r="522" spans="1:11">
      <c r="A522" s="210"/>
      <c r="B522" s="58"/>
      <c r="C522" s="58"/>
      <c r="D522" s="58"/>
      <c r="F522" s="58"/>
      <c r="G522" s="58"/>
      <c r="H522" s="58"/>
      <c r="I522" s="58"/>
      <c r="J522" s="58"/>
      <c r="K522" s="58"/>
    </row>
    <row r="523" spans="1:11">
      <c r="A523" s="210"/>
      <c r="B523" s="58"/>
      <c r="C523" s="58"/>
      <c r="D523" s="58"/>
      <c r="F523" s="58"/>
      <c r="G523" s="58"/>
      <c r="H523" s="58"/>
      <c r="I523" s="58"/>
      <c r="J523" s="58"/>
      <c r="K523" s="58"/>
    </row>
    <row r="524" spans="1:11">
      <c r="A524" s="210"/>
      <c r="B524" s="58"/>
      <c r="C524" s="58"/>
      <c r="D524" s="58"/>
      <c r="F524" s="58"/>
      <c r="G524" s="58"/>
      <c r="H524" s="58"/>
      <c r="I524" s="58"/>
      <c r="J524" s="58"/>
      <c r="K524" s="58"/>
    </row>
    <row r="525" spans="1:11">
      <c r="A525" s="210"/>
      <c r="B525" s="58"/>
      <c r="C525" s="58"/>
      <c r="D525" s="58"/>
      <c r="F525" s="58"/>
      <c r="G525" s="58"/>
      <c r="H525" s="58"/>
      <c r="I525" s="58"/>
      <c r="J525" s="58"/>
      <c r="K525" s="58"/>
    </row>
    <row r="526" spans="1:11">
      <c r="A526" s="210"/>
      <c r="B526" s="58"/>
      <c r="C526" s="58"/>
      <c r="D526" s="58"/>
      <c r="F526" s="58"/>
      <c r="G526" s="58"/>
      <c r="H526" s="58"/>
      <c r="I526" s="58"/>
      <c r="J526" s="58"/>
      <c r="K526" s="58"/>
    </row>
    <row r="527" spans="1:11">
      <c r="A527" s="210"/>
      <c r="B527" s="58"/>
      <c r="C527" s="58"/>
      <c r="D527" s="58"/>
      <c r="F527" s="58"/>
      <c r="G527" s="58"/>
      <c r="H527" s="58"/>
      <c r="I527" s="58"/>
      <c r="J527" s="58"/>
      <c r="K527" s="58"/>
    </row>
    <row r="528" spans="1:11">
      <c r="A528" s="210"/>
      <c r="B528" s="58"/>
      <c r="C528" s="58"/>
      <c r="D528" s="58"/>
      <c r="F528" s="58"/>
      <c r="G528" s="58"/>
      <c r="H528" s="58"/>
      <c r="I528" s="58"/>
      <c r="J528" s="58"/>
      <c r="K528" s="58"/>
    </row>
    <row r="529" spans="1:11">
      <c r="A529" s="210"/>
      <c r="B529" s="58"/>
      <c r="C529" s="58"/>
      <c r="D529" s="58"/>
      <c r="F529" s="58"/>
      <c r="G529" s="58"/>
      <c r="H529" s="58"/>
      <c r="I529" s="58"/>
      <c r="J529" s="58"/>
      <c r="K529" s="58"/>
    </row>
    <row r="530" spans="1:11">
      <c r="A530" s="210"/>
      <c r="B530" s="58"/>
      <c r="C530" s="58"/>
      <c r="D530" s="58"/>
      <c r="F530" s="58"/>
      <c r="G530" s="58"/>
      <c r="H530" s="58"/>
      <c r="I530" s="58"/>
      <c r="J530" s="58"/>
      <c r="K530" s="58"/>
    </row>
    <row r="531" spans="1:11">
      <c r="A531" s="210"/>
      <c r="B531" s="58"/>
      <c r="C531" s="58"/>
      <c r="D531" s="58"/>
      <c r="F531" s="58"/>
      <c r="G531" s="58"/>
      <c r="H531" s="58"/>
      <c r="I531" s="58"/>
      <c r="J531" s="58"/>
      <c r="K531" s="58"/>
    </row>
    <row r="532" spans="1:11">
      <c r="A532" s="210"/>
      <c r="B532" s="58"/>
      <c r="C532" s="58"/>
      <c r="D532" s="58"/>
      <c r="F532" s="58"/>
      <c r="G532" s="58"/>
      <c r="H532" s="58"/>
      <c r="I532" s="58"/>
      <c r="J532" s="58"/>
      <c r="K532" s="58"/>
    </row>
    <row r="533" spans="1:11">
      <c r="A533" s="210"/>
      <c r="B533" s="58"/>
      <c r="C533" s="58"/>
      <c r="D533" s="58"/>
      <c r="F533" s="58"/>
      <c r="G533" s="58"/>
      <c r="H533" s="58"/>
      <c r="I533" s="58"/>
      <c r="J533" s="58"/>
      <c r="K533" s="58"/>
    </row>
    <row r="534" spans="1:11">
      <c r="A534" s="210"/>
      <c r="B534" s="58"/>
      <c r="C534" s="58"/>
      <c r="D534" s="58"/>
      <c r="F534" s="58"/>
      <c r="G534" s="58"/>
      <c r="H534" s="58"/>
      <c r="I534" s="58"/>
      <c r="J534" s="58"/>
      <c r="K534" s="58"/>
    </row>
    <row r="535" spans="1:11">
      <c r="A535" s="210"/>
      <c r="B535" s="58"/>
      <c r="C535" s="58"/>
      <c r="D535" s="58"/>
      <c r="F535" s="58"/>
      <c r="G535" s="58"/>
      <c r="H535" s="58"/>
      <c r="I535" s="58"/>
      <c r="J535" s="58"/>
      <c r="K535" s="58"/>
    </row>
    <row r="536" spans="1:11">
      <c r="A536" s="210"/>
      <c r="B536" s="58"/>
      <c r="C536" s="58"/>
      <c r="D536" s="58"/>
      <c r="F536" s="58"/>
      <c r="G536" s="58"/>
      <c r="H536" s="58"/>
      <c r="I536" s="58"/>
      <c r="J536" s="58"/>
      <c r="K536" s="58"/>
    </row>
    <row r="537" spans="1:11">
      <c r="A537" s="210"/>
      <c r="B537" s="58"/>
      <c r="C537" s="58"/>
      <c r="D537" s="58"/>
      <c r="F537" s="58"/>
      <c r="G537" s="58"/>
      <c r="H537" s="58"/>
      <c r="I537" s="58"/>
      <c r="J537" s="58"/>
      <c r="K537" s="58"/>
    </row>
    <row r="538" spans="1:11">
      <c r="A538" s="210"/>
      <c r="B538" s="58"/>
      <c r="C538" s="58"/>
      <c r="D538" s="58"/>
      <c r="F538" s="58"/>
      <c r="G538" s="58"/>
      <c r="H538" s="58"/>
      <c r="I538" s="58"/>
      <c r="J538" s="58"/>
      <c r="K538" s="58"/>
    </row>
    <row r="539" spans="1:11">
      <c r="A539" s="210"/>
      <c r="B539" s="58"/>
      <c r="C539" s="58"/>
      <c r="D539" s="58"/>
      <c r="F539" s="58"/>
      <c r="G539" s="58"/>
      <c r="H539" s="58"/>
      <c r="I539" s="58"/>
      <c r="J539" s="58"/>
      <c r="K539" s="58"/>
    </row>
    <row r="540" spans="1:11">
      <c r="A540" s="210"/>
      <c r="B540" s="58"/>
      <c r="C540" s="58"/>
      <c r="D540" s="58"/>
      <c r="F540" s="58"/>
      <c r="G540" s="58"/>
      <c r="H540" s="58"/>
      <c r="I540" s="58"/>
      <c r="J540" s="58"/>
      <c r="K540" s="58"/>
    </row>
    <row r="541" spans="1:11">
      <c r="A541" s="210"/>
      <c r="B541" s="58"/>
      <c r="C541" s="58"/>
      <c r="D541" s="58"/>
      <c r="F541" s="58"/>
      <c r="G541" s="58"/>
      <c r="H541" s="58"/>
      <c r="I541" s="58"/>
      <c r="J541" s="58"/>
      <c r="K541" s="58"/>
    </row>
    <row r="542" spans="1:11">
      <c r="A542" s="210"/>
      <c r="B542" s="58"/>
      <c r="C542" s="58"/>
      <c r="D542" s="58"/>
      <c r="F542" s="58"/>
      <c r="G542" s="58"/>
      <c r="H542" s="58"/>
      <c r="I542" s="58"/>
      <c r="J542" s="58"/>
      <c r="K542" s="58"/>
    </row>
    <row r="543" spans="1:11">
      <c r="A543" s="210"/>
      <c r="B543" s="58"/>
      <c r="C543" s="58"/>
      <c r="D543" s="58"/>
      <c r="F543" s="58"/>
      <c r="G543" s="58"/>
      <c r="H543" s="58"/>
      <c r="I543" s="58"/>
      <c r="J543" s="58"/>
      <c r="K543" s="58"/>
    </row>
    <row r="544" spans="1:11">
      <c r="A544" s="210"/>
      <c r="B544" s="58"/>
      <c r="C544" s="58"/>
      <c r="D544" s="58"/>
      <c r="F544" s="58"/>
      <c r="G544" s="58"/>
      <c r="H544" s="58"/>
      <c r="I544" s="58"/>
      <c r="J544" s="58"/>
      <c r="K544" s="58"/>
    </row>
    <row r="545" spans="1:11">
      <c r="A545" s="210"/>
      <c r="B545" s="58"/>
      <c r="C545" s="58"/>
      <c r="D545" s="58"/>
      <c r="F545" s="58"/>
      <c r="G545" s="58"/>
      <c r="H545" s="58"/>
      <c r="I545" s="58"/>
      <c r="J545" s="58"/>
      <c r="K545" s="58"/>
    </row>
    <row r="546" spans="1:11">
      <c r="A546" s="210"/>
      <c r="B546" s="58"/>
      <c r="C546" s="58"/>
      <c r="D546" s="58"/>
      <c r="F546" s="58"/>
      <c r="G546" s="58"/>
      <c r="H546" s="58"/>
      <c r="I546" s="58"/>
      <c r="J546" s="58"/>
      <c r="K546" s="58"/>
    </row>
    <row r="547" spans="1:11">
      <c r="A547" s="210"/>
      <c r="B547" s="58"/>
      <c r="C547" s="58"/>
      <c r="D547" s="58"/>
      <c r="F547" s="58"/>
      <c r="G547" s="58"/>
      <c r="H547" s="58"/>
      <c r="I547" s="58"/>
      <c r="J547" s="58"/>
      <c r="K547" s="58"/>
    </row>
    <row r="548" spans="1:11">
      <c r="A548" s="210"/>
      <c r="B548" s="58"/>
      <c r="C548" s="58"/>
      <c r="D548" s="58"/>
      <c r="F548" s="58"/>
      <c r="G548" s="58"/>
      <c r="H548" s="58"/>
      <c r="I548" s="58"/>
      <c r="J548" s="58"/>
      <c r="K548" s="58"/>
    </row>
    <row r="549" spans="1:11">
      <c r="A549" s="29"/>
      <c r="F549" s="58"/>
      <c r="G549" s="58"/>
      <c r="H549" s="58"/>
      <c r="I549" s="58"/>
      <c r="J549" s="58"/>
      <c r="K549" s="58"/>
    </row>
    <row r="550" spans="1:11">
      <c r="A550" s="29"/>
      <c r="F550" s="58"/>
      <c r="G550" s="58"/>
      <c r="H550" s="58"/>
      <c r="I550" s="58"/>
      <c r="J550" s="58"/>
      <c r="K550" s="58"/>
    </row>
    <row r="551" spans="1:11">
      <c r="A551" s="29"/>
      <c r="F551" s="58"/>
      <c r="G551" s="58"/>
      <c r="H551" s="58"/>
      <c r="I551" s="58"/>
      <c r="J551" s="58"/>
      <c r="K551" s="58"/>
    </row>
    <row r="552" spans="1:11">
      <c r="A552" s="29"/>
      <c r="F552" s="58"/>
      <c r="G552" s="58"/>
      <c r="H552" s="58"/>
      <c r="I552" s="58"/>
      <c r="J552" s="58"/>
      <c r="K552" s="58"/>
    </row>
    <row r="553" spans="1:11">
      <c r="A553" s="29"/>
      <c r="F553" s="58"/>
      <c r="G553" s="58"/>
      <c r="H553" s="58"/>
      <c r="I553" s="58"/>
      <c r="J553" s="58"/>
      <c r="K553" s="58"/>
    </row>
    <row r="554" spans="1:11">
      <c r="A554" s="29"/>
    </row>
    <row r="555" spans="1:11">
      <c r="A555" s="29"/>
    </row>
    <row r="556" spans="1:11">
      <c r="A556" s="29"/>
    </row>
    <row r="557" spans="1:11">
      <c r="A557" s="29"/>
    </row>
    <row r="558" spans="1:11">
      <c r="A558" s="29"/>
    </row>
    <row r="559" spans="1:11">
      <c r="A559" s="29"/>
    </row>
    <row r="560" spans="1:1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5">
    <mergeCell ref="M42:M43"/>
    <mergeCell ref="A1:D1"/>
    <mergeCell ref="F1:F3"/>
    <mergeCell ref="J1:J2"/>
    <mergeCell ref="K1:L2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5418-5133-5D48-95A7-2111471E9D33}">
  <dimension ref="A1:R819"/>
  <sheetViews>
    <sheetView zoomScale="85" zoomScaleNormal="85" workbookViewId="0">
      <pane xSplit="1" topLeftCell="B1" activePane="topRight" state="frozen"/>
      <selection pane="topRight" activeCell="N8" sqref="N8"/>
    </sheetView>
  </sheetViews>
  <sheetFormatPr defaultColWidth="11.42578125" defaultRowHeight="15"/>
  <cols>
    <col min="1" max="1" width="11.42578125" style="24"/>
    <col min="3" max="3" width="11.85546875" customWidth="1"/>
    <col min="4" max="4" width="11.42578125" style="23"/>
    <col min="5" max="5" width="11.42578125" style="58"/>
    <col min="6" max="6" width="17.5703125" style="58" bestFit="1" customWidth="1"/>
    <col min="7" max="8" width="15.28515625" style="58" bestFit="1" customWidth="1"/>
    <col min="9" max="9" width="18.28515625" style="58" bestFit="1" customWidth="1"/>
    <col min="10" max="11" width="15.42578125" style="58" bestFit="1" customWidth="1"/>
    <col min="12" max="12" width="10.42578125" style="58" bestFit="1" customWidth="1"/>
    <col min="13" max="13" width="13" customWidth="1"/>
    <col min="14" max="14" width="34.42578125" bestFit="1" customWidth="1"/>
    <col min="15" max="16" width="5.140625" customWidth="1"/>
    <col min="17" max="17" width="40.28515625" bestFit="1" customWidth="1"/>
    <col min="18" max="18" width="12.140625" bestFit="1" customWidth="1"/>
  </cols>
  <sheetData>
    <row r="1" spans="1:18" ht="23.25" customHeight="1" thickBot="1">
      <c r="A1" s="228" t="s">
        <v>17</v>
      </c>
      <c r="B1" s="229"/>
      <c r="C1" s="229"/>
      <c r="D1" s="230"/>
      <c r="E1" s="62"/>
      <c r="F1" s="62"/>
      <c r="G1" s="62"/>
      <c r="H1" s="62"/>
      <c r="I1" s="62"/>
      <c r="J1" s="62"/>
      <c r="K1" s="62"/>
      <c r="L1" s="62"/>
      <c r="M1" s="14"/>
      <c r="N1" s="169" t="s">
        <v>100</v>
      </c>
      <c r="O1" s="166"/>
      <c r="P1" s="58"/>
      <c r="Q1" t="s">
        <v>56</v>
      </c>
      <c r="R1">
        <v>1.5</v>
      </c>
    </row>
    <row r="2" spans="1:18" ht="27.95" customHeight="1" thickBot="1">
      <c r="A2" s="78" t="s">
        <v>18</v>
      </c>
      <c r="B2" s="79" t="s">
        <v>20</v>
      </c>
      <c r="C2" s="80" t="s">
        <v>21</v>
      </c>
      <c r="D2" s="81" t="s">
        <v>22</v>
      </c>
      <c r="E2" s="50"/>
      <c r="F2" s="172" t="s">
        <v>129</v>
      </c>
      <c r="G2" s="173" t="s">
        <v>126</v>
      </c>
      <c r="H2" s="173" t="s">
        <v>126</v>
      </c>
      <c r="I2" s="173" t="s">
        <v>124</v>
      </c>
      <c r="J2" s="173" t="s">
        <v>125</v>
      </c>
      <c r="K2" s="173" t="s">
        <v>125</v>
      </c>
      <c r="L2" s="178" t="s">
        <v>132</v>
      </c>
      <c r="M2" s="63"/>
      <c r="N2" s="167" t="s">
        <v>130</v>
      </c>
      <c r="O2" s="168">
        <v>8</v>
      </c>
      <c r="P2" s="49"/>
      <c r="Q2" t="s">
        <v>14</v>
      </c>
      <c r="R2">
        <v>0</v>
      </c>
    </row>
    <row r="3" spans="1:18" ht="15.75" thickBot="1">
      <c r="A3" s="93" t="s">
        <v>16</v>
      </c>
      <c r="B3" s="94" t="s">
        <v>19</v>
      </c>
      <c r="C3" s="95" t="s">
        <v>23</v>
      </c>
      <c r="D3" s="96" t="s">
        <v>23</v>
      </c>
      <c r="E3" s="71"/>
      <c r="F3" s="174" t="s">
        <v>40</v>
      </c>
      <c r="G3" s="175" t="s">
        <v>127</v>
      </c>
      <c r="H3" s="175" t="s">
        <v>128</v>
      </c>
      <c r="I3" s="175" t="s">
        <v>40</v>
      </c>
      <c r="J3" s="175" t="s">
        <v>127</v>
      </c>
      <c r="K3" s="175" t="s">
        <v>128</v>
      </c>
      <c r="L3" s="179" t="s">
        <v>128</v>
      </c>
      <c r="M3" s="17"/>
      <c r="N3" s="176"/>
      <c r="Q3" t="s">
        <v>13</v>
      </c>
      <c r="R3">
        <v>32.200000000000003</v>
      </c>
    </row>
    <row r="4" spans="1:18">
      <c r="A4" s="180">
        <v>32</v>
      </c>
      <c r="B4" s="181">
        <v>452.82023903999999</v>
      </c>
      <c r="C4" s="182">
        <v>1.75999830112</v>
      </c>
      <c r="D4" s="183">
        <v>0.16525852904319999</v>
      </c>
      <c r="E4" s="50"/>
      <c r="F4" s="196">
        <f>$R$11 + (PI()*(($R$10/2)^2)*(($O$2/12)-($R$10/2)))</f>
        <v>0.13282190439303632</v>
      </c>
      <c r="G4" s="197">
        <f>F4*D4</f>
        <v>2.1949952544709724E-2</v>
      </c>
      <c r="H4" s="197">
        <f>G4*$O$4</f>
        <v>0.70621777317349066</v>
      </c>
      <c r="I4" s="197">
        <f>$R$15-$F$4</f>
        <v>0.61866202696804629</v>
      </c>
      <c r="J4" s="197">
        <f>C4*I4</f>
        <v>1.088844116431217</v>
      </c>
      <c r="K4" s="197">
        <f>J4*$O$4</f>
        <v>35.032470602057977</v>
      </c>
      <c r="L4" s="198">
        <f>H4+K4</f>
        <v>35.738688375231469</v>
      </c>
      <c r="M4" s="17"/>
      <c r="N4" s="205" t="s">
        <v>131</v>
      </c>
      <c r="O4" s="205">
        <v>32.173999999999999</v>
      </c>
      <c r="Q4" t="s">
        <v>57</v>
      </c>
      <c r="R4">
        <v>0.5</v>
      </c>
    </row>
    <row r="5" spans="1:18">
      <c r="A5" s="184">
        <v>32.9</v>
      </c>
      <c r="B5" s="185">
        <v>458.65366740000002</v>
      </c>
      <c r="C5" s="186">
        <v>1.7550485447999999</v>
      </c>
      <c r="D5" s="187">
        <v>0.16772615040639999</v>
      </c>
      <c r="E5" s="50"/>
      <c r="F5" s="199">
        <f t="shared" ref="F5:F53" si="0">$R$11 + (PI()*(($R$10/2)^2)*(($O$2/12)-($R$10/2)))</f>
        <v>0.13282190439303632</v>
      </c>
      <c r="G5" s="200">
        <f t="shared" ref="G5:G53" si="1">F5*D5</f>
        <v>2.2277706713490889E-2</v>
      </c>
      <c r="H5" s="200">
        <f t="shared" ref="H5:H53" si="2">G5*$O$4</f>
        <v>0.71676293579985584</v>
      </c>
      <c r="I5" s="200">
        <f t="shared" ref="I5:I53" si="3">$R$15-$F$4</f>
        <v>0.61866202696804629</v>
      </c>
      <c r="J5" s="200">
        <f t="shared" ref="J5:J53" si="4">C5*I5</f>
        <v>1.0857818901532879</v>
      </c>
      <c r="K5" s="200">
        <f t="shared" ref="K5:K53" si="5">J5*$O$4</f>
        <v>34.933946533791882</v>
      </c>
      <c r="L5" s="201">
        <f t="shared" ref="L5:L53" si="6">H5+K5</f>
        <v>35.650709469591739</v>
      </c>
      <c r="M5" s="17"/>
      <c r="Q5" t="s">
        <v>36</v>
      </c>
      <c r="R5">
        <v>0.87815195180003003</v>
      </c>
    </row>
    <row r="6" spans="1:18">
      <c r="A6" s="184">
        <v>33.799999999999997</v>
      </c>
      <c r="B6" s="185">
        <v>464.54366057999999</v>
      </c>
      <c r="C6" s="186">
        <v>1.7500619224</v>
      </c>
      <c r="D6" s="187">
        <v>0.1702317244288</v>
      </c>
      <c r="E6" s="50"/>
      <c r="F6" s="199">
        <f t="shared" si="0"/>
        <v>0.13282190439303632</v>
      </c>
      <c r="G6" s="200">
        <f t="shared" si="1"/>
        <v>2.2610501826743779E-2</v>
      </c>
      <c r="H6" s="200">
        <f t="shared" si="2"/>
        <v>0.72747028577365436</v>
      </c>
      <c r="I6" s="200">
        <f t="shared" si="3"/>
        <v>0.61866202696804629</v>
      </c>
      <c r="J6" s="200">
        <f t="shared" si="4"/>
        <v>1.0826968562315797</v>
      </c>
      <c r="K6" s="200">
        <f t="shared" si="5"/>
        <v>34.834688652394846</v>
      </c>
      <c r="L6" s="201">
        <f t="shared" si="6"/>
        <v>35.562158938168501</v>
      </c>
      <c r="M6" s="17"/>
      <c r="Q6" t="s">
        <v>37</v>
      </c>
      <c r="R6">
        <v>1.2</v>
      </c>
    </row>
    <row r="7" spans="1:18">
      <c r="A7" s="184">
        <v>34.700000000000003</v>
      </c>
      <c r="B7" s="185">
        <v>470.48731781999993</v>
      </c>
      <c r="C7" s="186">
        <v>1.7450423145599998</v>
      </c>
      <c r="D7" s="187">
        <v>0.17277604664159998</v>
      </c>
      <c r="E7" s="50"/>
      <c r="F7" s="199">
        <f t="shared" si="0"/>
        <v>0.13282190439303632</v>
      </c>
      <c r="G7" s="200">
        <f t="shared" si="1"/>
        <v>2.2948443548437378E-2</v>
      </c>
      <c r="H7" s="200">
        <f t="shared" si="2"/>
        <v>0.73834322272742414</v>
      </c>
      <c r="I7" s="200">
        <f t="shared" si="3"/>
        <v>0.61866202696804629</v>
      </c>
      <c r="J7" s="200">
        <f t="shared" si="4"/>
        <v>1.0795914154707005</v>
      </c>
      <c r="K7" s="200">
        <f t="shared" si="5"/>
        <v>34.73477420135432</v>
      </c>
      <c r="L7" s="201">
        <f t="shared" si="6"/>
        <v>35.473117424081742</v>
      </c>
      <c r="M7" s="17"/>
      <c r="N7" s="49"/>
      <c r="O7" s="49"/>
      <c r="P7" s="49"/>
      <c r="Q7" s="58" t="s">
        <v>38</v>
      </c>
      <c r="R7">
        <v>1.0537823421600361</v>
      </c>
    </row>
    <row r="8" spans="1:18">
      <c r="A8" s="184">
        <v>35.6</v>
      </c>
      <c r="B8" s="185">
        <v>476.48608949999999</v>
      </c>
      <c r="C8" s="186">
        <v>1.73998778096</v>
      </c>
      <c r="D8" s="187">
        <v>0.17536002899519998</v>
      </c>
      <c r="E8" s="50"/>
      <c r="F8" s="199">
        <f t="shared" si="0"/>
        <v>0.13282190439303632</v>
      </c>
      <c r="G8" s="200">
        <f t="shared" si="1"/>
        <v>2.3291653005560527E-2</v>
      </c>
      <c r="H8" s="200">
        <f t="shared" si="2"/>
        <v>0.74938564380090433</v>
      </c>
      <c r="I8" s="200">
        <f t="shared" si="3"/>
        <v>0.61866202696804629</v>
      </c>
      <c r="J8" s="200">
        <f t="shared" si="4"/>
        <v>1.0764643674683465</v>
      </c>
      <c r="K8" s="200">
        <f t="shared" si="5"/>
        <v>34.634164558926578</v>
      </c>
      <c r="L8" s="201">
        <f t="shared" si="6"/>
        <v>35.383550202727484</v>
      </c>
      <c r="M8" s="17"/>
      <c r="N8" s="170"/>
      <c r="O8" s="58"/>
      <c r="P8" s="58"/>
      <c r="Q8" s="58"/>
    </row>
    <row r="9" spans="1:18">
      <c r="A9" s="184">
        <v>36.5</v>
      </c>
      <c r="B9" s="185">
        <v>482.54142600000006</v>
      </c>
      <c r="C9" s="186">
        <v>1.73489638128</v>
      </c>
      <c r="D9" s="187">
        <v>0.17798456403679999</v>
      </c>
      <c r="E9" s="50"/>
      <c r="F9" s="199">
        <f t="shared" si="0"/>
        <v>0.13282190439303632</v>
      </c>
      <c r="G9" s="200">
        <f t="shared" si="1"/>
        <v>2.3640248747932097E-2</v>
      </c>
      <c r="H9" s="200">
        <f t="shared" si="2"/>
        <v>0.76060136321596727</v>
      </c>
      <c r="I9" s="200">
        <f t="shared" si="3"/>
        <v>0.61866202696804629</v>
      </c>
      <c r="J9" s="200">
        <f t="shared" si="4"/>
        <v>1.0733145118222134</v>
      </c>
      <c r="K9" s="200">
        <f t="shared" si="5"/>
        <v>34.532821103367894</v>
      </c>
      <c r="L9" s="201">
        <f t="shared" si="6"/>
        <v>35.293422466583863</v>
      </c>
      <c r="M9" s="17"/>
      <c r="N9" s="49"/>
      <c r="O9" s="49"/>
      <c r="P9" s="49"/>
      <c r="Q9" s="135" t="s">
        <v>119</v>
      </c>
      <c r="R9">
        <v>6.5</v>
      </c>
    </row>
    <row r="10" spans="1:18">
      <c r="A10" s="184">
        <v>37.4</v>
      </c>
      <c r="B10" s="185">
        <v>488.65187693999997</v>
      </c>
      <c r="C10" s="186">
        <v>1.7297661752</v>
      </c>
      <c r="D10" s="187">
        <v>0.18065056371679999</v>
      </c>
      <c r="E10" s="50"/>
      <c r="F10" s="199">
        <f t="shared" si="0"/>
        <v>0.13282190439303632</v>
      </c>
      <c r="G10" s="200">
        <f t="shared" si="1"/>
        <v>2.3994351902540925E-2</v>
      </c>
      <c r="H10" s="200">
        <f t="shared" si="2"/>
        <v>0.77199427811235166</v>
      </c>
      <c r="I10" s="200">
        <f t="shared" si="3"/>
        <v>0.61866202696804629</v>
      </c>
      <c r="J10" s="200">
        <f t="shared" si="4"/>
        <v>1.0701406481299967</v>
      </c>
      <c r="K10" s="200">
        <f t="shared" si="5"/>
        <v>34.430705212934512</v>
      </c>
      <c r="L10" s="201">
        <f t="shared" si="6"/>
        <v>35.202699491046864</v>
      </c>
      <c r="M10" s="17"/>
      <c r="N10" s="58"/>
      <c r="O10" s="58"/>
      <c r="P10" s="58"/>
      <c r="Q10" s="135" t="s">
        <v>120</v>
      </c>
      <c r="R10" s="58">
        <f>R9/12</f>
        <v>0.54166666666666663</v>
      </c>
    </row>
    <row r="11" spans="1:18">
      <c r="A11" s="184">
        <v>38.299999999999997</v>
      </c>
      <c r="B11" s="185">
        <v>494.82034307999999</v>
      </c>
      <c r="C11" s="186">
        <v>1.7246010433599999</v>
      </c>
      <c r="D11" s="187">
        <v>0.18335905640479999</v>
      </c>
      <c r="E11" s="50"/>
      <c r="F11" s="199">
        <f t="shared" si="0"/>
        <v>0.13282190439303632</v>
      </c>
      <c r="G11" s="200">
        <f t="shared" si="1"/>
        <v>2.4354099059395697E-2</v>
      </c>
      <c r="H11" s="200">
        <f t="shared" si="2"/>
        <v>0.78356878313699718</v>
      </c>
      <c r="I11" s="200">
        <f t="shared" si="3"/>
        <v>0.61866202696804629</v>
      </c>
      <c r="J11" s="200">
        <f t="shared" si="4"/>
        <v>1.066945177196305</v>
      </c>
      <c r="K11" s="200">
        <f t="shared" si="5"/>
        <v>34.327894131113915</v>
      </c>
      <c r="L11" s="201">
        <f t="shared" si="6"/>
        <v>35.111462914250914</v>
      </c>
      <c r="M11" s="17"/>
      <c r="N11" s="49"/>
      <c r="O11" s="49"/>
      <c r="P11" s="49"/>
      <c r="Q11" s="135" t="s">
        <v>121</v>
      </c>
      <c r="R11" s="58">
        <f>(2/3)*PI()*((R10/2)^3)</f>
        <v>4.160686161709571E-2</v>
      </c>
    </row>
    <row r="12" spans="1:18">
      <c r="A12" s="184">
        <v>39.200000000000003</v>
      </c>
      <c r="B12" s="185">
        <v>501.04537404000001</v>
      </c>
      <c r="C12" s="186">
        <v>1.7193932244799999</v>
      </c>
      <c r="D12" s="187">
        <v>0.18611099285759999</v>
      </c>
      <c r="E12" s="50"/>
      <c r="F12" s="199">
        <f t="shared" si="0"/>
        <v>0.13282190439303632</v>
      </c>
      <c r="G12" s="200">
        <f t="shared" si="1"/>
        <v>2.4719616499825212E-2</v>
      </c>
      <c r="H12" s="200">
        <f t="shared" si="2"/>
        <v>0.79532894126537634</v>
      </c>
      <c r="I12" s="200">
        <f t="shared" si="3"/>
        <v>0.61866202696804629</v>
      </c>
      <c r="J12" s="200">
        <f t="shared" si="4"/>
        <v>1.0637232974119217</v>
      </c>
      <c r="K12" s="200">
        <f t="shared" si="5"/>
        <v>34.224233370931167</v>
      </c>
      <c r="L12" s="201">
        <f t="shared" si="6"/>
        <v>35.019562312196541</v>
      </c>
      <c r="M12" s="17"/>
      <c r="N12" s="58"/>
      <c r="O12" s="58"/>
      <c r="P12" s="58"/>
      <c r="Q12" s="58" t="s">
        <v>44</v>
      </c>
      <c r="R12">
        <v>2.9</v>
      </c>
    </row>
    <row r="13" spans="1:18">
      <c r="A13" s="184">
        <v>40.1</v>
      </c>
      <c r="B13" s="185">
        <v>507.32696982000004</v>
      </c>
      <c r="C13" s="186">
        <v>1.71414853952</v>
      </c>
      <c r="D13" s="187">
        <v>0.1889074790576</v>
      </c>
      <c r="E13" s="50"/>
      <c r="F13" s="199">
        <f t="shared" si="0"/>
        <v>0.13282190439303632</v>
      </c>
      <c r="G13" s="200">
        <f t="shared" si="1"/>
        <v>2.5091051122518058E-2</v>
      </c>
      <c r="H13" s="200">
        <f t="shared" si="2"/>
        <v>0.80727947881589601</v>
      </c>
      <c r="I13" s="200">
        <f t="shared" si="3"/>
        <v>0.61866202696804629</v>
      </c>
      <c r="J13" s="200">
        <f t="shared" si="4"/>
        <v>1.0604786099837593</v>
      </c>
      <c r="K13" s="200">
        <f t="shared" si="5"/>
        <v>34.119838797617469</v>
      </c>
      <c r="L13" s="201">
        <f t="shared" si="6"/>
        <v>34.927118276433362</v>
      </c>
      <c r="M13" s="17"/>
      <c r="N13" s="58"/>
      <c r="O13" s="58"/>
      <c r="P13" s="58"/>
      <c r="Q13" s="58" t="s">
        <v>45</v>
      </c>
      <c r="R13" s="58">
        <f>((PI()*(R10^2))/4)*R12</f>
        <v>0.6682702081268912</v>
      </c>
    </row>
    <row r="14" spans="1:18">
      <c r="A14" s="184">
        <v>41</v>
      </c>
      <c r="B14" s="185">
        <v>513.66803117999996</v>
      </c>
      <c r="C14" s="186">
        <v>1.7088611675200001</v>
      </c>
      <c r="D14" s="187">
        <v>0.19174958218079999</v>
      </c>
      <c r="E14" s="50"/>
      <c r="F14" s="199">
        <f t="shared" si="0"/>
        <v>0.13282190439303632</v>
      </c>
      <c r="G14" s="200">
        <f t="shared" si="1"/>
        <v>2.5468544671822878E-2</v>
      </c>
      <c r="H14" s="200">
        <f t="shared" si="2"/>
        <v>0.81942495627122924</v>
      </c>
      <c r="I14" s="200">
        <f t="shared" si="3"/>
        <v>0.61866202696804629</v>
      </c>
      <c r="J14" s="200">
        <f t="shared" si="4"/>
        <v>1.0572075137049053</v>
      </c>
      <c r="K14" s="200">
        <f t="shared" si="5"/>
        <v>34.01459454594162</v>
      </c>
      <c r="L14" s="201">
        <f t="shared" si="6"/>
        <v>34.834019502212847</v>
      </c>
      <c r="M14" s="17"/>
      <c r="N14" s="58"/>
      <c r="O14" s="58"/>
      <c r="P14" s="58"/>
      <c r="Q14" s="58" t="s">
        <v>123</v>
      </c>
      <c r="R14" s="58">
        <f>(R10+R12)</f>
        <v>3.4416666666666664</v>
      </c>
    </row>
    <row r="15" spans="1:18">
      <c r="A15" s="184">
        <v>41.9</v>
      </c>
      <c r="B15" s="185">
        <v>520.06565735999993</v>
      </c>
      <c r="C15" s="186">
        <v>1.7035330488</v>
      </c>
      <c r="D15" s="187">
        <v>0.19463846641919999</v>
      </c>
      <c r="E15" s="50"/>
      <c r="F15" s="199">
        <f t="shared" si="0"/>
        <v>0.13282190439303632</v>
      </c>
      <c r="G15" s="200">
        <f t="shared" si="1"/>
        <v>2.5852251777938189E-2</v>
      </c>
      <c r="H15" s="200">
        <f t="shared" si="2"/>
        <v>0.83177034870338329</v>
      </c>
      <c r="I15" s="200">
        <f t="shared" si="3"/>
        <v>0.61866202696804629</v>
      </c>
      <c r="J15" s="200">
        <f t="shared" si="4"/>
        <v>1.0539112089776637</v>
      </c>
      <c r="K15" s="200">
        <f t="shared" si="5"/>
        <v>33.908539237647354</v>
      </c>
      <c r="L15" s="201">
        <f t="shared" si="6"/>
        <v>34.74030958635074</v>
      </c>
      <c r="M15" s="17"/>
      <c r="N15" s="58"/>
      <c r="O15" s="58"/>
      <c r="P15" s="58"/>
      <c r="Q15" s="135" t="s">
        <v>122</v>
      </c>
      <c r="R15">
        <f>R13+(2*R11)</f>
        <v>0.7514839313610826</v>
      </c>
    </row>
    <row r="16" spans="1:18">
      <c r="A16" s="184">
        <v>42.8</v>
      </c>
      <c r="B16" s="185">
        <v>526.52129874000002</v>
      </c>
      <c r="C16" s="186">
        <v>1.6981603027200001</v>
      </c>
      <c r="D16" s="187">
        <v>0.19757531536799999</v>
      </c>
      <c r="E16" s="50"/>
      <c r="F16" s="199">
        <f t="shared" si="0"/>
        <v>0.13282190439303632</v>
      </c>
      <c r="G16" s="200">
        <f t="shared" si="1"/>
        <v>2.6242329648232494E-2</v>
      </c>
      <c r="H16" s="200">
        <f t="shared" si="2"/>
        <v>0.84432071410223219</v>
      </c>
      <c r="I16" s="200">
        <f t="shared" si="3"/>
        <v>0.61866202696804629</v>
      </c>
      <c r="J16" s="200">
        <f t="shared" si="4"/>
        <v>1.0505872949974264</v>
      </c>
      <c r="K16" s="200">
        <f t="shared" si="5"/>
        <v>33.801595629247196</v>
      </c>
      <c r="L16" s="201">
        <f t="shared" si="6"/>
        <v>34.645916343349427</v>
      </c>
      <c r="M16" s="17"/>
      <c r="N16" s="58"/>
      <c r="O16" s="58"/>
      <c r="P16" s="58"/>
      <c r="Q16" s="58"/>
    </row>
    <row r="17" spans="1:17">
      <c r="A17" s="184">
        <v>43.7</v>
      </c>
      <c r="B17" s="185">
        <v>533.03640570000005</v>
      </c>
      <c r="C17" s="186">
        <v>1.69274292928</v>
      </c>
      <c r="D17" s="187">
        <v>0.20056135142879999</v>
      </c>
      <c r="E17" s="50"/>
      <c r="F17" s="199">
        <f t="shared" si="0"/>
        <v>0.13282190439303632</v>
      </c>
      <c r="G17" s="200">
        <f t="shared" si="1"/>
        <v>2.663894064441423E-2</v>
      </c>
      <c r="H17" s="200">
        <f t="shared" si="2"/>
        <v>0.85708127629338338</v>
      </c>
      <c r="I17" s="200">
        <f t="shared" si="3"/>
        <v>0.61866202696804629</v>
      </c>
      <c r="J17" s="200">
        <f t="shared" si="4"/>
        <v>1.0472357717641931</v>
      </c>
      <c r="K17" s="200">
        <f t="shared" si="5"/>
        <v>33.693763720741153</v>
      </c>
      <c r="L17" s="201">
        <f t="shared" si="6"/>
        <v>34.550844997034538</v>
      </c>
      <c r="M17" s="17"/>
      <c r="N17" s="58"/>
      <c r="O17" s="58"/>
      <c r="P17" s="58"/>
      <c r="Q17" s="58"/>
    </row>
    <row r="18" spans="1:17">
      <c r="A18" s="184">
        <v>44.6</v>
      </c>
      <c r="B18" s="185">
        <v>539.61097824000001</v>
      </c>
      <c r="C18" s="186">
        <v>1.6872809284800001</v>
      </c>
      <c r="D18" s="187">
        <v>0.20359789401919998</v>
      </c>
      <c r="E18" s="50"/>
      <c r="F18" s="199">
        <f t="shared" si="0"/>
        <v>0.13282190439303632</v>
      </c>
      <c r="G18" s="200">
        <f t="shared" si="1"/>
        <v>2.7042260014041721E-2</v>
      </c>
      <c r="H18" s="200">
        <f t="shared" si="2"/>
        <v>0.87005767369177833</v>
      </c>
      <c r="I18" s="200">
        <f t="shared" si="3"/>
        <v>0.61866202696804629</v>
      </c>
      <c r="J18" s="200">
        <f t="shared" si="4"/>
        <v>1.043856639277964</v>
      </c>
      <c r="K18" s="200">
        <f t="shared" si="5"/>
        <v>33.585043512129211</v>
      </c>
      <c r="L18" s="201">
        <f t="shared" si="6"/>
        <v>34.455101185820986</v>
      </c>
      <c r="M18" s="17"/>
      <c r="N18" s="171"/>
      <c r="O18" s="58"/>
      <c r="P18" s="58"/>
      <c r="Q18" s="58"/>
    </row>
    <row r="19" spans="1:17">
      <c r="A19" s="184">
        <v>45.5</v>
      </c>
      <c r="B19" s="185">
        <v>546.24646674000007</v>
      </c>
      <c r="C19" s="186">
        <v>1.6817723599999999</v>
      </c>
      <c r="D19" s="187">
        <v>0.20668630136319999</v>
      </c>
      <c r="E19" s="50"/>
      <c r="F19" s="199">
        <f t="shared" si="0"/>
        <v>0.13282190439303632</v>
      </c>
      <c r="G19" s="200">
        <f t="shared" si="1"/>
        <v>2.7452468159013241E-2</v>
      </c>
      <c r="H19" s="200">
        <f t="shared" si="2"/>
        <v>0.88325571054809204</v>
      </c>
      <c r="I19" s="200">
        <f t="shared" si="3"/>
        <v>0.61866202696804629</v>
      </c>
      <c r="J19" s="200">
        <f t="shared" si="4"/>
        <v>1.0404486971364348</v>
      </c>
      <c r="K19" s="200">
        <f t="shared" si="5"/>
        <v>33.475396381667657</v>
      </c>
      <c r="L19" s="201">
        <f t="shared" si="6"/>
        <v>34.358652092215749</v>
      </c>
      <c r="M19" s="17"/>
      <c r="N19" s="58"/>
      <c r="O19" s="58"/>
      <c r="P19" s="58"/>
      <c r="Q19" s="58"/>
    </row>
    <row r="20" spans="1:17">
      <c r="A20" s="184">
        <v>46.4</v>
      </c>
      <c r="B20" s="185">
        <v>552.93997044000002</v>
      </c>
      <c r="C20" s="186">
        <v>1.6762152835199999</v>
      </c>
      <c r="D20" s="187">
        <v>0.2098279704912</v>
      </c>
      <c r="E20" s="50"/>
      <c r="F20" s="199">
        <f t="shared" si="0"/>
        <v>0.13282190439303632</v>
      </c>
      <c r="G20" s="200">
        <f t="shared" si="1"/>
        <v>2.7869750635567011E-2</v>
      </c>
      <c r="H20" s="200">
        <f t="shared" si="2"/>
        <v>0.89668135694873297</v>
      </c>
      <c r="I20" s="200">
        <f t="shared" si="3"/>
        <v>0.61866202696804629</v>
      </c>
      <c r="J20" s="200">
        <f t="shared" si="4"/>
        <v>1.0370107449373016</v>
      </c>
      <c r="K20" s="200">
        <f t="shared" si="5"/>
        <v>33.364783707612744</v>
      </c>
      <c r="L20" s="201">
        <f t="shared" si="6"/>
        <v>34.261465064561477</v>
      </c>
      <c r="M20" s="17"/>
      <c r="N20" s="58"/>
      <c r="O20" s="58"/>
      <c r="P20" s="58"/>
      <c r="Q20" s="58"/>
    </row>
    <row r="21" spans="1:17">
      <c r="A21" s="184">
        <v>47.3</v>
      </c>
      <c r="B21" s="185">
        <v>559.69439009999996</v>
      </c>
      <c r="C21" s="186">
        <v>1.6706096990399999</v>
      </c>
      <c r="D21" s="187">
        <v>0.21302437604639998</v>
      </c>
      <c r="E21" s="50"/>
      <c r="F21" s="199">
        <f t="shared" si="0"/>
        <v>0.13282190439303632</v>
      </c>
      <c r="G21" s="200">
        <f t="shared" si="1"/>
        <v>2.8294303308621153E-2</v>
      </c>
      <c r="H21" s="200">
        <f t="shared" si="2"/>
        <v>0.91034091465157696</v>
      </c>
      <c r="I21" s="200">
        <f t="shared" si="3"/>
        <v>0.61866202696804629</v>
      </c>
      <c r="J21" s="200">
        <f t="shared" si="4"/>
        <v>1.0335427826805641</v>
      </c>
      <c r="K21" s="200">
        <f t="shared" si="5"/>
        <v>33.253205489964472</v>
      </c>
      <c r="L21" s="201">
        <f t="shared" si="6"/>
        <v>34.163546404616049</v>
      </c>
      <c r="M21" s="17"/>
      <c r="N21" s="58"/>
      <c r="O21" s="58"/>
      <c r="P21" s="58"/>
      <c r="Q21" s="58"/>
    </row>
    <row r="22" spans="1:17">
      <c r="A22" s="184">
        <v>48.2</v>
      </c>
      <c r="B22" s="185">
        <v>566.51117609999994</v>
      </c>
      <c r="C22" s="186">
        <v>1.66495172592</v>
      </c>
      <c r="D22" s="187">
        <v>0.21627710909119999</v>
      </c>
      <c r="E22" s="50"/>
      <c r="F22" s="199">
        <f t="shared" si="0"/>
        <v>0.13282190439303632</v>
      </c>
      <c r="G22" s="200">
        <f t="shared" si="1"/>
        <v>2.8726337506113649E-2</v>
      </c>
      <c r="H22" s="200">
        <f t="shared" si="2"/>
        <v>0.92424118292170054</v>
      </c>
      <c r="I22" s="200">
        <f t="shared" si="3"/>
        <v>0.61866202696804629</v>
      </c>
      <c r="J22" s="200">
        <f t="shared" si="4"/>
        <v>1.0300424095616143</v>
      </c>
      <c r="K22" s="200">
        <f t="shared" si="5"/>
        <v>33.140584485235379</v>
      </c>
      <c r="L22" s="201">
        <f t="shared" si="6"/>
        <v>34.064825668157077</v>
      </c>
      <c r="M22" s="17"/>
      <c r="N22" s="58"/>
      <c r="O22" s="58"/>
      <c r="P22" s="58"/>
      <c r="Q22" s="58"/>
    </row>
    <row r="23" spans="1:17">
      <c r="A23" s="184">
        <v>49.1</v>
      </c>
      <c r="B23" s="185">
        <v>573.38742767999997</v>
      </c>
      <c r="C23" s="186">
        <v>1.6592413641600001</v>
      </c>
      <c r="D23" s="187">
        <v>0.21958774128479999</v>
      </c>
      <c r="E23" s="50"/>
      <c r="F23" s="199">
        <f t="shared" si="0"/>
        <v>0.13282190439303632</v>
      </c>
      <c r="G23" s="200">
        <f t="shared" si="1"/>
        <v>2.91660619788125E-2</v>
      </c>
      <c r="H23" s="200">
        <f t="shared" si="2"/>
        <v>0.93838887810631333</v>
      </c>
      <c r="I23" s="200">
        <f t="shared" si="3"/>
        <v>0.61866202696804629</v>
      </c>
      <c r="J23" s="200">
        <f t="shared" si="4"/>
        <v>1.026509625580452</v>
      </c>
      <c r="K23" s="200">
        <f t="shared" si="5"/>
        <v>33.02692069342546</v>
      </c>
      <c r="L23" s="201">
        <f t="shared" si="6"/>
        <v>33.965309571531776</v>
      </c>
      <c r="M23" s="17"/>
      <c r="N23" s="58"/>
      <c r="O23" s="58"/>
      <c r="P23" s="58"/>
      <c r="Q23" s="58"/>
    </row>
    <row r="24" spans="1:17">
      <c r="A24" s="184">
        <v>50</v>
      </c>
      <c r="B24" s="185">
        <v>580.32604560000004</v>
      </c>
      <c r="C24" s="186">
        <v>1.6534766734399999</v>
      </c>
      <c r="D24" s="187">
        <v>0.22295801891519998</v>
      </c>
      <c r="E24" s="50"/>
      <c r="F24" s="199">
        <f t="shared" si="0"/>
        <v>0.13282190439303632</v>
      </c>
      <c r="G24" s="200">
        <f t="shared" si="1"/>
        <v>2.9613708672015474E-2</v>
      </c>
      <c r="H24" s="200">
        <f t="shared" si="2"/>
        <v>0.95279146281342586</v>
      </c>
      <c r="I24" s="200">
        <f t="shared" si="3"/>
        <v>0.61866202696804629</v>
      </c>
      <c r="J24" s="200">
        <f t="shared" si="4"/>
        <v>1.0229432303347727</v>
      </c>
      <c r="K24" s="200">
        <f t="shared" si="5"/>
        <v>32.912175492790979</v>
      </c>
      <c r="L24" s="201">
        <f t="shared" si="6"/>
        <v>33.864966955604402</v>
      </c>
      <c r="M24" s="17"/>
      <c r="N24" s="58"/>
      <c r="O24" s="58"/>
      <c r="P24" s="58"/>
      <c r="Q24" s="58"/>
    </row>
    <row r="25" spans="1:17">
      <c r="A25" s="184">
        <v>50.9</v>
      </c>
      <c r="B25" s="185">
        <v>587.32702986000004</v>
      </c>
      <c r="C25" s="186">
        <v>1.6476576537600001</v>
      </c>
      <c r="D25" s="187">
        <v>0.22638970767359998</v>
      </c>
      <c r="E25" s="50"/>
      <c r="F25" s="199">
        <f t="shared" si="0"/>
        <v>0.13282190439303632</v>
      </c>
      <c r="G25" s="200">
        <f t="shared" si="1"/>
        <v>3.0069512108190335E-2</v>
      </c>
      <c r="H25" s="200">
        <f t="shared" si="2"/>
        <v>0.96745648256891581</v>
      </c>
      <c r="I25" s="200">
        <f t="shared" si="3"/>
        <v>0.61866202696804629</v>
      </c>
      <c r="J25" s="200">
        <f t="shared" si="4"/>
        <v>1.019343223824577</v>
      </c>
      <c r="K25" s="200">
        <f t="shared" si="5"/>
        <v>32.796348883331937</v>
      </c>
      <c r="L25" s="201">
        <f t="shared" si="6"/>
        <v>33.763805365900851</v>
      </c>
      <c r="M25" s="17"/>
    </row>
    <row r="26" spans="1:17">
      <c r="A26" s="184">
        <v>51.8</v>
      </c>
      <c r="B26" s="185">
        <v>594.39038045999996</v>
      </c>
      <c r="C26" s="186">
        <v>1.6417804244800001</v>
      </c>
      <c r="D26" s="187">
        <v>0.22988470907359998</v>
      </c>
      <c r="E26" s="50"/>
      <c r="F26" s="199">
        <f t="shared" si="0"/>
        <v>0.13282190439303632</v>
      </c>
      <c r="G26" s="200">
        <f t="shared" si="1"/>
        <v>3.0533724849994663E-2</v>
      </c>
      <c r="H26" s="200">
        <f t="shared" si="2"/>
        <v>0.9823920633237283</v>
      </c>
      <c r="I26" s="200">
        <f t="shared" si="3"/>
        <v>0.61866202696804629</v>
      </c>
      <c r="J26" s="200">
        <f t="shared" si="4"/>
        <v>1.0157072052452563</v>
      </c>
      <c r="K26" s="200">
        <f t="shared" si="5"/>
        <v>32.679363621560874</v>
      </c>
      <c r="L26" s="201">
        <f t="shared" si="6"/>
        <v>33.661755684884604</v>
      </c>
      <c r="M26" s="17"/>
    </row>
    <row r="27" spans="1:17">
      <c r="A27" s="184">
        <v>52.7</v>
      </c>
      <c r="B27" s="185">
        <v>601.51754778000009</v>
      </c>
      <c r="C27" s="186">
        <v>1.6358430452799999</v>
      </c>
      <c r="D27" s="187">
        <v>0.23344498283839998</v>
      </c>
      <c r="E27" s="50"/>
      <c r="F27" s="199">
        <f t="shared" si="0"/>
        <v>0.13282190439303632</v>
      </c>
      <c r="G27" s="200">
        <f t="shared" si="1"/>
        <v>3.1006607191595967E-2</v>
      </c>
      <c r="H27" s="200">
        <f t="shared" si="2"/>
        <v>0.99760657978240863</v>
      </c>
      <c r="I27" s="200">
        <f t="shared" si="3"/>
        <v>0.61866202696804629</v>
      </c>
      <c r="J27" s="200">
        <f t="shared" si="4"/>
        <v>1.0120339741945064</v>
      </c>
      <c r="K27" s="200">
        <f t="shared" si="5"/>
        <v>32.561181085734049</v>
      </c>
      <c r="L27" s="201">
        <f t="shared" si="6"/>
        <v>33.558787665516455</v>
      </c>
      <c r="M27" s="17"/>
    </row>
    <row r="28" spans="1:17">
      <c r="A28" s="184">
        <v>53.6</v>
      </c>
      <c r="B28" s="185">
        <v>608.70708144000002</v>
      </c>
      <c r="C28" s="186">
        <v>1.6298455161600001</v>
      </c>
      <c r="D28" s="187">
        <v>0.23707262451360001</v>
      </c>
      <c r="E28" s="50"/>
      <c r="F28" s="199">
        <f t="shared" si="0"/>
        <v>0.13282190439303632</v>
      </c>
      <c r="G28" s="200">
        <f t="shared" si="1"/>
        <v>3.1488437467351575E-2</v>
      </c>
      <c r="H28" s="200">
        <f t="shared" si="2"/>
        <v>1.0131089870745695</v>
      </c>
      <c r="I28" s="200">
        <f t="shared" si="3"/>
        <v>0.61866202696804629</v>
      </c>
      <c r="J28" s="200">
        <f t="shared" si="4"/>
        <v>1.0083235306723273</v>
      </c>
      <c r="K28" s="200">
        <f t="shared" si="5"/>
        <v>32.441801275851461</v>
      </c>
      <c r="L28" s="201">
        <f t="shared" si="6"/>
        <v>33.454910262926028</v>
      </c>
      <c r="M28" s="17"/>
    </row>
    <row r="29" spans="1:17">
      <c r="A29" s="184">
        <v>54.5</v>
      </c>
      <c r="B29" s="185">
        <v>615.96188219999999</v>
      </c>
      <c r="C29" s="186">
        <v>1.6237820161600001</v>
      </c>
      <c r="D29" s="187">
        <v>0.2407698072576</v>
      </c>
      <c r="E29" s="50"/>
      <c r="F29" s="199">
        <f t="shared" si="0"/>
        <v>0.13282190439303632</v>
      </c>
      <c r="G29" s="200">
        <f t="shared" si="1"/>
        <v>3.1979504320298731E-2</v>
      </c>
      <c r="H29" s="200">
        <f t="shared" si="2"/>
        <v>1.0289085720012914</v>
      </c>
      <c r="I29" s="200">
        <f t="shared" si="3"/>
        <v>0.61866202696804629</v>
      </c>
      <c r="J29" s="200">
        <f t="shared" si="4"/>
        <v>1.0045722734718066</v>
      </c>
      <c r="K29" s="200">
        <f t="shared" si="5"/>
        <v>32.321108326681902</v>
      </c>
      <c r="L29" s="201">
        <f t="shared" si="6"/>
        <v>33.350016898683194</v>
      </c>
      <c r="M29" s="17"/>
    </row>
    <row r="30" spans="1:17">
      <c r="A30" s="184">
        <v>55.4</v>
      </c>
      <c r="B30" s="185">
        <v>623.28049967999993</v>
      </c>
      <c r="C30" s="186">
        <v>1.6176544856000001</v>
      </c>
      <c r="D30" s="187">
        <v>0.24453885945439999</v>
      </c>
      <c r="E30" s="50"/>
      <c r="F30" s="199">
        <f t="shared" si="0"/>
        <v>0.13282190439303632</v>
      </c>
      <c r="G30" s="200">
        <f t="shared" si="1"/>
        <v>3.2480117010834461E-2</v>
      </c>
      <c r="H30" s="200">
        <f t="shared" si="2"/>
        <v>1.0450152847065879</v>
      </c>
      <c r="I30" s="200">
        <f t="shared" si="3"/>
        <v>0.61866202696804629</v>
      </c>
      <c r="J30" s="200">
        <f t="shared" si="4"/>
        <v>1.0007814029952484</v>
      </c>
      <c r="K30" s="200">
        <f t="shared" si="5"/>
        <v>32.19914085996912</v>
      </c>
      <c r="L30" s="201">
        <f t="shared" si="6"/>
        <v>33.244156144675706</v>
      </c>
      <c r="M30" s="17"/>
    </row>
    <row r="31" spans="1:17">
      <c r="A31" s="184">
        <v>56.3</v>
      </c>
      <c r="B31" s="185">
        <v>630.66438426000002</v>
      </c>
      <c r="C31" s="186">
        <v>1.6114590438399998</v>
      </c>
      <c r="D31" s="187">
        <v>0.24838222590720002</v>
      </c>
      <c r="E31" s="50"/>
      <c r="F31" s="199">
        <f t="shared" si="0"/>
        <v>0.13282190439303632</v>
      </c>
      <c r="G31" s="200">
        <f t="shared" si="1"/>
        <v>3.2990600262375672E-2</v>
      </c>
      <c r="H31" s="200">
        <f t="shared" si="2"/>
        <v>1.0614395728416748</v>
      </c>
      <c r="I31" s="200">
        <f t="shared" si="3"/>
        <v>0.61866202696804629</v>
      </c>
      <c r="J31" s="200">
        <f t="shared" si="4"/>
        <v>0.99694851843804411</v>
      </c>
      <c r="K31" s="200">
        <f t="shared" si="5"/>
        <v>32.075821632225633</v>
      </c>
      <c r="L31" s="201">
        <f t="shared" si="6"/>
        <v>33.137261205067311</v>
      </c>
      <c r="M31" s="17"/>
    </row>
    <row r="32" spans="1:17">
      <c r="A32" s="184">
        <v>57.2</v>
      </c>
      <c r="B32" s="185">
        <v>638.11353594000002</v>
      </c>
      <c r="C32" s="186">
        <v>1.60519375056</v>
      </c>
      <c r="D32" s="187">
        <v>0.25230250664479997</v>
      </c>
      <c r="E32" s="50"/>
      <c r="F32" s="199">
        <f t="shared" si="0"/>
        <v>0.13282190439303632</v>
      </c>
      <c r="G32" s="200">
        <f t="shared" si="1"/>
        <v>3.3511299415699032E-2</v>
      </c>
      <c r="H32" s="200">
        <f t="shared" si="2"/>
        <v>1.0781925474007006</v>
      </c>
      <c r="I32" s="200">
        <f t="shared" si="3"/>
        <v>0.61866202696804629</v>
      </c>
      <c r="J32" s="200">
        <f t="shared" si="4"/>
        <v>0.99307241939789015</v>
      </c>
      <c r="K32" s="200">
        <f t="shared" si="5"/>
        <v>31.951112021707718</v>
      </c>
      <c r="L32" s="201">
        <f t="shared" si="6"/>
        <v>33.029304569108419</v>
      </c>
      <c r="M32" s="17"/>
    </row>
    <row r="33" spans="1:14">
      <c r="A33" s="184">
        <v>58.1</v>
      </c>
      <c r="B33" s="185">
        <v>645.62795472000005</v>
      </c>
      <c r="C33" s="186">
        <v>1.5988547251199998</v>
      </c>
      <c r="D33" s="187">
        <v>0.25630243751839998</v>
      </c>
      <c r="E33" s="50"/>
      <c r="F33" s="199">
        <f t="shared" si="0"/>
        <v>0.13282190439303632</v>
      </c>
      <c r="G33" s="200">
        <f t="shared" si="1"/>
        <v>3.4042577851771089E-2</v>
      </c>
      <c r="H33" s="200">
        <f t="shared" si="2"/>
        <v>1.0952858998028829</v>
      </c>
      <c r="I33" s="200">
        <f t="shared" si="3"/>
        <v>0.61866202696804629</v>
      </c>
      <c r="J33" s="200">
        <f t="shared" si="4"/>
        <v>0.98915070507017755</v>
      </c>
      <c r="K33" s="200">
        <f t="shared" si="5"/>
        <v>31.824934784927891</v>
      </c>
      <c r="L33" s="201">
        <f t="shared" si="6"/>
        <v>32.920220684730772</v>
      </c>
      <c r="M33" s="17"/>
    </row>
    <row r="34" spans="1:14">
      <c r="A34" s="184">
        <v>59</v>
      </c>
      <c r="B34" s="185">
        <v>653.21054135999998</v>
      </c>
      <c r="C34" s="186">
        <v>1.5924400272000001</v>
      </c>
      <c r="D34" s="187">
        <v>0.26038490960479999</v>
      </c>
      <c r="E34" s="50"/>
      <c r="F34" s="199">
        <f t="shared" si="0"/>
        <v>0.13282190439303632</v>
      </c>
      <c r="G34" s="200">
        <f t="shared" si="1"/>
        <v>3.4584819568918145E-2</v>
      </c>
      <c r="H34" s="200">
        <f t="shared" si="2"/>
        <v>1.1127319848103723</v>
      </c>
      <c r="I34" s="200">
        <f t="shared" si="3"/>
        <v>0.61866202696804629</v>
      </c>
      <c r="J34" s="200">
        <f t="shared" si="4"/>
        <v>0.98518217505260286</v>
      </c>
      <c r="K34" s="200">
        <f t="shared" si="5"/>
        <v>31.697251300142444</v>
      </c>
      <c r="L34" s="201">
        <f t="shared" si="6"/>
        <v>32.809983284952814</v>
      </c>
      <c r="M34" s="17"/>
    </row>
    <row r="35" spans="1:14">
      <c r="A35" s="184">
        <v>59.9</v>
      </c>
      <c r="B35" s="185">
        <v>660.85839510000005</v>
      </c>
      <c r="C35" s="186">
        <v>1.58594577616</v>
      </c>
      <c r="D35" s="187">
        <v>0.26455302741599995</v>
      </c>
      <c r="E35" s="50"/>
      <c r="F35" s="199">
        <f t="shared" si="0"/>
        <v>0.13282190439303632</v>
      </c>
      <c r="G35" s="200">
        <f t="shared" si="1"/>
        <v>3.5138436914336262E-2</v>
      </c>
      <c r="H35" s="200">
        <f t="shared" si="2"/>
        <v>1.1305440692818549</v>
      </c>
      <c r="I35" s="200">
        <f t="shared" si="3"/>
        <v>0.61866202696804629</v>
      </c>
      <c r="J35" s="200">
        <f t="shared" si="4"/>
        <v>0.98116442854055697</v>
      </c>
      <c r="K35" s="200">
        <f t="shared" si="5"/>
        <v>31.567984323863879</v>
      </c>
      <c r="L35" s="201">
        <f t="shared" si="6"/>
        <v>32.698528393145736</v>
      </c>
      <c r="M35" s="17"/>
    </row>
    <row r="36" spans="1:14">
      <c r="A36" s="184">
        <v>60.8</v>
      </c>
      <c r="B36" s="185">
        <v>668.57586708000008</v>
      </c>
      <c r="C36" s="186">
        <v>1.5793700316800001</v>
      </c>
      <c r="D36" s="187">
        <v>0.2688100700928</v>
      </c>
      <c r="E36" s="50"/>
      <c r="F36" s="199">
        <f t="shared" si="0"/>
        <v>0.13282190439303632</v>
      </c>
      <c r="G36" s="200">
        <f t="shared" si="1"/>
        <v>3.5703865429751271E-2</v>
      </c>
      <c r="H36" s="200">
        <f t="shared" si="2"/>
        <v>1.1487361663368174</v>
      </c>
      <c r="I36" s="200">
        <f t="shared" si="3"/>
        <v>0.61866202696804629</v>
      </c>
      <c r="J36" s="200">
        <f t="shared" si="4"/>
        <v>0.97709626513173631</v>
      </c>
      <c r="K36" s="200">
        <f t="shared" si="5"/>
        <v>31.437095234348483</v>
      </c>
      <c r="L36" s="201">
        <f t="shared" si="6"/>
        <v>32.585831400685301</v>
      </c>
      <c r="M36" s="17"/>
    </row>
    <row r="37" spans="1:14">
      <c r="A37" s="184">
        <v>61.7</v>
      </c>
      <c r="B37" s="185">
        <v>676.36005653999996</v>
      </c>
      <c r="C37" s="186">
        <v>1.5727089131200001</v>
      </c>
      <c r="D37" s="187">
        <v>0.27315953021120004</v>
      </c>
      <c r="E37" s="50"/>
      <c r="F37" s="199">
        <f t="shared" si="0"/>
        <v>0.13282190439303632</v>
      </c>
      <c r="G37" s="200">
        <f t="shared" si="1"/>
        <v>3.6281569005758726E-2</v>
      </c>
      <c r="H37" s="200">
        <f t="shared" si="2"/>
        <v>1.1673232011912813</v>
      </c>
      <c r="I37" s="200">
        <f t="shared" si="3"/>
        <v>0.61866202696804629</v>
      </c>
      <c r="J37" s="200">
        <f t="shared" si="4"/>
        <v>0.97297528402153222</v>
      </c>
      <c r="K37" s="200">
        <f t="shared" si="5"/>
        <v>31.304506788108778</v>
      </c>
      <c r="L37" s="201">
        <f t="shared" si="6"/>
        <v>32.471829989300062</v>
      </c>
      <c r="M37" s="17"/>
    </row>
    <row r="38" spans="1:14">
      <c r="A38" s="184">
        <v>62.6</v>
      </c>
      <c r="B38" s="185">
        <v>684.21241385999997</v>
      </c>
      <c r="C38" s="186">
        <v>1.56595853984</v>
      </c>
      <c r="D38" s="187">
        <v>0.27760515258880003</v>
      </c>
      <c r="E38" s="50"/>
      <c r="F38" s="199">
        <f t="shared" si="0"/>
        <v>0.13282190439303632</v>
      </c>
      <c r="G38" s="200">
        <f t="shared" si="1"/>
        <v>3.6872045036163856E-2</v>
      </c>
      <c r="H38" s="200">
        <f t="shared" si="2"/>
        <v>1.1863211769935358</v>
      </c>
      <c r="I38" s="200">
        <f t="shared" si="3"/>
        <v>0.61866202696804629</v>
      </c>
      <c r="J38" s="200">
        <f t="shared" si="4"/>
        <v>0.96879908440533646</v>
      </c>
      <c r="K38" s="200">
        <f t="shared" si="5"/>
        <v>31.170141741657297</v>
      </c>
      <c r="L38" s="201">
        <f t="shared" si="6"/>
        <v>32.356462918650834</v>
      </c>
      <c r="M38" s="50"/>
    </row>
    <row r="39" spans="1:14">
      <c r="A39" s="184">
        <v>63.5</v>
      </c>
      <c r="B39" s="185">
        <v>692.13438942000005</v>
      </c>
      <c r="C39" s="186">
        <v>1.5591150311999999</v>
      </c>
      <c r="D39" s="187">
        <v>0.28215091488159999</v>
      </c>
      <c r="E39" s="50"/>
      <c r="F39" s="199">
        <f t="shared" si="0"/>
        <v>0.13282190439303632</v>
      </c>
      <c r="G39" s="200">
        <f t="shared" si="1"/>
        <v>3.74758218408116E-2</v>
      </c>
      <c r="H39" s="200">
        <f t="shared" si="2"/>
        <v>1.2057470919062725</v>
      </c>
      <c r="I39" s="200">
        <f t="shared" si="3"/>
        <v>0.61866202696804629</v>
      </c>
      <c r="J39" s="200">
        <f t="shared" si="4"/>
        <v>0.96456526547854071</v>
      </c>
      <c r="K39" s="200">
        <f t="shared" si="5"/>
        <v>31.033922851506567</v>
      </c>
      <c r="L39" s="201">
        <f t="shared" si="6"/>
        <v>32.239669943412842</v>
      </c>
      <c r="M39" s="50"/>
    </row>
    <row r="40" spans="1:14">
      <c r="A40" s="184">
        <v>64.400000000000006</v>
      </c>
      <c r="B40" s="185">
        <v>700.12743360000002</v>
      </c>
      <c r="C40" s="186">
        <v>1.5521764468799999</v>
      </c>
      <c r="D40" s="187">
        <v>0.28680106639039998</v>
      </c>
      <c r="E40" s="50"/>
      <c r="F40" s="199">
        <f t="shared" si="0"/>
        <v>0.13282190439303632</v>
      </c>
      <c r="G40" s="200">
        <f t="shared" si="1"/>
        <v>3.8093463819926565E-2</v>
      </c>
      <c r="H40" s="200">
        <f t="shared" si="2"/>
        <v>1.2256191049423173</v>
      </c>
      <c r="I40" s="200">
        <f t="shared" si="3"/>
        <v>0.61866202696804629</v>
      </c>
      <c r="J40" s="200">
        <f t="shared" si="4"/>
        <v>0.96027262683884074</v>
      </c>
      <c r="K40" s="200">
        <f t="shared" si="5"/>
        <v>30.895811495912863</v>
      </c>
      <c r="L40" s="201">
        <f t="shared" si="6"/>
        <v>32.121430600855177</v>
      </c>
      <c r="M40" s="50"/>
    </row>
    <row r="41" spans="1:14">
      <c r="A41" s="184">
        <v>65.3</v>
      </c>
      <c r="B41" s="185">
        <v>708.18864564</v>
      </c>
      <c r="C41" s="186">
        <v>1.5451350256</v>
      </c>
      <c r="D41" s="187">
        <v>0.29156020567359997</v>
      </c>
      <c r="E41" s="50"/>
      <c r="F41" s="199">
        <f t="shared" si="0"/>
        <v>0.13282190439303632</v>
      </c>
      <c r="G41" s="200">
        <f t="shared" si="1"/>
        <v>3.87255817627929E-2</v>
      </c>
      <c r="H41" s="200">
        <f t="shared" si="2"/>
        <v>1.2459568676360988</v>
      </c>
      <c r="I41" s="200">
        <f t="shared" si="3"/>
        <v>0.61866202696804629</v>
      </c>
      <c r="J41" s="200">
        <f t="shared" si="4"/>
        <v>0.95591636687702009</v>
      </c>
      <c r="K41" s="200">
        <f t="shared" si="5"/>
        <v>30.755653187901245</v>
      </c>
      <c r="L41" s="201">
        <f t="shared" si="6"/>
        <v>32.001610055537341</v>
      </c>
      <c r="M41" s="50"/>
    </row>
    <row r="42" spans="1:14">
      <c r="A42" s="184">
        <v>66.2</v>
      </c>
      <c r="B42" s="185">
        <v>716.32237667999993</v>
      </c>
      <c r="C42" s="186">
        <v>1.5379868867199999</v>
      </c>
      <c r="D42" s="187">
        <v>0.29643326114399998</v>
      </c>
      <c r="E42" s="50"/>
      <c r="F42" s="199">
        <f t="shared" si="0"/>
        <v>0.13282190439303632</v>
      </c>
      <c r="G42" s="200">
        <f t="shared" si="1"/>
        <v>3.937283027058433E-2</v>
      </c>
      <c r="H42" s="200">
        <f t="shared" si="2"/>
        <v>1.2667814411257803</v>
      </c>
      <c r="I42" s="200">
        <f t="shared" si="3"/>
        <v>0.61866202696804629</v>
      </c>
      <c r="J42" s="200">
        <f t="shared" si="4"/>
        <v>0.9514940847884702</v>
      </c>
      <c r="K42" s="200">
        <f t="shared" si="5"/>
        <v>30.61337068398424</v>
      </c>
      <c r="L42" s="201">
        <f t="shared" si="6"/>
        <v>31.880152125110019</v>
      </c>
      <c r="M42" s="177"/>
    </row>
    <row r="43" spans="1:14">
      <c r="A43" s="184">
        <v>67.099999999999994</v>
      </c>
      <c r="B43" s="185">
        <v>724.52862672000003</v>
      </c>
      <c r="C43" s="186">
        <v>1.5307281495999998</v>
      </c>
      <c r="D43" s="187">
        <v>0.301425510472</v>
      </c>
      <c r="E43" s="50"/>
      <c r="F43" s="199">
        <f t="shared" si="0"/>
        <v>0.13282190439303632</v>
      </c>
      <c r="G43" s="200">
        <f t="shared" si="1"/>
        <v>4.0035910333534153E-2</v>
      </c>
      <c r="H43" s="200">
        <f t="shared" si="2"/>
        <v>1.2881153790711277</v>
      </c>
      <c r="I43" s="200">
        <f t="shared" si="3"/>
        <v>0.61866202696804629</v>
      </c>
      <c r="J43" s="200">
        <f t="shared" si="4"/>
        <v>0.94700337976858262</v>
      </c>
      <c r="K43" s="200">
        <f t="shared" si="5"/>
        <v>30.468886740674378</v>
      </c>
      <c r="L43" s="201">
        <f t="shared" si="6"/>
        <v>31.757002119745508</v>
      </c>
      <c r="M43" s="177"/>
    </row>
    <row r="44" spans="1:14">
      <c r="A44" s="184">
        <v>68</v>
      </c>
      <c r="B44" s="185">
        <v>732.80594538000003</v>
      </c>
      <c r="C44" s="186">
        <v>1.5233529932800001</v>
      </c>
      <c r="D44" s="187">
        <v>0.30654265819839999</v>
      </c>
      <c r="E44" s="50"/>
      <c r="F44" s="199">
        <f t="shared" si="0"/>
        <v>0.13282190439303632</v>
      </c>
      <c r="G44" s="200">
        <f t="shared" si="1"/>
        <v>4.0715579639615092E-2</v>
      </c>
      <c r="H44" s="200">
        <f t="shared" si="2"/>
        <v>1.3099830593249759</v>
      </c>
      <c r="I44" s="200">
        <f t="shared" si="3"/>
        <v>0.61866202696804629</v>
      </c>
      <c r="J44" s="200">
        <f t="shared" si="4"/>
        <v>0.94244065061044546</v>
      </c>
      <c r="K44" s="200">
        <f t="shared" si="5"/>
        <v>30.32208549274047</v>
      </c>
      <c r="L44" s="201">
        <f t="shared" si="6"/>
        <v>31.632068552065448</v>
      </c>
      <c r="M44" s="50"/>
    </row>
    <row r="45" spans="1:14">
      <c r="A45" s="184">
        <v>68.900000000000006</v>
      </c>
      <c r="B45" s="185">
        <v>741.15723342000001</v>
      </c>
      <c r="C45" s="186">
        <v>1.51585365648</v>
      </c>
      <c r="D45" s="187">
        <v>0.31179093275039999</v>
      </c>
      <c r="E45" s="50"/>
      <c r="F45" s="199">
        <f t="shared" si="0"/>
        <v>0.13282190439303632</v>
      </c>
      <c r="G45" s="200">
        <f t="shared" si="1"/>
        <v>4.1412665460389242E-2</v>
      </c>
      <c r="H45" s="200">
        <f t="shared" si="2"/>
        <v>1.3324110985225635</v>
      </c>
      <c r="I45" s="200">
        <f t="shared" si="3"/>
        <v>0.61866202696804629</v>
      </c>
      <c r="J45" s="200">
        <f t="shared" si="4"/>
        <v>0.93780109570484138</v>
      </c>
      <c r="K45" s="200">
        <f t="shared" si="5"/>
        <v>30.172812453207566</v>
      </c>
      <c r="L45" s="201">
        <f t="shared" si="6"/>
        <v>31.505223551730129</v>
      </c>
      <c r="M45" s="50"/>
    </row>
    <row r="46" spans="1:14">
      <c r="A46" s="184">
        <v>69.8</v>
      </c>
      <c r="B46" s="185">
        <v>749.58104045999994</v>
      </c>
      <c r="C46" s="186">
        <v>1.5082262585599999</v>
      </c>
      <c r="D46" s="187">
        <v>0.31717698942559996</v>
      </c>
      <c r="E46" s="50"/>
      <c r="F46" s="199">
        <f t="shared" si="0"/>
        <v>0.13282190439303632</v>
      </c>
      <c r="G46" s="200">
        <f t="shared" si="1"/>
        <v>4.2128051765158131E-2</v>
      </c>
      <c r="H46" s="200">
        <f t="shared" si="2"/>
        <v>1.3554279374921976</v>
      </c>
      <c r="I46" s="200">
        <f t="shared" si="3"/>
        <v>0.61866202696804629</v>
      </c>
      <c r="J46" s="200">
        <f t="shared" si="4"/>
        <v>0.93308231424716226</v>
      </c>
      <c r="K46" s="200">
        <f t="shared" si="5"/>
        <v>30.020990378588198</v>
      </c>
      <c r="L46" s="201">
        <f t="shared" si="6"/>
        <v>31.376418316080397</v>
      </c>
      <c r="M46" s="50"/>
    </row>
    <row r="47" spans="1:14">
      <c r="A47" s="188">
        <v>70</v>
      </c>
      <c r="B47" s="189">
        <f>B46+(((B48-B46)/($A$48-$A$46))*($A$47-$A$46))</f>
        <v>751.46975752666663</v>
      </c>
      <c r="C47" s="190">
        <f>C46+(((C48-C46)/($A$48-$A$46))*($A$47-$A$46))</f>
        <v>1.5065010984888887</v>
      </c>
      <c r="D47" s="191">
        <f>D46+(((D48-D46)/($A$48-$A$46))*($A$47-$A$46))</f>
        <v>0.31840613902737774</v>
      </c>
      <c r="E47" s="47"/>
      <c r="F47" s="199">
        <f t="shared" si="0"/>
        <v>0.13282190439303632</v>
      </c>
      <c r="G47" s="200">
        <f t="shared" si="1"/>
        <v>4.2291309756050194E-2</v>
      </c>
      <c r="H47" s="200">
        <f t="shared" si="2"/>
        <v>1.3606806000911589</v>
      </c>
      <c r="I47" s="200">
        <f t="shared" si="3"/>
        <v>0.61866202696804629</v>
      </c>
      <c r="J47" s="200">
        <f t="shared" si="4"/>
        <v>0.93201502322072416</v>
      </c>
      <c r="K47" s="200">
        <f t="shared" si="5"/>
        <v>29.986651357103579</v>
      </c>
      <c r="L47" s="201">
        <f t="shared" si="6"/>
        <v>31.347331957194736</v>
      </c>
      <c r="M47" s="50"/>
      <c r="N47" s="49"/>
    </row>
    <row r="48" spans="1:14">
      <c r="A48" s="184">
        <v>70.7</v>
      </c>
      <c r="B48" s="185">
        <v>758.08026725999991</v>
      </c>
      <c r="C48" s="186">
        <v>1.5004630382399999</v>
      </c>
      <c r="D48" s="187">
        <v>0.32270816263359997</v>
      </c>
      <c r="E48" s="50"/>
      <c r="F48" s="199">
        <f t="shared" si="0"/>
        <v>0.13282190439303632</v>
      </c>
      <c r="G48" s="200">
        <f t="shared" si="1"/>
        <v>4.2862712724172428E-2</v>
      </c>
      <c r="H48" s="200">
        <f t="shared" si="2"/>
        <v>1.3790649191875237</v>
      </c>
      <c r="I48" s="200">
        <f t="shared" si="3"/>
        <v>0.61866202696804629</v>
      </c>
      <c r="J48" s="200">
        <f t="shared" si="4"/>
        <v>0.92827950462819153</v>
      </c>
      <c r="K48" s="200">
        <f t="shared" si="5"/>
        <v>29.866464781907435</v>
      </c>
      <c r="L48" s="201">
        <f t="shared" si="6"/>
        <v>31.245529701094959</v>
      </c>
      <c r="M48" s="50"/>
    </row>
    <row r="49" spans="1:14">
      <c r="A49" s="184">
        <v>71.599999999999994</v>
      </c>
      <c r="B49" s="185">
        <v>766.65491381999993</v>
      </c>
      <c r="C49" s="186">
        <v>1.4925542939199998</v>
      </c>
      <c r="D49" s="187">
        <v>0.32839236888000001</v>
      </c>
      <c r="E49" s="50"/>
      <c r="F49" s="199">
        <f t="shared" si="0"/>
        <v>0.13282190439303632</v>
      </c>
      <c r="G49" s="200">
        <f t="shared" si="1"/>
        <v>4.3617699822782074E-2</v>
      </c>
      <c r="H49" s="200">
        <f t="shared" si="2"/>
        <v>1.4033558740981904</v>
      </c>
      <c r="I49" s="200">
        <f t="shared" si="3"/>
        <v>0.61866202696804629</v>
      </c>
      <c r="J49" s="200">
        <f t="shared" si="4"/>
        <v>0.92338666483640819</v>
      </c>
      <c r="K49" s="200">
        <f t="shared" si="5"/>
        <v>29.709042554446597</v>
      </c>
      <c r="L49" s="201">
        <f t="shared" si="6"/>
        <v>31.112398428544786</v>
      </c>
      <c r="M49" s="50"/>
    </row>
    <row r="50" spans="1:14">
      <c r="A50" s="184">
        <v>72.5</v>
      </c>
      <c r="B50" s="185">
        <v>775.30498014</v>
      </c>
      <c r="C50" s="186">
        <v>1.48449226432</v>
      </c>
      <c r="D50" s="187">
        <v>0.33423830079839995</v>
      </c>
      <c r="E50" s="50"/>
      <c r="F50" s="199">
        <f t="shared" si="0"/>
        <v>0.13282190439303632</v>
      </c>
      <c r="G50" s="200">
        <f t="shared" si="1"/>
        <v>4.4394167633135993E-2</v>
      </c>
      <c r="H50" s="200">
        <f t="shared" si="2"/>
        <v>1.4283379494285173</v>
      </c>
      <c r="I50" s="200">
        <f t="shared" si="3"/>
        <v>0.61866202696804629</v>
      </c>
      <c r="J50" s="200">
        <f t="shared" si="4"/>
        <v>0.918398993262596</v>
      </c>
      <c r="K50" s="200">
        <f t="shared" si="5"/>
        <v>29.548569209230763</v>
      </c>
      <c r="L50" s="201">
        <f t="shared" si="6"/>
        <v>30.97690715865928</v>
      </c>
      <c r="M50" s="50"/>
    </row>
    <row r="51" spans="1:14">
      <c r="A51" s="184">
        <v>73.400000000000006</v>
      </c>
      <c r="B51" s="185">
        <v>784.03191660000005</v>
      </c>
      <c r="C51" s="186">
        <v>1.4762691881599999</v>
      </c>
      <c r="D51" s="187">
        <v>0.34025552416639998</v>
      </c>
      <c r="E51" s="50"/>
      <c r="F51" s="199">
        <f t="shared" si="0"/>
        <v>0.13282190439303632</v>
      </c>
      <c r="G51" s="200">
        <f t="shared" si="1"/>
        <v>4.5193386700032034E-2</v>
      </c>
      <c r="H51" s="200">
        <f t="shared" si="2"/>
        <v>1.4540520236868306</v>
      </c>
      <c r="I51" s="200">
        <f t="shared" si="3"/>
        <v>0.61866202696804629</v>
      </c>
      <c r="J51" s="200">
        <f t="shared" si="4"/>
        <v>0.91331168829753762</v>
      </c>
      <c r="K51" s="200">
        <f t="shared" si="5"/>
        <v>29.384890259284976</v>
      </c>
      <c r="L51" s="201">
        <f t="shared" si="6"/>
        <v>30.838942282971807</v>
      </c>
      <c r="M51" s="50"/>
    </row>
    <row r="52" spans="1:14">
      <c r="A52" s="184">
        <v>74.3</v>
      </c>
      <c r="B52" s="185">
        <v>792.83572320000007</v>
      </c>
      <c r="C52" s="186">
        <v>1.4678734235199999</v>
      </c>
      <c r="D52" s="187">
        <v>0.34645449730880001</v>
      </c>
      <c r="E52" s="50"/>
      <c r="F52" s="199">
        <f t="shared" si="0"/>
        <v>0.13282190439303632</v>
      </c>
      <c r="G52" s="200">
        <f t="shared" si="1"/>
        <v>4.6016746118086892E-2</v>
      </c>
      <c r="H52" s="200">
        <f t="shared" si="2"/>
        <v>1.4805427896033276</v>
      </c>
      <c r="I52" s="200">
        <f t="shared" si="3"/>
        <v>0.61866202696804629</v>
      </c>
      <c r="J52" s="200">
        <f t="shared" si="4"/>
        <v>0.90811754752740859</v>
      </c>
      <c r="K52" s="200">
        <f t="shared" si="5"/>
        <v>29.217773974146844</v>
      </c>
      <c r="L52" s="201">
        <f t="shared" si="6"/>
        <v>30.698316763750171</v>
      </c>
      <c r="M52" s="50"/>
    </row>
    <row r="53" spans="1:14" ht="15.75" thickBot="1">
      <c r="A53" s="188">
        <v>75</v>
      </c>
      <c r="B53" s="189">
        <f>B52+(((B54-B52)/($A$54-$A$52))*($A$53-$A$52))</f>
        <v>799.74517236666668</v>
      </c>
      <c r="C53" s="190">
        <f t="shared" ref="C53:D53" si="7">C52+(((C54-C52)/($A$54-$A$52))*($A$53-$A$52))</f>
        <v>1.4612000162666667</v>
      </c>
      <c r="D53" s="191">
        <f t="shared" si="7"/>
        <v>0.35142632153493331</v>
      </c>
      <c r="E53" s="47"/>
      <c r="F53" s="202">
        <f t="shared" si="0"/>
        <v>0.13282190439303632</v>
      </c>
      <c r="G53" s="203">
        <f t="shared" si="1"/>
        <v>4.6677113280109352E-2</v>
      </c>
      <c r="H53" s="203">
        <f t="shared" si="2"/>
        <v>1.5017894426742382</v>
      </c>
      <c r="I53" s="203">
        <f t="shared" si="3"/>
        <v>0.61866202696804629</v>
      </c>
      <c r="J53" s="203">
        <f t="shared" si="4"/>
        <v>0.90398896386927829</v>
      </c>
      <c r="K53" s="203">
        <f t="shared" si="5"/>
        <v>29.084940923530159</v>
      </c>
      <c r="L53" s="204">
        <f t="shared" si="6"/>
        <v>30.586730366204396</v>
      </c>
      <c r="M53" s="50"/>
      <c r="N53" s="40"/>
    </row>
    <row r="54" spans="1:14">
      <c r="A54" s="184">
        <v>75.2</v>
      </c>
      <c r="B54" s="185">
        <v>801.71930069999996</v>
      </c>
      <c r="C54" s="186">
        <v>1.45929332848</v>
      </c>
      <c r="D54" s="187">
        <v>0.35284684274239997</v>
      </c>
      <c r="E54" s="50"/>
      <c r="F54" s="50"/>
      <c r="G54" s="50"/>
      <c r="H54" s="50"/>
      <c r="I54" s="50"/>
      <c r="J54" s="50"/>
      <c r="K54" s="50"/>
      <c r="L54" s="50"/>
      <c r="M54" s="17"/>
    </row>
    <row r="55" spans="1:14">
      <c r="A55" s="184">
        <v>76.099999999999994</v>
      </c>
      <c r="B55" s="185">
        <v>810.68264910000005</v>
      </c>
      <c r="C55" s="186">
        <v>1.4505153208000001</v>
      </c>
      <c r="D55" s="187">
        <v>0.35944542478879998</v>
      </c>
      <c r="E55" s="50"/>
      <c r="F55" s="50"/>
      <c r="G55" s="50"/>
      <c r="H55" s="50"/>
      <c r="I55" s="50"/>
      <c r="J55" s="50"/>
      <c r="K55" s="50"/>
      <c r="L55" s="50"/>
      <c r="M55" s="17"/>
    </row>
    <row r="56" spans="1:14">
      <c r="A56" s="184">
        <v>77</v>
      </c>
      <c r="B56" s="185">
        <v>819.72576839999999</v>
      </c>
      <c r="C56" s="186">
        <v>1.4415277585599999</v>
      </c>
      <c r="D56" s="187">
        <v>0.36626458241279997</v>
      </c>
      <c r="E56" s="50"/>
      <c r="F56" s="50"/>
      <c r="G56" s="50"/>
      <c r="H56" s="50"/>
      <c r="I56" s="50"/>
      <c r="J56" s="50"/>
      <c r="K56" s="50"/>
      <c r="L56" s="50"/>
      <c r="M56" s="17"/>
    </row>
    <row r="57" spans="1:14">
      <c r="A57" s="184">
        <v>77.900000000000006</v>
      </c>
      <c r="B57" s="185">
        <v>828.85010898000007</v>
      </c>
      <c r="C57" s="186">
        <v>1.4323131788799999</v>
      </c>
      <c r="D57" s="187">
        <v>0.37332036206079999</v>
      </c>
      <c r="E57" s="50"/>
      <c r="F57" s="50"/>
      <c r="G57" s="50"/>
      <c r="H57" s="50"/>
      <c r="I57" s="50"/>
      <c r="J57" s="50"/>
      <c r="K57" s="50"/>
      <c r="L57" s="50"/>
      <c r="M57" s="17"/>
    </row>
    <row r="58" spans="1:14">
      <c r="A58" s="184">
        <v>78.8</v>
      </c>
      <c r="B58" s="185">
        <v>838.05712122</v>
      </c>
      <c r="C58" s="186">
        <v>1.4228541188799999</v>
      </c>
      <c r="D58" s="187">
        <v>0.38063080870880001</v>
      </c>
      <c r="E58" s="50"/>
      <c r="F58" s="50"/>
      <c r="G58" s="50"/>
      <c r="H58" s="50"/>
      <c r="I58" s="50"/>
      <c r="J58" s="50"/>
      <c r="K58" s="50"/>
      <c r="L58" s="50"/>
      <c r="M58" s="17"/>
    </row>
    <row r="59" spans="1:14">
      <c r="A59" s="184">
        <v>79.7</v>
      </c>
      <c r="B59" s="185">
        <v>847.34825549999994</v>
      </c>
      <c r="C59" s="186">
        <v>1.41312923504</v>
      </c>
      <c r="D59" s="187">
        <v>0.38821637332959996</v>
      </c>
      <c r="E59" s="50"/>
      <c r="F59" s="50"/>
      <c r="G59" s="50"/>
      <c r="H59" s="50"/>
      <c r="I59" s="50"/>
      <c r="J59" s="50"/>
      <c r="K59" s="50"/>
      <c r="L59" s="50"/>
      <c r="M59" s="17"/>
    </row>
    <row r="60" spans="1:14">
      <c r="A60" s="184">
        <v>80.599999999999994</v>
      </c>
      <c r="B60" s="185">
        <v>856.72351182</v>
      </c>
      <c r="C60" s="186">
        <v>1.4031171838399998</v>
      </c>
      <c r="D60" s="187">
        <v>0.3961002815536</v>
      </c>
      <c r="E60" s="50"/>
      <c r="F60" s="50"/>
      <c r="G60" s="50"/>
      <c r="H60" s="50"/>
      <c r="I60" s="50"/>
      <c r="J60" s="50"/>
      <c r="K60" s="50"/>
      <c r="L60" s="50"/>
      <c r="M60" s="17"/>
    </row>
    <row r="61" spans="1:14">
      <c r="A61" s="184">
        <v>81.5</v>
      </c>
      <c r="B61" s="185">
        <v>866.18579093999995</v>
      </c>
      <c r="C61" s="186">
        <v>1.3927888604799998</v>
      </c>
      <c r="D61" s="187">
        <v>0.40430919337760002</v>
      </c>
      <c r="E61" s="50"/>
      <c r="F61" s="50"/>
      <c r="G61" s="50"/>
      <c r="H61" s="50"/>
      <c r="I61" s="50"/>
      <c r="J61" s="50"/>
      <c r="K61" s="50"/>
      <c r="L61" s="50"/>
      <c r="M61" s="17"/>
    </row>
    <row r="62" spans="1:14">
      <c r="A62" s="184">
        <v>82.4</v>
      </c>
      <c r="B62" s="185">
        <v>875.73364248000007</v>
      </c>
      <c r="C62" s="186">
        <v>1.3821171004799999</v>
      </c>
      <c r="D62" s="187">
        <v>0.41287390167999999</v>
      </c>
      <c r="E62" s="50"/>
      <c r="F62" s="50"/>
      <c r="G62" s="50"/>
      <c r="H62" s="50"/>
      <c r="I62" s="50"/>
      <c r="J62" s="50"/>
      <c r="K62" s="50"/>
      <c r="L62" s="50"/>
      <c r="M62" s="17"/>
    </row>
    <row r="63" spans="1:14">
      <c r="A63" s="184">
        <v>83.3</v>
      </c>
      <c r="B63" s="185">
        <v>885.37141757999996</v>
      </c>
      <c r="C63" s="186">
        <v>1.37106309744</v>
      </c>
      <c r="D63" s="187">
        <v>0.42183024417120002</v>
      </c>
      <c r="E63" s="50"/>
      <c r="F63" s="50"/>
      <c r="G63" s="50"/>
      <c r="H63" s="50"/>
      <c r="I63" s="50"/>
      <c r="J63" s="50"/>
      <c r="K63" s="50"/>
      <c r="L63" s="50"/>
      <c r="M63" s="17"/>
    </row>
    <row r="64" spans="1:14">
      <c r="A64" s="184">
        <v>84.2</v>
      </c>
      <c r="B64" s="185">
        <v>895.10056662</v>
      </c>
      <c r="C64" s="186">
        <v>1.35958416432</v>
      </c>
      <c r="D64" s="187">
        <v>0.43122034519840002</v>
      </c>
      <c r="E64" s="50"/>
      <c r="F64" s="50"/>
      <c r="G64" s="50"/>
      <c r="H64" s="50"/>
      <c r="I64" s="50"/>
      <c r="J64" s="50"/>
      <c r="K64" s="50"/>
      <c r="L64" s="50"/>
      <c r="M64" s="17"/>
    </row>
    <row r="65" spans="1:14">
      <c r="A65" s="184">
        <v>85.1</v>
      </c>
      <c r="B65" s="185">
        <v>904.91963922000002</v>
      </c>
      <c r="C65" s="186">
        <v>1.3476317931200001</v>
      </c>
      <c r="D65" s="187">
        <v>0.44109424561439997</v>
      </c>
      <c r="E65" s="50"/>
      <c r="F65" s="50"/>
      <c r="G65" s="50"/>
      <c r="H65" s="50"/>
      <c r="I65" s="50"/>
      <c r="J65" s="50"/>
      <c r="K65" s="50"/>
      <c r="L65" s="50"/>
      <c r="M65" s="17"/>
    </row>
    <row r="66" spans="1:14">
      <c r="A66" s="184">
        <v>86</v>
      </c>
      <c r="B66" s="185">
        <v>914.83443690000001</v>
      </c>
      <c r="C66" s="186">
        <v>1.33514583392</v>
      </c>
      <c r="D66" s="187">
        <v>0.45151211474239994</v>
      </c>
      <c r="E66" s="50"/>
      <c r="F66" s="50"/>
      <c r="G66" s="50"/>
      <c r="H66" s="50"/>
      <c r="I66" s="50"/>
      <c r="J66" s="50"/>
      <c r="K66" s="50"/>
      <c r="L66" s="50"/>
      <c r="M66" s="17"/>
    </row>
    <row r="67" spans="1:14">
      <c r="A67" s="184">
        <v>86.9</v>
      </c>
      <c r="B67" s="185">
        <v>924.84350928000003</v>
      </c>
      <c r="C67" s="186">
        <v>1.3220506142399999</v>
      </c>
      <c r="D67" s="187">
        <v>0.4625472966784</v>
      </c>
      <c r="E67" s="50"/>
      <c r="F67" s="50"/>
      <c r="G67" s="50"/>
      <c r="H67" s="50"/>
      <c r="I67" s="50"/>
      <c r="J67" s="50"/>
      <c r="K67" s="50"/>
      <c r="L67" s="50"/>
      <c r="M67" s="17"/>
    </row>
    <row r="68" spans="1:14">
      <c r="A68" s="184">
        <v>87.8</v>
      </c>
      <c r="B68" s="185">
        <v>934.95120750000012</v>
      </c>
      <c r="C68" s="186">
        <v>1.30825687936</v>
      </c>
      <c r="D68" s="187">
        <v>0.47429065660800002</v>
      </c>
      <c r="E68" s="50"/>
      <c r="F68" s="50"/>
      <c r="G68" s="50"/>
      <c r="H68" s="50"/>
      <c r="I68" s="50"/>
      <c r="J68" s="50"/>
      <c r="K68" s="50"/>
      <c r="L68" s="50"/>
      <c r="M68" s="17"/>
    </row>
    <row r="69" spans="1:14">
      <c r="A69" s="184">
        <v>88.7</v>
      </c>
      <c r="B69" s="185">
        <v>945.16043231999993</v>
      </c>
      <c r="C69" s="186">
        <v>1.29364626976</v>
      </c>
      <c r="D69" s="187">
        <v>0.48685690624959999</v>
      </c>
      <c r="E69" s="50"/>
      <c r="F69" s="50"/>
      <c r="G69" s="50"/>
      <c r="H69" s="50"/>
      <c r="I69" s="50"/>
      <c r="J69" s="50"/>
      <c r="K69" s="50"/>
      <c r="L69" s="50"/>
      <c r="M69" s="17"/>
    </row>
    <row r="70" spans="1:14">
      <c r="A70" s="184">
        <v>89.6</v>
      </c>
      <c r="B70" s="185">
        <v>955.47118374000013</v>
      </c>
      <c r="C70" s="186">
        <v>1.2780693808000001</v>
      </c>
      <c r="D70" s="187">
        <v>0.50039415022879996</v>
      </c>
      <c r="E70" s="50"/>
      <c r="F70" s="50"/>
      <c r="G70" s="50"/>
      <c r="H70" s="50"/>
      <c r="I70" s="50"/>
      <c r="J70" s="50"/>
      <c r="K70" s="50"/>
      <c r="L70" s="50"/>
      <c r="M70" s="17"/>
    </row>
    <row r="71" spans="1:14">
      <c r="A71" s="184">
        <v>90.5</v>
      </c>
      <c r="B71" s="185">
        <v>965.88781289999997</v>
      </c>
      <c r="C71" s="186">
        <v>1.2613302401599999</v>
      </c>
      <c r="D71" s="187">
        <v>0.51509886534880001</v>
      </c>
      <c r="E71" s="50"/>
      <c r="F71" s="50"/>
      <c r="G71" s="50"/>
      <c r="H71" s="50"/>
      <c r="I71" s="50"/>
      <c r="J71" s="50"/>
      <c r="K71" s="50"/>
      <c r="L71" s="50"/>
      <c r="M71" s="17"/>
    </row>
    <row r="72" spans="1:14">
      <c r="A72" s="184">
        <v>91.4</v>
      </c>
      <c r="B72" s="185">
        <v>976.41612132</v>
      </c>
      <c r="C72" s="186">
        <v>1.24315138208</v>
      </c>
      <c r="D72" s="187">
        <v>0.53124065907359996</v>
      </c>
      <c r="E72" s="50"/>
      <c r="F72" s="50"/>
      <c r="G72" s="50"/>
      <c r="H72" s="50"/>
      <c r="I72" s="50"/>
      <c r="J72" s="50"/>
      <c r="K72" s="50"/>
      <c r="L72" s="50"/>
      <c r="M72" s="17"/>
    </row>
    <row r="73" spans="1:14">
      <c r="A73" s="184">
        <v>92.3</v>
      </c>
      <c r="B73" s="185">
        <v>987.05610900000011</v>
      </c>
      <c r="C73" s="186">
        <v>1.2231428022399999</v>
      </c>
      <c r="D73" s="187">
        <v>0.54920555806720006</v>
      </c>
      <c r="E73" s="50"/>
      <c r="F73" s="50"/>
      <c r="G73" s="50"/>
      <c r="H73" s="50"/>
      <c r="I73" s="50"/>
      <c r="J73" s="50"/>
      <c r="K73" s="50"/>
      <c r="L73" s="50"/>
      <c r="M73" s="17"/>
    </row>
    <row r="74" spans="1:14">
      <c r="A74" s="184">
        <v>93.2</v>
      </c>
      <c r="B74" s="185">
        <v>997.81792859999996</v>
      </c>
      <c r="C74" s="186">
        <v>1.20071076272</v>
      </c>
      <c r="D74" s="187">
        <v>0.56957841358399997</v>
      </c>
      <c r="E74" s="50"/>
      <c r="F74" s="50"/>
      <c r="G74" s="50"/>
      <c r="H74" s="50"/>
      <c r="I74" s="50"/>
      <c r="J74" s="50"/>
      <c r="K74" s="50"/>
      <c r="L74" s="50"/>
      <c r="M74" s="17"/>
    </row>
    <row r="75" spans="1:14">
      <c r="A75" s="184">
        <v>94.1</v>
      </c>
      <c r="B75" s="185">
        <v>1008.70448088</v>
      </c>
      <c r="C75" s="186">
        <v>1.1748812228800001</v>
      </c>
      <c r="D75" s="187">
        <v>0.59331624965759999</v>
      </c>
      <c r="E75" s="50"/>
      <c r="F75" s="50"/>
      <c r="G75" s="50"/>
      <c r="H75" s="50"/>
      <c r="I75" s="50"/>
      <c r="J75" s="50"/>
      <c r="K75" s="50"/>
      <c r="L75" s="50"/>
      <c r="M75" s="17"/>
    </row>
    <row r="76" spans="1:14">
      <c r="A76" s="184">
        <v>95</v>
      </c>
      <c r="B76" s="185">
        <v>1019.7259185</v>
      </c>
      <c r="C76" s="186">
        <v>1.143867148</v>
      </c>
      <c r="D76" s="187">
        <v>0.6221741633408</v>
      </c>
      <c r="E76" s="50"/>
      <c r="F76" s="50"/>
      <c r="G76" s="50"/>
      <c r="H76" s="50"/>
      <c r="I76" s="50"/>
      <c r="J76" s="50"/>
      <c r="K76" s="50"/>
      <c r="L76" s="50"/>
      <c r="M76" s="17"/>
    </row>
    <row r="77" spans="1:14">
      <c r="A77" s="184">
        <v>95.9</v>
      </c>
      <c r="B77" s="185">
        <v>1030.8938445000001</v>
      </c>
      <c r="C77" s="186">
        <v>1.1037122256</v>
      </c>
      <c r="D77" s="187">
        <v>0.66003374539039994</v>
      </c>
      <c r="E77" s="50"/>
      <c r="F77" s="50"/>
      <c r="G77" s="50"/>
      <c r="H77" s="50"/>
      <c r="I77" s="50"/>
      <c r="J77" s="50"/>
      <c r="K77" s="50"/>
      <c r="L77" s="50"/>
      <c r="M77" s="17"/>
    </row>
    <row r="78" spans="1:14">
      <c r="A78" s="184">
        <v>96.8</v>
      </c>
      <c r="B78" s="185">
        <v>1042.23146496</v>
      </c>
      <c r="C78" s="186">
        <v>1.04153273088</v>
      </c>
      <c r="D78" s="187">
        <v>0.7195324357888</v>
      </c>
      <c r="E78" s="50"/>
      <c r="F78" s="50"/>
      <c r="G78" s="50"/>
      <c r="H78" s="50"/>
      <c r="I78" s="50"/>
      <c r="J78" s="50"/>
      <c r="K78" s="50"/>
      <c r="L78" s="50"/>
      <c r="M78" s="17"/>
    </row>
    <row r="79" spans="1:14" ht="15.75" thickBot="1">
      <c r="A79" s="192">
        <v>97.47</v>
      </c>
      <c r="B79" s="193">
        <v>1050.8003100000001</v>
      </c>
      <c r="C79" s="194">
        <v>0.87704598352000007</v>
      </c>
      <c r="D79" s="195">
        <v>0.8770468760672</v>
      </c>
      <c r="E79" s="64"/>
      <c r="F79" s="64"/>
      <c r="G79" s="64"/>
      <c r="H79" s="64"/>
      <c r="I79" s="64"/>
      <c r="J79" s="64"/>
      <c r="K79" s="64"/>
      <c r="L79" s="64"/>
      <c r="M79" s="18"/>
      <c r="N79" s="22"/>
    </row>
    <row r="80" spans="1:14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FB6F-B5B6-45D0-A077-A1579B76EE79}">
  <dimension ref="A1:I28"/>
  <sheetViews>
    <sheetView zoomScale="115" zoomScaleNormal="115" workbookViewId="0">
      <selection activeCell="B17" sqref="B17"/>
    </sheetView>
  </sheetViews>
  <sheetFormatPr defaultColWidth="8.85546875" defaultRowHeight="15"/>
  <cols>
    <col min="1" max="1" width="34.42578125" customWidth="1"/>
    <col min="4" max="4" width="27.42578125" customWidth="1"/>
    <col min="5" max="5" width="10.85546875" customWidth="1"/>
    <col min="8" max="8" width="15.42578125" bestFit="1" customWidth="1"/>
  </cols>
  <sheetData>
    <row r="1" spans="1:9" ht="21.75" customHeight="1">
      <c r="A1" s="131" t="s">
        <v>80</v>
      </c>
      <c r="D1" t="s">
        <v>60</v>
      </c>
      <c r="E1">
        <v>0.25</v>
      </c>
      <c r="H1" t="s">
        <v>68</v>
      </c>
      <c r="I1">
        <v>32.164000000000001</v>
      </c>
    </row>
    <row r="2" spans="1:9">
      <c r="A2" t="s">
        <v>74</v>
      </c>
      <c r="B2">
        <f>(4*E16)/(E17*PI()*(E19^2))</f>
        <v>7631.0572946588263</v>
      </c>
      <c r="D2" s="134" t="s">
        <v>71</v>
      </c>
      <c r="E2" s="134">
        <f>'BPV Calcs - T6'!B11</f>
        <v>33000</v>
      </c>
    </row>
    <row r="3" spans="1:9">
      <c r="A3" t="s">
        <v>89</v>
      </c>
      <c r="B3">
        <f>E6</f>
        <v>72000</v>
      </c>
      <c r="D3" s="134" t="s">
        <v>94</v>
      </c>
      <c r="E3" s="134">
        <v>85000</v>
      </c>
      <c r="F3" t="s">
        <v>93</v>
      </c>
    </row>
    <row r="4" spans="1:9">
      <c r="A4" s="40" t="s">
        <v>5</v>
      </c>
      <c r="B4" s="40">
        <f>B3/B2</f>
        <v>9.4351276919902904</v>
      </c>
      <c r="D4" s="135" t="s">
        <v>75</v>
      </c>
      <c r="E4">
        <v>120000</v>
      </c>
    </row>
    <row r="5" spans="1:9">
      <c r="A5" s="40"/>
      <c r="B5" s="40"/>
      <c r="D5" s="135" t="s">
        <v>76</v>
      </c>
      <c r="E5">
        <v>0.6</v>
      </c>
    </row>
    <row r="6" spans="1:9">
      <c r="B6" s="1" t="s">
        <v>86</v>
      </c>
      <c r="D6" s="135" t="s">
        <v>77</v>
      </c>
      <c r="E6">
        <f>E4*E5</f>
        <v>72000</v>
      </c>
    </row>
    <row r="7" spans="1:9" ht="20.25" customHeight="1">
      <c r="A7" s="132" t="s">
        <v>79</v>
      </c>
      <c r="D7" s="133" t="s">
        <v>61</v>
      </c>
      <c r="E7" s="133"/>
    </row>
    <row r="8" spans="1:9">
      <c r="A8" s="127" t="s">
        <v>82</v>
      </c>
      <c r="B8">
        <f>E16*E18/(PI()*('BPV Calcs - T6'!B12-(2*'RT Mounting Bolt Calcs'!E1))*'RT Mounting Bolt Calcs'!E1)</f>
        <v>587.00440728144804</v>
      </c>
      <c r="D8" t="s">
        <v>62</v>
      </c>
      <c r="E8">
        <f>'N2O Pressure Calcs'!P5</f>
        <v>6.1820000000000004</v>
      </c>
    </row>
    <row r="9" spans="1:9">
      <c r="A9" s="127" t="s">
        <v>88</v>
      </c>
      <c r="B9">
        <f>E2</f>
        <v>33000</v>
      </c>
      <c r="D9" t="s">
        <v>63</v>
      </c>
      <c r="E9">
        <f>'N2O Pressure Calcs'!M3</f>
        <v>32.200000000000003</v>
      </c>
    </row>
    <row r="10" spans="1:9" ht="15.75">
      <c r="A10" s="208" t="s">
        <v>5</v>
      </c>
      <c r="B10" s="207">
        <f>B9/B8</f>
        <v>56.217635831442159</v>
      </c>
      <c r="D10" s="40" t="s">
        <v>64</v>
      </c>
      <c r="E10" s="126">
        <f>E8*E9</f>
        <v>199.06040000000004</v>
      </c>
    </row>
    <row r="12" spans="1:9">
      <c r="D12" t="s">
        <v>69</v>
      </c>
      <c r="E12" s="120">
        <v>26.631841000000001</v>
      </c>
    </row>
    <row r="13" spans="1:9" ht="18.75" customHeight="1">
      <c r="A13" s="132" t="s">
        <v>83</v>
      </c>
      <c r="D13" s="40" t="s">
        <v>70</v>
      </c>
      <c r="E13" s="125">
        <f>E12/I1</f>
        <v>0.82800152344235789</v>
      </c>
    </row>
    <row r="14" spans="1:9">
      <c r="A14" t="s">
        <v>84</v>
      </c>
      <c r="B14">
        <v>0.3715</v>
      </c>
      <c r="D14" s="40" t="s">
        <v>65</v>
      </c>
      <c r="E14" s="125">
        <f>'N2O Pressure Calcs'!M7</f>
        <v>1.0537823421600361</v>
      </c>
    </row>
    <row r="15" spans="1:9" ht="15.75" thickBot="1">
      <c r="A15" t="s">
        <v>85</v>
      </c>
      <c r="B15">
        <f>E16/(2*B14*E1)</f>
        <v>2016.627989234772</v>
      </c>
    </row>
    <row r="16" spans="1:9">
      <c r="A16" t="s">
        <v>87</v>
      </c>
      <c r="B16">
        <v>25000</v>
      </c>
      <c r="D16" s="136" t="s">
        <v>78</v>
      </c>
      <c r="E16" s="138">
        <f>E10*(E13+E14)</f>
        <v>374.58864900035888</v>
      </c>
    </row>
    <row r="17" spans="1:6" ht="16.5" thickBot="1">
      <c r="A17" s="207" t="s">
        <v>5</v>
      </c>
      <c r="B17" s="207">
        <f>B16/B15</f>
        <v>12.396931974293622</v>
      </c>
      <c r="D17" s="137" t="s">
        <v>92</v>
      </c>
      <c r="E17" s="139">
        <v>1</v>
      </c>
    </row>
    <row r="18" spans="1:6" ht="15.75" thickBot="1">
      <c r="D18" s="128" t="s">
        <v>72</v>
      </c>
      <c r="E18" s="124">
        <v>8</v>
      </c>
    </row>
    <row r="19" spans="1:6" ht="15.75" thickBot="1">
      <c r="D19" s="130" t="s">
        <v>73</v>
      </c>
      <c r="E19" s="124">
        <v>0.25</v>
      </c>
      <c r="F19" s="129"/>
    </row>
    <row r="20" spans="1:6">
      <c r="A20" s="66" t="s">
        <v>90</v>
      </c>
      <c r="D20" s="4"/>
    </row>
    <row r="21" spans="1:6">
      <c r="A21" t="s">
        <v>91</v>
      </c>
      <c r="B21">
        <f>E16/(E1*E19)</f>
        <v>5993.4183840057422</v>
      </c>
    </row>
    <row r="22" spans="1:6">
      <c r="A22" t="s">
        <v>88</v>
      </c>
      <c r="B22">
        <f>E2</f>
        <v>33000</v>
      </c>
    </row>
    <row r="23" spans="1:6" ht="15.75">
      <c r="A23" s="207" t="s">
        <v>5</v>
      </c>
      <c r="B23" s="207">
        <f>B22/B21</f>
        <v>5.5060397732394284</v>
      </c>
    </row>
    <row r="25" spans="1:6">
      <c r="A25" s="66" t="s">
        <v>96</v>
      </c>
    </row>
    <row r="26" spans="1:6">
      <c r="A26" t="s">
        <v>97</v>
      </c>
      <c r="B26">
        <f>E16/(E1*E19)</f>
        <v>5993.4183840057422</v>
      </c>
    </row>
    <row r="27" spans="1:6">
      <c r="A27" t="s">
        <v>95</v>
      </c>
      <c r="B27">
        <f>E3</f>
        <v>85000</v>
      </c>
    </row>
    <row r="28" spans="1:6" ht="15.75">
      <c r="A28" s="207" t="s">
        <v>5</v>
      </c>
      <c r="B28" s="207">
        <f>B27/B26</f>
        <v>14.182223658343982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62AE-B621-E545-B314-3586194DA631}">
  <dimension ref="A1:G31"/>
  <sheetViews>
    <sheetView zoomScale="132" zoomScaleNormal="70" workbookViewId="0">
      <selection activeCell="C20" sqref="C20"/>
    </sheetView>
  </sheetViews>
  <sheetFormatPr defaultColWidth="8.85546875" defaultRowHeight="15"/>
  <cols>
    <col min="1" max="1" width="62" bestFit="1" customWidth="1"/>
    <col min="2" max="2" width="9.42578125" customWidth="1"/>
    <col min="3" max="3" width="14.85546875" bestFit="1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214" t="s">
        <v>6</v>
      </c>
      <c r="B1" s="214"/>
      <c r="C1" s="214"/>
      <c r="D1" s="214"/>
      <c r="E1" s="214"/>
      <c r="F1" s="214"/>
      <c r="G1" s="214"/>
    </row>
    <row r="2" spans="1:7" ht="15.75">
      <c r="A2" s="215" t="s">
        <v>11</v>
      </c>
      <c r="B2" s="215"/>
      <c r="C2" s="215"/>
      <c r="D2" s="215"/>
      <c r="E2" s="215"/>
      <c r="F2" s="215"/>
      <c r="G2" s="215"/>
    </row>
    <row r="3" spans="1:7" ht="15.75" thickBot="1">
      <c r="A3" s="217" t="s">
        <v>12</v>
      </c>
      <c r="B3" s="217"/>
      <c r="C3" s="217"/>
      <c r="D3" s="217"/>
      <c r="E3" s="217"/>
      <c r="F3" s="217"/>
      <c r="G3" s="217"/>
    </row>
    <row r="4" spans="1:7" ht="24" thickBot="1">
      <c r="A4" s="240" t="s">
        <v>111</v>
      </c>
      <c r="B4" s="241"/>
      <c r="C4" s="241"/>
      <c r="D4" s="241"/>
      <c r="E4" s="241"/>
      <c r="F4" s="242"/>
    </row>
    <row r="5" spans="1:7">
      <c r="A5" s="216" t="s">
        <v>4</v>
      </c>
      <c r="B5" s="216"/>
      <c r="C5" s="142"/>
      <c r="E5" s="216" t="s">
        <v>3</v>
      </c>
      <c r="F5" s="216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0.22502898694663789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0.10660922203137681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0.22502898694663789</v>
      </c>
    </row>
    <row r="11" spans="1:7" ht="29.1" customHeight="1">
      <c r="A11" s="206" t="s">
        <v>107</v>
      </c>
      <c r="B11" s="158">
        <v>27000</v>
      </c>
      <c r="C11" s="159" t="s">
        <v>109</v>
      </c>
      <c r="E11" s="7"/>
      <c r="F11" s="6"/>
    </row>
    <row r="12" spans="1:7" ht="15.75" thickBot="1">
      <c r="A12" t="s">
        <v>81</v>
      </c>
      <c r="B12">
        <v>7</v>
      </c>
      <c r="C12" s="152"/>
      <c r="E12" s="106" t="s">
        <v>54</v>
      </c>
      <c r="F12" s="107">
        <f>(B17*B8)/((2*B11*B9)-(0.2*B17))</f>
        <v>0.10874959929483145</v>
      </c>
    </row>
    <row r="13" spans="1:7" ht="16.5" thickBot="1">
      <c r="A13" s="118" t="s">
        <v>66</v>
      </c>
      <c r="B13" s="153">
        <f>0.25-0.025</f>
        <v>0.22500000000000001</v>
      </c>
      <c r="C13" s="154">
        <f>B13/F10</f>
        <v>0.99987118572130995</v>
      </c>
      <c r="E13" s="108" t="s">
        <v>55</v>
      </c>
      <c r="F13" s="109">
        <f>F12</f>
        <v>0.10874959929483145</v>
      </c>
    </row>
    <row r="14" spans="1:7" ht="15.75" thickBot="1">
      <c r="A14" s="118" t="s">
        <v>67</v>
      </c>
      <c r="B14" s="155">
        <v>0.15</v>
      </c>
      <c r="C14" s="156">
        <f>B14/F13</f>
        <v>1.3793154271155925</v>
      </c>
      <c r="E14" s="5"/>
      <c r="F14" s="5"/>
    </row>
    <row r="15" spans="1:7">
      <c r="C15" s="40" t="s">
        <v>106</v>
      </c>
      <c r="E15" s="5"/>
      <c r="F15" s="5"/>
    </row>
    <row r="16" spans="1:7">
      <c r="A16" s="56" t="s">
        <v>41</v>
      </c>
      <c r="B16" s="121">
        <f>'N2O Pressure Calcs'!H53</f>
        <v>807.70698482306932</v>
      </c>
      <c r="C16" s="144"/>
      <c r="E16" s="5"/>
      <c r="F16" s="5"/>
    </row>
    <row r="17" spans="1:6">
      <c r="A17" s="55" t="s">
        <v>42</v>
      </c>
      <c r="B17" s="123">
        <f>B10*B16</f>
        <v>1615.4139696461386</v>
      </c>
      <c r="C17" s="145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2">
        <f>'N2O Pressure Calcs'!J53</f>
        <v>810.73685002846571</v>
      </c>
      <c r="C19" s="146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6">
    <mergeCell ref="A1:G1"/>
    <mergeCell ref="A2:G2"/>
    <mergeCell ref="A3:G3"/>
    <mergeCell ref="A5:B5"/>
    <mergeCell ref="E5:F5"/>
    <mergeCell ref="A4:F4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7167-0C48-364A-BC9D-17A312718497}">
  <dimension ref="A1:G31"/>
  <sheetViews>
    <sheetView zoomScale="132" zoomScaleNormal="70" workbookViewId="0">
      <selection activeCell="A8" sqref="A8"/>
    </sheetView>
  </sheetViews>
  <sheetFormatPr defaultColWidth="8.85546875" defaultRowHeight="15"/>
  <cols>
    <col min="1" max="1" width="62" bestFit="1" customWidth="1"/>
    <col min="2" max="2" width="9.42578125" customWidth="1"/>
    <col min="3" max="3" width="14.85546875" bestFit="1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214" t="s">
        <v>6</v>
      </c>
      <c r="B1" s="214"/>
      <c r="C1" s="214"/>
      <c r="D1" s="214"/>
      <c r="E1" s="214"/>
      <c r="F1" s="214"/>
      <c r="G1" s="214"/>
    </row>
    <row r="2" spans="1:7" ht="15.75">
      <c r="A2" s="215" t="s">
        <v>11</v>
      </c>
      <c r="B2" s="215"/>
      <c r="C2" s="215"/>
      <c r="D2" s="215"/>
      <c r="E2" s="215"/>
      <c r="F2" s="215"/>
      <c r="G2" s="215"/>
    </row>
    <row r="3" spans="1:7" ht="15.75" thickBot="1">
      <c r="A3" s="217" t="s">
        <v>12</v>
      </c>
      <c r="B3" s="217"/>
      <c r="C3" s="217"/>
      <c r="D3" s="217"/>
      <c r="E3" s="217"/>
      <c r="F3" s="217"/>
      <c r="G3" s="217"/>
    </row>
    <row r="4" spans="1:7" ht="24" thickBot="1">
      <c r="A4" s="240" t="s">
        <v>110</v>
      </c>
      <c r="B4" s="241"/>
      <c r="C4" s="241"/>
      <c r="D4" s="241"/>
      <c r="E4" s="241"/>
      <c r="F4" s="242"/>
    </row>
    <row r="5" spans="1:7">
      <c r="A5" s="216" t="s">
        <v>4</v>
      </c>
      <c r="B5" s="216"/>
      <c r="C5" s="142"/>
      <c r="E5" s="216" t="s">
        <v>3</v>
      </c>
      <c r="F5" s="216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0.31492853601239978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0.14613570124845895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0.31492853601239978</v>
      </c>
    </row>
    <row r="11" spans="1:7" ht="29.1" customHeight="1">
      <c r="A11" s="157" t="s">
        <v>107</v>
      </c>
      <c r="B11" s="158">
        <v>19600</v>
      </c>
      <c r="C11" s="160" t="s">
        <v>108</v>
      </c>
      <c r="E11" s="7"/>
      <c r="F11" s="6"/>
    </row>
    <row r="12" spans="1:7" ht="15.75" thickBot="1">
      <c r="A12" t="s">
        <v>81</v>
      </c>
      <c r="B12">
        <v>7</v>
      </c>
      <c r="C12" s="152"/>
      <c r="E12" s="106" t="s">
        <v>54</v>
      </c>
      <c r="F12" s="107">
        <f>(B17*B8)/((2*B11*B9)-(0.2*B17))</f>
        <v>0.15018759721861846</v>
      </c>
    </row>
    <row r="13" spans="1:7" ht="16.5" thickBot="1">
      <c r="A13" s="118" t="s">
        <v>66</v>
      </c>
      <c r="B13" s="153">
        <f>0.25-0.025</f>
        <v>0.22500000000000001</v>
      </c>
      <c r="C13" s="154">
        <f>B13/F10</f>
        <v>0.71444780091678006</v>
      </c>
      <c r="E13" s="108" t="s">
        <v>55</v>
      </c>
      <c r="F13" s="109">
        <f>F12</f>
        <v>0.15018759721861846</v>
      </c>
    </row>
    <row r="14" spans="1:7" ht="15.75" thickBot="1">
      <c r="A14" s="118" t="s">
        <v>67</v>
      </c>
      <c r="B14" s="155">
        <v>0.15</v>
      </c>
      <c r="C14" s="156">
        <f>B14/F13</f>
        <v>0.99875091404288596</v>
      </c>
      <c r="E14" s="5"/>
      <c r="F14" s="5"/>
    </row>
    <row r="15" spans="1:7">
      <c r="C15" s="40" t="s">
        <v>106</v>
      </c>
      <c r="E15" s="5"/>
      <c r="F15" s="5"/>
    </row>
    <row r="16" spans="1:7">
      <c r="A16" s="56" t="s">
        <v>41</v>
      </c>
      <c r="B16" s="121">
        <f>'N2O Pressure Calcs'!H53</f>
        <v>807.70698482306932</v>
      </c>
      <c r="C16" s="144"/>
      <c r="E16" s="5"/>
      <c r="F16" s="5"/>
    </row>
    <row r="17" spans="1:6">
      <c r="A17" s="55" t="s">
        <v>42</v>
      </c>
      <c r="B17" s="123">
        <f>B10*B16</f>
        <v>1615.4139696461386</v>
      </c>
      <c r="C17" s="145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2">
        <f>'N2O Pressure Calcs'!J53</f>
        <v>810.73685002846571</v>
      </c>
      <c r="C19" s="146"/>
      <c r="E19" s="5"/>
      <c r="F19" s="5"/>
    </row>
    <row r="20" spans="1:6">
      <c r="E20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6">
    <mergeCell ref="A1:G1"/>
    <mergeCell ref="A2:G2"/>
    <mergeCell ref="A3:G3"/>
    <mergeCell ref="A4:F4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BPV Calcs - T6</vt:lpstr>
      <vt:lpstr>BPV Calcs - T51</vt:lpstr>
      <vt:lpstr>BPV Calcs for No PWHT</vt:lpstr>
      <vt:lpstr>N2O Pressure Calcs</vt:lpstr>
      <vt:lpstr>N2O Ullage Calcs</vt:lpstr>
      <vt:lpstr>Max Mass 4 a set Diptube length</vt:lpstr>
      <vt:lpstr>RT Mounting Bolt Calcs</vt:lpstr>
      <vt:lpstr>Min Yield Strength Allow -Shell</vt:lpstr>
      <vt:lpstr>Min Yield Strength Allow - Head</vt:lpstr>
      <vt:lpstr>'Max Mass 4 a set Diptube length'!_MailAutoSig</vt:lpstr>
      <vt:lpstr>'N2O Ullage Calcs'!_MailAutoSig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2019-12-05T02:59:40Z</dcterms:modified>
</cp:coreProperties>
</file>