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7747BC8D-078C-4F11-9B61-D8E27EB6083F}" xr6:coauthVersionLast="37" xr6:coauthVersionMax="37" xr10:uidLastSave="{00000000-0000-0000-0000-000000000000}"/>
  <bookViews>
    <workbookView xWindow="0" yWindow="465" windowWidth="33600" windowHeight="20535" firstSheet="1" activeTab="1" xr2:uid="{838B0196-D158-479E-A7C6-911A07F6EFB7}"/>
  </bookViews>
  <sheets>
    <sheet name="BPV Calcs" sheetId="1" r:id="rId1"/>
    <sheet name="N2O Pressure Calcs" sheetId="2" r:id="rId2"/>
    <sheet name="N2O Ullage Calc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2" l="1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G55" i="2"/>
  <c r="M4" i="3"/>
  <c r="M5" i="3"/>
  <c r="M6" i="3"/>
  <c r="K7" i="3"/>
  <c r="L7" i="3"/>
  <c r="M7" i="3"/>
  <c r="N7" i="3"/>
  <c r="M8" i="3"/>
  <c r="M9" i="3"/>
  <c r="M10" i="3"/>
  <c r="K11" i="3"/>
  <c r="L11" i="3"/>
  <c r="M11" i="3"/>
  <c r="N11" i="3"/>
  <c r="M12" i="3"/>
  <c r="M13" i="3"/>
  <c r="M14" i="3"/>
  <c r="K15" i="3"/>
  <c r="L15" i="3"/>
  <c r="M15" i="3"/>
  <c r="N15" i="3"/>
  <c r="M16" i="3"/>
  <c r="M17" i="3"/>
  <c r="M18" i="3"/>
  <c r="K19" i="3"/>
  <c r="L19" i="3"/>
  <c r="M19" i="3"/>
  <c r="N19" i="3"/>
  <c r="M20" i="3"/>
  <c r="M21" i="3"/>
  <c r="M22" i="3"/>
  <c r="K23" i="3"/>
  <c r="L23" i="3"/>
  <c r="M23" i="3"/>
  <c r="N23" i="3"/>
  <c r="M24" i="3"/>
  <c r="M25" i="3"/>
  <c r="M26" i="3"/>
  <c r="K27" i="3"/>
  <c r="L27" i="3"/>
  <c r="M27" i="3"/>
  <c r="N27" i="3"/>
  <c r="M28" i="3"/>
  <c r="M29" i="3"/>
  <c r="M30" i="3"/>
  <c r="K31" i="3"/>
  <c r="L31" i="3"/>
  <c r="M31" i="3"/>
  <c r="N31" i="3"/>
  <c r="M32" i="3"/>
  <c r="M33" i="3"/>
  <c r="K34" i="3"/>
  <c r="L34" i="3"/>
  <c r="M34" i="3"/>
  <c r="N34" i="3"/>
  <c r="K35" i="3"/>
  <c r="L35" i="3"/>
  <c r="M35" i="3"/>
  <c r="N35" i="3"/>
  <c r="M36" i="3"/>
  <c r="M37" i="3"/>
  <c r="K38" i="3"/>
  <c r="L38" i="3"/>
  <c r="M38" i="3"/>
  <c r="N38" i="3"/>
  <c r="K39" i="3"/>
  <c r="L39" i="3"/>
  <c r="M39" i="3"/>
  <c r="N39" i="3"/>
  <c r="M40" i="3"/>
  <c r="M41" i="3"/>
  <c r="K42" i="3"/>
  <c r="L42" i="3"/>
  <c r="M42" i="3"/>
  <c r="N42" i="3"/>
  <c r="K43" i="3"/>
  <c r="L43" i="3"/>
  <c r="M43" i="3"/>
  <c r="N43" i="3"/>
  <c r="M44" i="3"/>
  <c r="M45" i="3"/>
  <c r="K46" i="3"/>
  <c r="L46" i="3"/>
  <c r="M46" i="3"/>
  <c r="N46" i="3"/>
  <c r="M47" i="3"/>
  <c r="M48" i="3"/>
  <c r="M49" i="3"/>
  <c r="K50" i="3"/>
  <c r="L50" i="3"/>
  <c r="M50" i="3"/>
  <c r="N50" i="3"/>
  <c r="K51" i="3"/>
  <c r="L51" i="3"/>
  <c r="M51" i="3"/>
  <c r="N51" i="3"/>
  <c r="M52" i="3"/>
  <c r="K54" i="3"/>
  <c r="L54" i="3"/>
  <c r="M54" i="3"/>
  <c r="M53" i="3" s="1"/>
  <c r="N54" i="3"/>
  <c r="K55" i="3"/>
  <c r="L55" i="3"/>
  <c r="M55" i="3"/>
  <c r="N55" i="3"/>
  <c r="M56" i="3"/>
  <c r="M57" i="3"/>
  <c r="K58" i="3"/>
  <c r="L58" i="3"/>
  <c r="M58" i="3"/>
  <c r="N58" i="3"/>
  <c r="K59" i="3"/>
  <c r="L59" i="3"/>
  <c r="M59" i="3"/>
  <c r="N59" i="3"/>
  <c r="M60" i="3"/>
  <c r="M61" i="3"/>
  <c r="K62" i="3"/>
  <c r="L62" i="3"/>
  <c r="M62" i="3"/>
  <c r="N62" i="3"/>
  <c r="K63" i="3"/>
  <c r="L63" i="3"/>
  <c r="M63" i="3"/>
  <c r="N63" i="3"/>
  <c r="M64" i="3"/>
  <c r="M65" i="3"/>
  <c r="K66" i="3"/>
  <c r="L66" i="3"/>
  <c r="M66" i="3"/>
  <c r="N66" i="3"/>
  <c r="K67" i="3"/>
  <c r="L67" i="3"/>
  <c r="M67" i="3"/>
  <c r="N67" i="3"/>
  <c r="M68" i="3"/>
  <c r="M69" i="3"/>
  <c r="K70" i="3"/>
  <c r="L70" i="3"/>
  <c r="M70" i="3"/>
  <c r="N70" i="3"/>
  <c r="K71" i="3"/>
  <c r="L71" i="3"/>
  <c r="M71" i="3"/>
  <c r="N71" i="3"/>
  <c r="M72" i="3"/>
  <c r="M73" i="3"/>
  <c r="K74" i="3"/>
  <c r="L74" i="3"/>
  <c r="M74" i="3"/>
  <c r="N74" i="3"/>
  <c r="K75" i="3"/>
  <c r="L75" i="3"/>
  <c r="M75" i="3"/>
  <c r="N75" i="3"/>
  <c r="M76" i="3"/>
  <c r="M77" i="3"/>
  <c r="K78" i="3"/>
  <c r="L78" i="3"/>
  <c r="M78" i="3"/>
  <c r="N78" i="3"/>
  <c r="K79" i="3"/>
  <c r="L79" i="3"/>
  <c r="M79" i="3"/>
  <c r="N79" i="3"/>
  <c r="Q2" i="3"/>
  <c r="K4" i="3" s="1"/>
  <c r="T3" i="3"/>
  <c r="Q7" i="3"/>
  <c r="G55" i="3"/>
  <c r="D53" i="3"/>
  <c r="C53" i="3"/>
  <c r="F46" i="3" s="1"/>
  <c r="B53" i="3"/>
  <c r="F50" i="3"/>
  <c r="F49" i="3"/>
  <c r="F48" i="3"/>
  <c r="G48" i="3" s="1"/>
  <c r="H48" i="3" s="1"/>
  <c r="I48" i="3" s="1"/>
  <c r="D47" i="3"/>
  <c r="C47" i="3"/>
  <c r="B47" i="3"/>
  <c r="F45" i="3"/>
  <c r="F43" i="3"/>
  <c r="F31" i="3"/>
  <c r="F18" i="3"/>
  <c r="F17" i="3"/>
  <c r="F16" i="3"/>
  <c r="F10" i="3"/>
  <c r="F9" i="3"/>
  <c r="F8" i="3"/>
  <c r="F7" i="3"/>
  <c r="G7" i="3" s="1"/>
  <c r="H7" i="3" s="1"/>
  <c r="F6" i="3"/>
  <c r="F5" i="3"/>
  <c r="G5" i="3" s="1"/>
  <c r="H5" i="3" s="1"/>
  <c r="F4" i="3"/>
  <c r="Q7" i="2"/>
  <c r="L30" i="3" l="1"/>
  <c r="N30" i="3" s="1"/>
  <c r="L26" i="3"/>
  <c r="N26" i="3" s="1"/>
  <c r="L22" i="3"/>
  <c r="N22" i="3" s="1"/>
  <c r="L18" i="3"/>
  <c r="N18" i="3" s="1"/>
  <c r="L14" i="3"/>
  <c r="N14" i="3" s="1"/>
  <c r="L10" i="3"/>
  <c r="N10" i="3" s="1"/>
  <c r="L6" i="3"/>
  <c r="N6" i="3" s="1"/>
  <c r="K30" i="3"/>
  <c r="K26" i="3"/>
  <c r="K22" i="3"/>
  <c r="K18" i="3"/>
  <c r="K14" i="3"/>
  <c r="K10" i="3"/>
  <c r="K6" i="3"/>
  <c r="F19" i="3"/>
  <c r="G19" i="3" s="1"/>
  <c r="H19" i="3" s="1"/>
  <c r="L69" i="3"/>
  <c r="N69" i="3" s="1"/>
  <c r="L61" i="3"/>
  <c r="N61" i="3" s="1"/>
  <c r="L45" i="3"/>
  <c r="N45" i="3" s="1"/>
  <c r="L41" i="3"/>
  <c r="N41" i="3" s="1"/>
  <c r="L37" i="3"/>
  <c r="N37" i="3" s="1"/>
  <c r="L33" i="3"/>
  <c r="N33" i="3" s="1"/>
  <c r="L29" i="3"/>
  <c r="N29" i="3" s="1"/>
  <c r="L25" i="3"/>
  <c r="N25" i="3" s="1"/>
  <c r="L21" i="3"/>
  <c r="N21" i="3" s="1"/>
  <c r="L17" i="3"/>
  <c r="N17" i="3" s="1"/>
  <c r="L13" i="3"/>
  <c r="N13" i="3" s="1"/>
  <c r="L9" i="3"/>
  <c r="N9" i="3" s="1"/>
  <c r="L5" i="3"/>
  <c r="N5" i="3" s="1"/>
  <c r="L73" i="3"/>
  <c r="N73" i="3" s="1"/>
  <c r="K73" i="3"/>
  <c r="K69" i="3"/>
  <c r="K61" i="3"/>
  <c r="K57" i="3"/>
  <c r="K49" i="3"/>
  <c r="K45" i="3"/>
  <c r="K41" i="3"/>
  <c r="K37" i="3"/>
  <c r="K33" i="3"/>
  <c r="K29" i="3"/>
  <c r="K25" i="3"/>
  <c r="K21" i="3"/>
  <c r="K17" i="3"/>
  <c r="K13" i="3"/>
  <c r="K9" i="3"/>
  <c r="K5" i="3"/>
  <c r="L65" i="3"/>
  <c r="N65" i="3" s="1"/>
  <c r="L49" i="3"/>
  <c r="N49" i="3" s="1"/>
  <c r="F21" i="3"/>
  <c r="G21" i="3" s="1"/>
  <c r="H21" i="3" s="1"/>
  <c r="F22" i="3"/>
  <c r="L77" i="3"/>
  <c r="N77" i="3" s="1"/>
  <c r="L57" i="3"/>
  <c r="N57" i="3" s="1"/>
  <c r="F20" i="3"/>
  <c r="G20" i="3" s="1"/>
  <c r="H20" i="3" s="1"/>
  <c r="K77" i="3"/>
  <c r="K65" i="3"/>
  <c r="F23" i="3"/>
  <c r="G23" i="3" s="1"/>
  <c r="H23" i="3" s="1"/>
  <c r="L76" i="3"/>
  <c r="N76" i="3" s="1"/>
  <c r="L72" i="3"/>
  <c r="N72" i="3" s="1"/>
  <c r="L68" i="3"/>
  <c r="N68" i="3" s="1"/>
  <c r="L64" i="3"/>
  <c r="N64" i="3" s="1"/>
  <c r="L60" i="3"/>
  <c r="N60" i="3" s="1"/>
  <c r="L56" i="3"/>
  <c r="N56" i="3" s="1"/>
  <c r="L52" i="3"/>
  <c r="L48" i="3"/>
  <c r="L44" i="3"/>
  <c r="N44" i="3" s="1"/>
  <c r="L40" i="3"/>
  <c r="N40" i="3" s="1"/>
  <c r="L36" i="3"/>
  <c r="N36" i="3" s="1"/>
  <c r="L32" i="3"/>
  <c r="N32" i="3" s="1"/>
  <c r="L28" i="3"/>
  <c r="N28" i="3" s="1"/>
  <c r="L24" i="3"/>
  <c r="N24" i="3" s="1"/>
  <c r="L20" i="3"/>
  <c r="N20" i="3" s="1"/>
  <c r="L16" i="3"/>
  <c r="N16" i="3" s="1"/>
  <c r="L12" i="3"/>
  <c r="N12" i="3" s="1"/>
  <c r="L8" i="3"/>
  <c r="N8" i="3" s="1"/>
  <c r="L4" i="3"/>
  <c r="N4" i="3" s="1"/>
  <c r="F25" i="3"/>
  <c r="G25" i="3" s="1"/>
  <c r="H25" i="3" s="1"/>
  <c r="K76" i="3"/>
  <c r="K72" i="3"/>
  <c r="K68" i="3"/>
  <c r="K64" i="3"/>
  <c r="K60" i="3"/>
  <c r="K56" i="3"/>
  <c r="K52" i="3"/>
  <c r="K53" i="3" s="1"/>
  <c r="K48" i="3"/>
  <c r="K47" i="3" s="1"/>
  <c r="K44" i="3"/>
  <c r="K40" i="3"/>
  <c r="K36" i="3"/>
  <c r="K32" i="3"/>
  <c r="K28" i="3"/>
  <c r="K24" i="3"/>
  <c r="K20" i="3"/>
  <c r="K16" i="3"/>
  <c r="K12" i="3"/>
  <c r="K8" i="3"/>
  <c r="F51" i="3"/>
  <c r="G51" i="3" s="1"/>
  <c r="H51" i="3" s="1"/>
  <c r="I51" i="3" s="1"/>
  <c r="F27" i="3"/>
  <c r="G27" i="3" s="1"/>
  <c r="H27" i="3" s="1"/>
  <c r="F33" i="3"/>
  <c r="G33" i="3" s="1"/>
  <c r="H33" i="3" s="1"/>
  <c r="F12" i="3"/>
  <c r="F35" i="3"/>
  <c r="F13" i="3"/>
  <c r="G13" i="3" s="1"/>
  <c r="H13" i="3" s="1"/>
  <c r="F37" i="3"/>
  <c r="F14" i="3"/>
  <c r="F39" i="3"/>
  <c r="G39" i="3" s="1"/>
  <c r="H39" i="3" s="1"/>
  <c r="F11" i="3"/>
  <c r="G11" i="3" s="1"/>
  <c r="H11" i="3" s="1"/>
  <c r="F15" i="3"/>
  <c r="G15" i="3" s="1"/>
  <c r="H15" i="3" s="1"/>
  <c r="F41" i="3"/>
  <c r="G41" i="3" s="1"/>
  <c r="H41" i="3" s="1"/>
  <c r="G50" i="3"/>
  <c r="H50" i="3" s="1"/>
  <c r="I50" i="3" s="1"/>
  <c r="F47" i="3"/>
  <c r="G47" i="3" s="1"/>
  <c r="H47" i="3" s="1"/>
  <c r="I47" i="3" s="1"/>
  <c r="F29" i="3"/>
  <c r="G29" i="3" s="1"/>
  <c r="H29" i="3" s="1"/>
  <c r="F52" i="3"/>
  <c r="G52" i="3" s="1"/>
  <c r="H52" i="3" s="1"/>
  <c r="I52" i="3" s="1"/>
  <c r="G46" i="3"/>
  <c r="H46" i="3" s="1"/>
  <c r="I46" i="3" s="1"/>
  <c r="G9" i="3"/>
  <c r="H9" i="3" s="1"/>
  <c r="G17" i="3"/>
  <c r="H17" i="3" s="1"/>
  <c r="G31" i="3"/>
  <c r="H31" i="3" s="1"/>
  <c r="G35" i="3"/>
  <c r="H35" i="3" s="1"/>
  <c r="G37" i="3"/>
  <c r="H37" i="3" s="1"/>
  <c r="G43" i="3"/>
  <c r="H43" i="3" s="1"/>
  <c r="G45" i="3"/>
  <c r="H45" i="3" s="1"/>
  <c r="I45" i="3" s="1"/>
  <c r="G49" i="3"/>
  <c r="H49" i="3" s="1"/>
  <c r="I49" i="3" s="1"/>
  <c r="F53" i="3"/>
  <c r="G53" i="3" s="1"/>
  <c r="H53" i="3" s="1"/>
  <c r="I53" i="3" s="1"/>
  <c r="G4" i="3"/>
  <c r="F24" i="3"/>
  <c r="G24" i="3" s="1"/>
  <c r="H24" i="3" s="1"/>
  <c r="F26" i="3"/>
  <c r="G26" i="3" s="1"/>
  <c r="H26" i="3" s="1"/>
  <c r="F28" i="3"/>
  <c r="G28" i="3" s="1"/>
  <c r="H28" i="3" s="1"/>
  <c r="F30" i="3"/>
  <c r="G30" i="3" s="1"/>
  <c r="H30" i="3" s="1"/>
  <c r="F32" i="3"/>
  <c r="G32" i="3" s="1"/>
  <c r="H32" i="3" s="1"/>
  <c r="F34" i="3"/>
  <c r="G34" i="3" s="1"/>
  <c r="H34" i="3" s="1"/>
  <c r="F36" i="3"/>
  <c r="G36" i="3" s="1"/>
  <c r="H36" i="3" s="1"/>
  <c r="F38" i="3"/>
  <c r="G38" i="3" s="1"/>
  <c r="H38" i="3" s="1"/>
  <c r="F40" i="3"/>
  <c r="G40" i="3" s="1"/>
  <c r="H40" i="3" s="1"/>
  <c r="F42" i="3"/>
  <c r="G42" i="3" s="1"/>
  <c r="H42" i="3" s="1"/>
  <c r="F44" i="3"/>
  <c r="G44" i="3" s="1"/>
  <c r="H44" i="3" s="1"/>
  <c r="G6" i="3"/>
  <c r="H6" i="3" s="1"/>
  <c r="G8" i="3"/>
  <c r="H8" i="3" s="1"/>
  <c r="G10" i="3"/>
  <c r="H10" i="3" s="1"/>
  <c r="G12" i="3"/>
  <c r="H12" i="3" s="1"/>
  <c r="G14" i="3"/>
  <c r="H14" i="3" s="1"/>
  <c r="G16" i="3"/>
  <c r="H16" i="3" s="1"/>
  <c r="G18" i="3"/>
  <c r="H18" i="3" s="1"/>
  <c r="G22" i="3"/>
  <c r="H22" i="3" s="1"/>
  <c r="D47" i="2"/>
  <c r="C47" i="2"/>
  <c r="B47" i="2"/>
  <c r="T3" i="2"/>
  <c r="Q2" i="2" s="1"/>
  <c r="C53" i="2"/>
  <c r="D53" i="2"/>
  <c r="B53" i="2"/>
  <c r="F4" i="2" l="1"/>
  <c r="G4" i="2" s="1"/>
  <c r="F8" i="2"/>
  <c r="G8" i="2" s="1"/>
  <c r="H8" i="2" s="1"/>
  <c r="F12" i="2"/>
  <c r="G12" i="2" s="1"/>
  <c r="H12" i="2" s="1"/>
  <c r="F16" i="2"/>
  <c r="G16" i="2" s="1"/>
  <c r="H16" i="2" s="1"/>
  <c r="F20" i="2"/>
  <c r="G20" i="2" s="1"/>
  <c r="H20" i="2" s="1"/>
  <c r="F24" i="2"/>
  <c r="G24" i="2" s="1"/>
  <c r="H24" i="2" s="1"/>
  <c r="F28" i="2"/>
  <c r="G28" i="2" s="1"/>
  <c r="H28" i="2" s="1"/>
  <c r="F32" i="2"/>
  <c r="G32" i="2" s="1"/>
  <c r="H32" i="2" s="1"/>
  <c r="F36" i="2"/>
  <c r="G36" i="2" s="1"/>
  <c r="H36" i="2" s="1"/>
  <c r="F40" i="2"/>
  <c r="G40" i="2" s="1"/>
  <c r="H40" i="2" s="1"/>
  <c r="F44" i="2"/>
  <c r="G44" i="2" s="1"/>
  <c r="H44" i="2" s="1"/>
  <c r="F48" i="2"/>
  <c r="G48" i="2" s="1"/>
  <c r="H48" i="2" s="1"/>
  <c r="F52" i="2"/>
  <c r="G52" i="2" s="1"/>
  <c r="H52" i="2" s="1"/>
  <c r="F47" i="2"/>
  <c r="G47" i="2" s="1"/>
  <c r="H47" i="2" s="1"/>
  <c r="F46" i="2"/>
  <c r="G46" i="2" s="1"/>
  <c r="H46" i="2" s="1"/>
  <c r="F5" i="2"/>
  <c r="G5" i="2" s="1"/>
  <c r="H5" i="2" s="1"/>
  <c r="F9" i="2"/>
  <c r="G9" i="2" s="1"/>
  <c r="H9" i="2" s="1"/>
  <c r="F13" i="2"/>
  <c r="G13" i="2" s="1"/>
  <c r="H13" i="2" s="1"/>
  <c r="F17" i="2"/>
  <c r="G17" i="2" s="1"/>
  <c r="H17" i="2" s="1"/>
  <c r="F21" i="2"/>
  <c r="G21" i="2" s="1"/>
  <c r="H21" i="2" s="1"/>
  <c r="F25" i="2"/>
  <c r="G25" i="2" s="1"/>
  <c r="H25" i="2" s="1"/>
  <c r="F29" i="2"/>
  <c r="G29" i="2" s="1"/>
  <c r="H29" i="2" s="1"/>
  <c r="F33" i="2"/>
  <c r="G33" i="2" s="1"/>
  <c r="H33" i="2" s="1"/>
  <c r="F37" i="2"/>
  <c r="G37" i="2" s="1"/>
  <c r="H37" i="2" s="1"/>
  <c r="F41" i="2"/>
  <c r="G41" i="2" s="1"/>
  <c r="H41" i="2" s="1"/>
  <c r="F45" i="2"/>
  <c r="G45" i="2" s="1"/>
  <c r="H45" i="2" s="1"/>
  <c r="F49" i="2"/>
  <c r="G49" i="2" s="1"/>
  <c r="H49" i="2" s="1"/>
  <c r="F53" i="2"/>
  <c r="G53" i="2" s="1"/>
  <c r="H53" i="2" s="1"/>
  <c r="F51" i="2"/>
  <c r="G51" i="2" s="1"/>
  <c r="H51" i="2" s="1"/>
  <c r="F35" i="2"/>
  <c r="G35" i="2" s="1"/>
  <c r="H35" i="2" s="1"/>
  <c r="F6" i="2"/>
  <c r="G6" i="2" s="1"/>
  <c r="H6" i="2" s="1"/>
  <c r="F10" i="2"/>
  <c r="G10" i="2" s="1"/>
  <c r="H10" i="2" s="1"/>
  <c r="F14" i="2"/>
  <c r="G14" i="2" s="1"/>
  <c r="H14" i="2" s="1"/>
  <c r="F18" i="2"/>
  <c r="G18" i="2" s="1"/>
  <c r="H18" i="2" s="1"/>
  <c r="F22" i="2"/>
  <c r="G22" i="2" s="1"/>
  <c r="H22" i="2" s="1"/>
  <c r="F26" i="2"/>
  <c r="G26" i="2" s="1"/>
  <c r="H26" i="2" s="1"/>
  <c r="F30" i="2"/>
  <c r="G30" i="2" s="1"/>
  <c r="H30" i="2" s="1"/>
  <c r="F34" i="2"/>
  <c r="G34" i="2" s="1"/>
  <c r="H34" i="2" s="1"/>
  <c r="F38" i="2"/>
  <c r="G38" i="2" s="1"/>
  <c r="H38" i="2" s="1"/>
  <c r="F42" i="2"/>
  <c r="G42" i="2" s="1"/>
  <c r="H42" i="2" s="1"/>
  <c r="F50" i="2"/>
  <c r="G50" i="2" s="1"/>
  <c r="H50" i="2" s="1"/>
  <c r="F31" i="2"/>
  <c r="G31" i="2" s="1"/>
  <c r="H31" i="2" s="1"/>
  <c r="F39" i="2"/>
  <c r="G39" i="2" s="1"/>
  <c r="H39" i="2" s="1"/>
  <c r="F7" i="2"/>
  <c r="G7" i="2" s="1"/>
  <c r="H7" i="2" s="1"/>
  <c r="F11" i="2"/>
  <c r="G11" i="2" s="1"/>
  <c r="H11" i="2" s="1"/>
  <c r="F15" i="2"/>
  <c r="G15" i="2" s="1"/>
  <c r="H15" i="2" s="1"/>
  <c r="F19" i="2"/>
  <c r="G19" i="2" s="1"/>
  <c r="H19" i="2" s="1"/>
  <c r="F23" i="2"/>
  <c r="G23" i="2" s="1"/>
  <c r="H23" i="2" s="1"/>
  <c r="F27" i="2"/>
  <c r="G27" i="2" s="1"/>
  <c r="H27" i="2" s="1"/>
  <c r="F43" i="2"/>
  <c r="G43" i="2" s="1"/>
  <c r="H43" i="2" s="1"/>
  <c r="N52" i="3"/>
  <c r="N53" i="3" s="1"/>
  <c r="L53" i="3"/>
  <c r="N48" i="3"/>
  <c r="N47" i="3" s="1"/>
  <c r="L47" i="3"/>
  <c r="H4" i="3"/>
  <c r="G56" i="3"/>
  <c r="G57" i="3" s="1"/>
  <c r="G58" i="3" s="1"/>
  <c r="I27" i="3" s="1"/>
  <c r="M33" i="2"/>
  <c r="M34" i="2"/>
  <c r="M35" i="2"/>
  <c r="M46" i="2"/>
  <c r="M61" i="2"/>
  <c r="M64" i="2"/>
  <c r="M68" i="2"/>
  <c r="M69" i="2"/>
  <c r="M71" i="2"/>
  <c r="K58" i="2"/>
  <c r="L15" i="2"/>
  <c r="L23" i="2"/>
  <c r="L26" i="2"/>
  <c r="M79" i="2"/>
  <c r="M78" i="2"/>
  <c r="K77" i="2"/>
  <c r="K76" i="2"/>
  <c r="K75" i="2"/>
  <c r="K74" i="2"/>
  <c r="K73" i="2"/>
  <c r="K72" i="2"/>
  <c r="K71" i="2"/>
  <c r="K70" i="2"/>
  <c r="K69" i="2"/>
  <c r="M67" i="2"/>
  <c r="M66" i="2"/>
  <c r="K65" i="2"/>
  <c r="K64" i="2"/>
  <c r="K63" i="2"/>
  <c r="K62" i="2"/>
  <c r="K61" i="2"/>
  <c r="K60" i="2"/>
  <c r="M59" i="2"/>
  <c r="M58" i="2"/>
  <c r="M57" i="2"/>
  <c r="M56" i="2"/>
  <c r="M55" i="2"/>
  <c r="M54" i="2"/>
  <c r="K52" i="2"/>
  <c r="K51" i="2"/>
  <c r="K50" i="2"/>
  <c r="K49" i="2"/>
  <c r="K48" i="2"/>
  <c r="K46" i="2"/>
  <c r="K47" i="2" s="1"/>
  <c r="M45" i="2"/>
  <c r="K44" i="2"/>
  <c r="K43" i="2"/>
  <c r="M42" i="2"/>
  <c r="M41" i="2"/>
  <c r="M40" i="2"/>
  <c r="K39" i="2"/>
  <c r="K38" i="2"/>
  <c r="K37" i="2"/>
  <c r="K36" i="2"/>
  <c r="K35" i="2"/>
  <c r="K34" i="2"/>
  <c r="K33" i="2"/>
  <c r="K32" i="2"/>
  <c r="K31" i="2"/>
  <c r="K30" i="2"/>
  <c r="M29" i="2"/>
  <c r="M28" i="2"/>
  <c r="K27" i="2"/>
  <c r="K26" i="2"/>
  <c r="K25" i="2"/>
  <c r="K24" i="2"/>
  <c r="K23" i="2"/>
  <c r="K22" i="2"/>
  <c r="K21" i="2"/>
  <c r="K20" i="2"/>
  <c r="K19" i="2"/>
  <c r="M18" i="2"/>
  <c r="M17" i="2"/>
  <c r="M16" i="2"/>
  <c r="K15" i="2"/>
  <c r="K14" i="2"/>
  <c r="K13" i="2"/>
  <c r="K12" i="2"/>
  <c r="K11" i="2"/>
  <c r="K10" i="2"/>
  <c r="M9" i="2"/>
  <c r="M8" i="2"/>
  <c r="K7" i="2"/>
  <c r="K6" i="2"/>
  <c r="K5" i="2"/>
  <c r="K4" i="2"/>
  <c r="L63" i="2"/>
  <c r="L50" i="2"/>
  <c r="H4" i="2" l="1"/>
  <c r="G56" i="2"/>
  <c r="G57" i="2" s="1"/>
  <c r="G58" i="2" s="1"/>
  <c r="I34" i="3"/>
  <c r="I28" i="3"/>
  <c r="I15" i="3"/>
  <c r="I30" i="3"/>
  <c r="I22" i="3"/>
  <c r="I26" i="3"/>
  <c r="I17" i="3"/>
  <c r="I37" i="3"/>
  <c r="I19" i="3"/>
  <c r="I6" i="3"/>
  <c r="I25" i="3"/>
  <c r="I31" i="3"/>
  <c r="I29" i="3"/>
  <c r="I14" i="3"/>
  <c r="I23" i="3"/>
  <c r="I12" i="3"/>
  <c r="I24" i="3"/>
  <c r="I5" i="3"/>
  <c r="I7" i="3"/>
  <c r="I35" i="3"/>
  <c r="I36" i="3"/>
  <c r="I38" i="3"/>
  <c r="I39" i="3"/>
  <c r="I21" i="3"/>
  <c r="I10" i="3"/>
  <c r="I11" i="3"/>
  <c r="I42" i="3"/>
  <c r="I33" i="3"/>
  <c r="I4" i="3"/>
  <c r="I18" i="3"/>
  <c r="I16" i="3"/>
  <c r="I43" i="3"/>
  <c r="I40" i="3"/>
  <c r="I32" i="3"/>
  <c r="I9" i="3"/>
  <c r="I41" i="3"/>
  <c r="I8" i="3"/>
  <c r="I20" i="3"/>
  <c r="I13" i="3"/>
  <c r="I44" i="3"/>
  <c r="M32" i="2"/>
  <c r="K55" i="2"/>
  <c r="K54" i="2"/>
  <c r="K53" i="2" s="1"/>
  <c r="M23" i="2"/>
  <c r="N23" i="2" s="1"/>
  <c r="L77" i="2"/>
  <c r="K45" i="2"/>
  <c r="M22" i="2"/>
  <c r="L76" i="2"/>
  <c r="K9" i="2"/>
  <c r="M21" i="2"/>
  <c r="L60" i="2"/>
  <c r="K8" i="2"/>
  <c r="M48" i="2"/>
  <c r="M47" i="2" s="1"/>
  <c r="M19" i="2"/>
  <c r="L55" i="2"/>
  <c r="N55" i="2" s="1"/>
  <c r="L52" i="2"/>
  <c r="M73" i="2"/>
  <c r="M11" i="2"/>
  <c r="L27" i="2"/>
  <c r="M72" i="2"/>
  <c r="M44" i="2"/>
  <c r="M10" i="2"/>
  <c r="K59" i="2"/>
  <c r="L79" i="2"/>
  <c r="N79" i="2" s="1"/>
  <c r="L51" i="2"/>
  <c r="L12" i="2"/>
  <c r="M43" i="2"/>
  <c r="M31" i="2"/>
  <c r="M7" i="2"/>
  <c r="L49" i="2"/>
  <c r="M30" i="2"/>
  <c r="M6" i="2"/>
  <c r="M60" i="2"/>
  <c r="L73" i="2"/>
  <c r="L48" i="2"/>
  <c r="M5" i="2"/>
  <c r="M20" i="2"/>
  <c r="L39" i="2"/>
  <c r="L72" i="2"/>
  <c r="M4" i="2"/>
  <c r="L65" i="2"/>
  <c r="L38" i="2"/>
  <c r="N38" i="2" s="1"/>
  <c r="M77" i="2"/>
  <c r="M65" i="2"/>
  <c r="M52" i="2"/>
  <c r="M53" i="2" s="1"/>
  <c r="M39" i="2"/>
  <c r="M27" i="2"/>
  <c r="M15" i="2"/>
  <c r="N15" i="2" s="1"/>
  <c r="M70" i="2"/>
  <c r="L37" i="2"/>
  <c r="M76" i="2"/>
  <c r="M51" i="2"/>
  <c r="M38" i="2"/>
  <c r="M26" i="2"/>
  <c r="N26" i="2" s="1"/>
  <c r="M14" i="2"/>
  <c r="L62" i="2"/>
  <c r="L30" i="2"/>
  <c r="M75" i="2"/>
  <c r="M63" i="2"/>
  <c r="N63" i="2" s="1"/>
  <c r="M50" i="2"/>
  <c r="N50" i="2" s="1"/>
  <c r="M37" i="2"/>
  <c r="M25" i="2"/>
  <c r="M13" i="2"/>
  <c r="L78" i="2"/>
  <c r="N78" i="2" s="1"/>
  <c r="L61" i="2"/>
  <c r="N61" i="2" s="1"/>
  <c r="L29" i="2"/>
  <c r="N29" i="2" s="1"/>
  <c r="M74" i="2"/>
  <c r="M62" i="2"/>
  <c r="M49" i="2"/>
  <c r="M36" i="2"/>
  <c r="M24" i="2"/>
  <c r="M12" i="2"/>
  <c r="L75" i="2"/>
  <c r="L74" i="2"/>
  <c r="L36" i="2"/>
  <c r="K68" i="2"/>
  <c r="K56" i="2"/>
  <c r="K42" i="2"/>
  <c r="K18" i="2"/>
  <c r="L25" i="2"/>
  <c r="L35" i="2"/>
  <c r="N35" i="2" s="1"/>
  <c r="L11" i="2"/>
  <c r="K79" i="2"/>
  <c r="K67" i="2"/>
  <c r="K41" i="2"/>
  <c r="K29" i="2"/>
  <c r="K17" i="2"/>
  <c r="L46" i="2"/>
  <c r="L34" i="2"/>
  <c r="N34" i="2" s="1"/>
  <c r="L22" i="2"/>
  <c r="L10" i="2"/>
  <c r="K78" i="2"/>
  <c r="K66" i="2"/>
  <c r="K40" i="2"/>
  <c r="K28" i="2"/>
  <c r="K16" i="2"/>
  <c r="L64" i="2"/>
  <c r="N64" i="2" s="1"/>
  <c r="L13" i="2"/>
  <c r="L24" i="2"/>
  <c r="L71" i="2"/>
  <c r="N71" i="2" s="1"/>
  <c r="L59" i="2"/>
  <c r="N59" i="2" s="1"/>
  <c r="L45" i="2"/>
  <c r="N45" i="2" s="1"/>
  <c r="L33" i="2"/>
  <c r="N33" i="2" s="1"/>
  <c r="L21" i="2"/>
  <c r="K57" i="2"/>
  <c r="L9" i="2"/>
  <c r="N9" i="2" s="1"/>
  <c r="L70" i="2"/>
  <c r="L58" i="2"/>
  <c r="N58" i="2" s="1"/>
  <c r="L44" i="2"/>
  <c r="L32" i="2"/>
  <c r="L20" i="2"/>
  <c r="L8" i="2"/>
  <c r="N8" i="2" s="1"/>
  <c r="L69" i="2"/>
  <c r="N69" i="2" s="1"/>
  <c r="L57" i="2"/>
  <c r="N57" i="2" s="1"/>
  <c r="L43" i="2"/>
  <c r="L31" i="2"/>
  <c r="L19" i="2"/>
  <c r="L7" i="2"/>
  <c r="L68" i="2"/>
  <c r="N68" i="2" s="1"/>
  <c r="L56" i="2"/>
  <c r="N56" i="2" s="1"/>
  <c r="L42" i="2"/>
  <c r="N42" i="2" s="1"/>
  <c r="L18" i="2"/>
  <c r="N18" i="2" s="1"/>
  <c r="L6" i="2"/>
  <c r="L67" i="2"/>
  <c r="N67" i="2" s="1"/>
  <c r="L41" i="2"/>
  <c r="N41" i="2" s="1"/>
  <c r="L17" i="2"/>
  <c r="N17" i="2" s="1"/>
  <c r="L5" i="2"/>
  <c r="L14" i="2"/>
  <c r="L66" i="2"/>
  <c r="N66" i="2" s="1"/>
  <c r="L54" i="2"/>
  <c r="N54" i="2" s="1"/>
  <c r="L40" i="2"/>
  <c r="N40" i="2" s="1"/>
  <c r="L28" i="2"/>
  <c r="N28" i="2" s="1"/>
  <c r="L16" i="2"/>
  <c r="N16" i="2" s="1"/>
  <c r="L4" i="2"/>
  <c r="I4" i="2" l="1"/>
  <c r="N48" i="2"/>
  <c r="N19" i="2"/>
  <c r="N46" i="2"/>
  <c r="N47" i="2" s="1"/>
  <c r="L47" i="2"/>
  <c r="N14" i="2"/>
  <c r="L53" i="2"/>
  <c r="B16" i="1" s="1"/>
  <c r="B17" i="1" s="1"/>
  <c r="N27" i="2"/>
  <c r="N65" i="2"/>
  <c r="N77" i="2"/>
  <c r="N52" i="2"/>
  <c r="N53" i="2" s="1"/>
  <c r="B19" i="1" s="1"/>
  <c r="N6" i="2"/>
  <c r="N20" i="2"/>
  <c r="N76" i="2"/>
  <c r="N22" i="2"/>
  <c r="N32" i="2"/>
  <c r="N39" i="2"/>
  <c r="N72" i="2"/>
  <c r="N4" i="2"/>
  <c r="N13" i="2"/>
  <c r="N73" i="2"/>
  <c r="N11" i="2"/>
  <c r="N60" i="2"/>
  <c r="N7" i="2"/>
  <c r="N31" i="2"/>
  <c r="N62" i="2"/>
  <c r="N44" i="2"/>
  <c r="N21" i="2"/>
  <c r="N5" i="2"/>
  <c r="N43" i="2"/>
  <c r="N10" i="2"/>
  <c r="N37" i="2"/>
  <c r="N30" i="2"/>
  <c r="N74" i="2"/>
  <c r="N12" i="2"/>
  <c r="N51" i="2"/>
  <c r="N25" i="2"/>
  <c r="N24" i="2"/>
  <c r="N49" i="2"/>
  <c r="N70" i="2"/>
  <c r="N36" i="2"/>
  <c r="N75" i="2"/>
  <c r="E6" i="1"/>
  <c r="E9" i="1" l="1"/>
  <c r="E8" i="1"/>
  <c r="E10" i="1" s="1"/>
</calcChain>
</file>

<file path=xl/sharedStrings.xml><?xml version="1.0" encoding="utf-8"?>
<sst xmlns="http://schemas.openxmlformats.org/spreadsheetml/2006/main" count="96" uniqueCount="52">
  <si>
    <t>Inner Radius (in)</t>
  </si>
  <si>
    <t>Outer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</si>
  <si>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</si>
  <si>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</si>
  <si>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</si>
  <si>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</si>
  <si>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</si>
  <si>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</si>
  <si>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</si>
  <si>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</si>
  <si>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</si>
  <si>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</si>
  <si>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</si>
  <si>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</si>
  <si>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</si>
  <si>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</si>
  <si>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</si>
  <si>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</si>
  <si>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</si>
  <si>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</si>
  <si>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</si>
  <si>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</si>
  <si>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</si>
  <si>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</si>
  <si>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</si>
  <si>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</si>
  <si>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</si>
  <si>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</si>
  <si>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</si>
  <si>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</si>
  <si>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</si>
  <si>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</si>
  <si>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</si>
  <si>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</si>
  <si>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</si>
  <si>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</si>
  <si>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Volumetric Ullage % req to not vent  as temp rises to 75F (with only liq at 75F)</t>
  </si>
  <si>
    <t>Height from top required</t>
  </si>
  <si>
    <t>(in)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</si>
  <si>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</si>
  <si>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</si>
  <si>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</si>
  <si>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</si>
  <si>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</si>
  <si>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</si>
  <si>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Makes sense because mass continuity, with Ullage taking into account density variations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</si>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</sst>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9" formatCode="0.0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0" fillId="0" borderId="10" xfId="0" applyBorder="1"/>
    <xf numFmtId="0" fontId="1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11" fillId="0" borderId="12" xfId="0" applyFont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 wrapText="1"/>
    </xf>
    <xf numFmtId="166" fontId="9" fillId="0" borderId="3" xfId="0" applyNumberFormat="1" applyFont="1" applyBorder="1" applyAlignment="1">
      <alignment horizontal="center" vertical="center" wrapText="1"/>
    </xf>
    <xf numFmtId="166" fontId="13" fillId="0" borderId="11" xfId="0" applyNumberFormat="1" applyFont="1" applyBorder="1" applyAlignment="1">
      <alignment horizontal="center" vertical="center" wrapText="1"/>
    </xf>
    <xf numFmtId="166" fontId="9" fillId="0" borderId="4" xfId="0" applyNumberFormat="1" applyFont="1" applyBorder="1" applyAlignment="1">
      <alignment horizontal="center" vertical="center" wrapText="1"/>
    </xf>
    <xf numFmtId="166" fontId="9" fillId="0" borderId="5" xfId="0" applyNumberFormat="1" applyFont="1" applyBorder="1" applyAlignment="1">
      <alignment horizontal="center" vertical="center" wrapText="1"/>
    </xf>
    <xf numFmtId="166" fontId="9" fillId="0" borderId="6" xfId="0" applyNumberFormat="1" applyFont="1" applyBorder="1" applyAlignment="1">
      <alignment horizontal="center" vertical="center" wrapText="1"/>
    </xf>
    <xf numFmtId="166" fontId="9" fillId="0" borderId="9" xfId="0" applyNumberFormat="1" applyFont="1" applyBorder="1" applyAlignment="1">
      <alignment horizontal="center" vertical="center" wrapText="1"/>
    </xf>
    <xf numFmtId="166" fontId="9" fillId="0" borderId="10" xfId="0" applyNumberFormat="1" applyFont="1" applyBorder="1" applyAlignment="1">
      <alignment horizontal="center" vertical="center" wrapText="1"/>
    </xf>
    <xf numFmtId="169" fontId="9" fillId="0" borderId="0" xfId="0" applyNumberFormat="1" applyFont="1" applyBorder="1" applyAlignment="1">
      <alignment horizontal="center"/>
    </xf>
    <xf numFmtId="166" fontId="13" fillId="0" borderId="0" xfId="0" applyNumberFormat="1" applyFont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6" fontId="7" fillId="0" borderId="5" xfId="0" applyNumberFormat="1" applyFont="1" applyBorder="1" applyAlignment="1">
      <alignment horizontal="center"/>
    </xf>
    <xf numFmtId="169" fontId="7" fillId="0" borderId="0" xfId="0" applyNumberFormat="1" applyFont="1" applyBorder="1" applyAlignment="1">
      <alignment horizontal="center"/>
    </xf>
    <xf numFmtId="166" fontId="7" fillId="0" borderId="9" xfId="0" applyNumberFormat="1" applyFont="1" applyBorder="1" applyAlignment="1">
      <alignment horizontal="center"/>
    </xf>
    <xf numFmtId="169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Calcs'!$K$4:$K$79</c:f>
              <c:numCache>
                <c:formatCode>General</c:formatCode>
                <c:ptCount val="76"/>
                <c:pt idx="0">
                  <c:v>213.64468102508368</c:v>
                </c:pt>
                <c:pt idx="1">
                  <c:v>213.04383435979696</c:v>
                </c:pt>
                <c:pt idx="2">
                  <c:v>212.438512552746</c:v>
                </c:pt>
                <c:pt idx="3">
                  <c:v>211.82918667148499</c:v>
                </c:pt>
                <c:pt idx="4">
                  <c:v>211.21562118223687</c:v>
                </c:pt>
                <c:pt idx="5">
                  <c:v>210.59758055122458</c:v>
                </c:pt>
                <c:pt idx="6">
                  <c:v>209.97482924467101</c:v>
                </c:pt>
                <c:pt idx="7">
                  <c:v>209.34783833013029</c:v>
                </c:pt>
                <c:pt idx="8">
                  <c:v>208.7156656724942</c:v>
                </c:pt>
                <c:pt idx="9">
                  <c:v>208.07901787309396</c:v>
                </c:pt>
                <c:pt idx="10">
                  <c:v>207.4371883305983</c:v>
                </c:pt>
                <c:pt idx="11">
                  <c:v>206.79041257878436</c:v>
                </c:pt>
                <c:pt idx="12">
                  <c:v>206.13821955009797</c:v>
                </c:pt>
                <c:pt idx="13">
                  <c:v>205.48060924453912</c:v>
                </c:pt>
                <c:pt idx="14">
                  <c:v>204.81758166210787</c:v>
                </c:pt>
                <c:pt idx="15">
                  <c:v>204.14890126902705</c:v>
                </c:pt>
                <c:pt idx="16">
                  <c:v>203.47433253151968</c:v>
                </c:pt>
                <c:pt idx="17">
                  <c:v>202.79387544958578</c:v>
                </c:pt>
                <c:pt idx="18">
                  <c:v>202.10705895567119</c:v>
                </c:pt>
                <c:pt idx="19">
                  <c:v>201.4138830497759</c:v>
                </c:pt>
                <c:pt idx="20">
                  <c:v>200.71411219812285</c:v>
                </c:pt>
                <c:pt idx="21">
                  <c:v>200.00774640071208</c:v>
                </c:pt>
                <c:pt idx="22">
                  <c:v>199.2943145899894</c:v>
                </c:pt>
                <c:pt idx="23">
                  <c:v>198.57358123217773</c:v>
                </c:pt>
                <c:pt idx="24">
                  <c:v>197.84554632727719</c:v>
                </c:pt>
                <c:pt idx="25">
                  <c:v>197.10950327395648</c:v>
                </c:pt>
                <c:pt idx="26">
                  <c:v>196.36568760599275</c:v>
                </c:pt>
                <c:pt idx="27">
                  <c:v>195.61362825583177</c:v>
                </c:pt>
                <c:pt idx="28">
                  <c:v>194.85308968969659</c:v>
                </c:pt>
                <c:pt idx="29">
                  <c:v>194.08360084003297</c:v>
                </c:pt>
                <c:pt idx="30">
                  <c:v>193.30492617306399</c:v>
                </c:pt>
                <c:pt idx="31">
                  <c:v>192.51659462123538</c:v>
                </c:pt>
                <c:pt idx="32">
                  <c:v>191.71837065077017</c:v>
                </c:pt>
                <c:pt idx="33">
                  <c:v>190.9097831941142</c:v>
                </c:pt>
                <c:pt idx="34">
                  <c:v>190.0903611837133</c:v>
                </c:pt>
                <c:pt idx="35">
                  <c:v>189.25963355201344</c:v>
                </c:pt>
                <c:pt idx="36">
                  <c:v>188.41736476523749</c:v>
                </c:pt>
                <c:pt idx="37">
                  <c:v>187.56261268827728</c:v>
                </c:pt>
                <c:pt idx="38">
                  <c:v>186.69490625357855</c:v>
                </c:pt>
                <c:pt idx="39">
                  <c:v>185.81377439358727</c:v>
                </c:pt>
                <c:pt idx="40">
                  <c:v>184.91851050697227</c:v>
                </c:pt>
                <c:pt idx="41">
                  <c:v>184.00817245862527</c:v>
                </c:pt>
                <c:pt idx="42">
                  <c:v>183.08228918099206</c:v>
                </c:pt>
                <c:pt idx="43" formatCode="0.0000">
                  <c:v>182.87287348276371</c:v>
                </c:pt>
                <c:pt idx="44">
                  <c:v>182.13991853896454</c:v>
                </c:pt>
                <c:pt idx="45">
                  <c:v>181.17988286365727</c:v>
                </c:pt>
                <c:pt idx="46">
                  <c:v>180.20124001996211</c:v>
                </c:pt>
                <c:pt idx="47">
                  <c:v>179.2030478727707</c:v>
                </c:pt>
                <c:pt idx="48">
                  <c:v>178.18389321942075</c:v>
                </c:pt>
                <c:pt idx="49" formatCode="0.0000">
                  <c:v>177.3738140488434</c:v>
                </c:pt>
                <c:pt idx="50">
                  <c:v>177.14236285724985</c:v>
                </c:pt>
                <c:pt idx="51">
                  <c:v>176.07680804981857</c:v>
                </c:pt>
                <c:pt idx="52">
                  <c:v>174.98581559446447</c:v>
                </c:pt>
                <c:pt idx="53">
                  <c:v>173.86726568719408</c:v>
                </c:pt>
                <c:pt idx="54">
                  <c:v>172.71903852401377</c:v>
                </c:pt>
                <c:pt idx="55">
                  <c:v>171.53854323337595</c:v>
                </c:pt>
                <c:pt idx="56">
                  <c:v>170.32318894373279</c:v>
                </c:pt>
                <c:pt idx="57">
                  <c:v>169.06944264842846</c:v>
                </c:pt>
                <c:pt idx="58">
                  <c:v>167.77400687458405</c:v>
                </c:pt>
                <c:pt idx="59">
                  <c:v>166.43217094665832</c:v>
                </c:pt>
                <c:pt idx="60">
                  <c:v>165.03875312155583</c:v>
                </c:pt>
                <c:pt idx="61">
                  <c:v>163.58786505485011</c:v>
                </c:pt>
                <c:pt idx="62">
                  <c:v>162.07220519945213</c:v>
                </c:pt>
                <c:pt idx="63">
                  <c:v>160.48258773805651</c:v>
                </c:pt>
                <c:pt idx="64">
                  <c:v>158.80817811691833</c:v>
                </c:pt>
                <c:pt idx="65">
                  <c:v>157.0346087756368</c:v>
                </c:pt>
                <c:pt idx="66">
                  <c:v>155.14374361337809</c:v>
                </c:pt>
                <c:pt idx="67">
                  <c:v>153.11179371865882</c:v>
                </c:pt>
                <c:pt idx="68">
                  <c:v>150.90507776135911</c:v>
                </c:pt>
                <c:pt idx="69">
                  <c:v>148.47625345228937</c:v>
                </c:pt>
                <c:pt idx="70">
                  <c:v>145.7532474556684</c:v>
                </c:pt>
                <c:pt idx="71">
                  <c:v>142.61782181541079</c:v>
                </c:pt>
                <c:pt idx="72">
                  <c:v>138.85304992284185</c:v>
                </c:pt>
                <c:pt idx="73">
                  <c:v>133.97867840653092</c:v>
                </c:pt>
                <c:pt idx="74">
                  <c:v>126.43076298678214</c:v>
                </c:pt>
                <c:pt idx="75">
                  <c:v>106.46385810385254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Calcs'!$L$4:$L$79</c:f>
              <c:numCache>
                <c:formatCode>General</c:formatCode>
                <c:ptCount val="76"/>
                <c:pt idx="0">
                  <c:v>666.46492006508367</c:v>
                </c:pt>
                <c:pt idx="1">
                  <c:v>671.69750175979698</c:v>
                </c:pt>
                <c:pt idx="2">
                  <c:v>676.98217313274597</c:v>
                </c:pt>
                <c:pt idx="3">
                  <c:v>682.31650449148492</c:v>
                </c:pt>
                <c:pt idx="4">
                  <c:v>687.70171068223681</c:v>
                </c:pt>
                <c:pt idx="5">
                  <c:v>693.13900655122461</c:v>
                </c:pt>
                <c:pt idx="6">
                  <c:v>698.62670618467098</c:v>
                </c:pt>
                <c:pt idx="7">
                  <c:v>704.16818141013027</c:v>
                </c:pt>
                <c:pt idx="8">
                  <c:v>709.76103971249427</c:v>
                </c:pt>
                <c:pt idx="9">
                  <c:v>715.40598769309395</c:v>
                </c:pt>
                <c:pt idx="10">
                  <c:v>721.10521951059832</c:v>
                </c:pt>
                <c:pt idx="11">
                  <c:v>726.85606993878423</c:v>
                </c:pt>
                <c:pt idx="12">
                  <c:v>732.65951829009805</c:v>
                </c:pt>
                <c:pt idx="13">
                  <c:v>738.51701494453914</c:v>
                </c:pt>
                <c:pt idx="14">
                  <c:v>744.42855990210785</c:v>
                </c:pt>
                <c:pt idx="15">
                  <c:v>750.39536800902715</c:v>
                </c:pt>
                <c:pt idx="16">
                  <c:v>756.41430297151965</c:v>
                </c:pt>
                <c:pt idx="17">
                  <c:v>762.48826554958578</c:v>
                </c:pt>
                <c:pt idx="18">
                  <c:v>768.61823505567111</c:v>
                </c:pt>
                <c:pt idx="19">
                  <c:v>774.80131072977588</c:v>
                </c:pt>
                <c:pt idx="20">
                  <c:v>781.04015779812289</c:v>
                </c:pt>
                <c:pt idx="21">
                  <c:v>787.33477626071215</c:v>
                </c:pt>
                <c:pt idx="22">
                  <c:v>793.68469504998939</c:v>
                </c:pt>
                <c:pt idx="23">
                  <c:v>800.09112901217782</c:v>
                </c:pt>
                <c:pt idx="24">
                  <c:v>806.55262776727727</c:v>
                </c:pt>
                <c:pt idx="25">
                  <c:v>813.07138547395652</c:v>
                </c:pt>
                <c:pt idx="26">
                  <c:v>819.64618728599271</c:v>
                </c:pt>
                <c:pt idx="27">
                  <c:v>826.27801251583173</c:v>
                </c:pt>
                <c:pt idx="28">
                  <c:v>832.96662562969664</c:v>
                </c:pt>
                <c:pt idx="29">
                  <c:v>839.71155556003305</c:v>
                </c:pt>
                <c:pt idx="30">
                  <c:v>846.515467533064</c:v>
                </c:pt>
                <c:pt idx="31">
                  <c:v>853.37498972123547</c:v>
                </c:pt>
                <c:pt idx="32">
                  <c:v>860.29423773077019</c:v>
                </c:pt>
                <c:pt idx="33">
                  <c:v>867.26983973411416</c:v>
                </c:pt>
                <c:pt idx="34">
                  <c:v>874.30277504371327</c:v>
                </c:pt>
                <c:pt idx="35">
                  <c:v>881.39402297201354</c:v>
                </c:pt>
                <c:pt idx="36">
                  <c:v>888.54479836523751</c:v>
                </c:pt>
                <c:pt idx="37">
                  <c:v>895.75125832827734</c:v>
                </c:pt>
                <c:pt idx="38">
                  <c:v>903.01728293357849</c:v>
                </c:pt>
                <c:pt idx="39">
                  <c:v>910.34240111358736</c:v>
                </c:pt>
                <c:pt idx="40">
                  <c:v>917.72445588697224</c:v>
                </c:pt>
                <c:pt idx="41">
                  <c:v>925.16540587862528</c:v>
                </c:pt>
                <c:pt idx="42">
                  <c:v>932.66332964099206</c:v>
                </c:pt>
                <c:pt idx="43" formatCode="0.0000">
                  <c:v>934.34263100943042</c:v>
                </c:pt>
                <c:pt idx="44">
                  <c:v>940.22018579896439</c:v>
                </c:pt>
                <c:pt idx="45">
                  <c:v>947.83479668365726</c:v>
                </c:pt>
                <c:pt idx="46">
                  <c:v>955.50622015996214</c:v>
                </c:pt>
                <c:pt idx="47">
                  <c:v>963.2349644727708</c:v>
                </c:pt>
                <c:pt idx="48">
                  <c:v>971.0196164194208</c:v>
                </c:pt>
                <c:pt idx="49" formatCode="0.0000">
                  <c:v>977.11898641550999</c:v>
                </c:pt>
                <c:pt idx="50">
                  <c:v>978.86166355724981</c:v>
                </c:pt>
                <c:pt idx="51">
                  <c:v>986.75945714981867</c:v>
                </c:pt>
                <c:pt idx="52">
                  <c:v>994.71158399446449</c:v>
                </c:pt>
                <c:pt idx="53">
                  <c:v>1002.7173746671941</c:v>
                </c:pt>
                <c:pt idx="54">
                  <c:v>1010.7761597440137</c:v>
                </c:pt>
                <c:pt idx="55">
                  <c:v>1018.8867987333758</c:v>
                </c:pt>
                <c:pt idx="56">
                  <c:v>1027.0467007637328</c:v>
                </c:pt>
                <c:pt idx="57">
                  <c:v>1035.2552335884284</c:v>
                </c:pt>
                <c:pt idx="58">
                  <c:v>1043.5076493545841</c:v>
                </c:pt>
                <c:pt idx="59">
                  <c:v>1051.8035885266584</c:v>
                </c:pt>
                <c:pt idx="60">
                  <c:v>1060.1393197415559</c:v>
                </c:pt>
                <c:pt idx="61">
                  <c:v>1068.5075042748501</c:v>
                </c:pt>
                <c:pt idx="62">
                  <c:v>1076.9066420994523</c:v>
                </c:pt>
                <c:pt idx="63">
                  <c:v>1085.3260970180565</c:v>
                </c:pt>
                <c:pt idx="64">
                  <c:v>1093.7593856169185</c:v>
                </c:pt>
                <c:pt idx="65">
                  <c:v>1102.1950410956367</c:v>
                </c:pt>
                <c:pt idx="66">
                  <c:v>1110.6149273533783</c:v>
                </c:pt>
                <c:pt idx="67">
                  <c:v>1118.9996066186588</c:v>
                </c:pt>
                <c:pt idx="68">
                  <c:v>1127.3211990813591</c:v>
                </c:pt>
                <c:pt idx="69">
                  <c:v>1135.5323624522894</c:v>
                </c:pt>
                <c:pt idx="70">
                  <c:v>1143.5711760556683</c:v>
                </c:pt>
                <c:pt idx="71">
                  <c:v>1151.3223026954108</c:v>
                </c:pt>
                <c:pt idx="72">
                  <c:v>1158.5789684228419</c:v>
                </c:pt>
                <c:pt idx="73">
                  <c:v>1164.872522906531</c:v>
                </c:pt>
                <c:pt idx="74">
                  <c:v>1168.6622279467822</c:v>
                </c:pt>
                <c:pt idx="75">
                  <c:v>1157.2641681038526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Ullage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Ullage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C-4800-A35E-C3967824656A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Ullage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Ullage Calcs'!$K$4:$K$79</c:f>
              <c:numCache>
                <c:formatCode>General</c:formatCode>
                <c:ptCount val="76"/>
                <c:pt idx="0">
                  <c:v>213.64468102508368</c:v>
                </c:pt>
                <c:pt idx="1">
                  <c:v>213.04383435979696</c:v>
                </c:pt>
                <c:pt idx="2">
                  <c:v>212.438512552746</c:v>
                </c:pt>
                <c:pt idx="3">
                  <c:v>211.82918667148499</c:v>
                </c:pt>
                <c:pt idx="4">
                  <c:v>211.21562118223687</c:v>
                </c:pt>
                <c:pt idx="5">
                  <c:v>210.59758055122458</c:v>
                </c:pt>
                <c:pt idx="6">
                  <c:v>209.97482924467101</c:v>
                </c:pt>
                <c:pt idx="7">
                  <c:v>209.34783833013029</c:v>
                </c:pt>
                <c:pt idx="8">
                  <c:v>208.7156656724942</c:v>
                </c:pt>
                <c:pt idx="9">
                  <c:v>208.07901787309396</c:v>
                </c:pt>
                <c:pt idx="10">
                  <c:v>207.4371883305983</c:v>
                </c:pt>
                <c:pt idx="11">
                  <c:v>206.79041257878436</c:v>
                </c:pt>
                <c:pt idx="12">
                  <c:v>206.13821955009797</c:v>
                </c:pt>
                <c:pt idx="13">
                  <c:v>205.48060924453912</c:v>
                </c:pt>
                <c:pt idx="14">
                  <c:v>204.81758166210787</c:v>
                </c:pt>
                <c:pt idx="15">
                  <c:v>204.14890126902705</c:v>
                </c:pt>
                <c:pt idx="16">
                  <c:v>203.47433253151968</c:v>
                </c:pt>
                <c:pt idx="17">
                  <c:v>202.79387544958578</c:v>
                </c:pt>
                <c:pt idx="18">
                  <c:v>202.10705895567119</c:v>
                </c:pt>
                <c:pt idx="19">
                  <c:v>201.4138830497759</c:v>
                </c:pt>
                <c:pt idx="20">
                  <c:v>200.71411219812285</c:v>
                </c:pt>
                <c:pt idx="21">
                  <c:v>200.00774640071208</c:v>
                </c:pt>
                <c:pt idx="22">
                  <c:v>199.2943145899894</c:v>
                </c:pt>
                <c:pt idx="23">
                  <c:v>198.57358123217773</c:v>
                </c:pt>
                <c:pt idx="24">
                  <c:v>197.84554632727719</c:v>
                </c:pt>
                <c:pt idx="25">
                  <c:v>197.10950327395648</c:v>
                </c:pt>
                <c:pt idx="26">
                  <c:v>196.36568760599275</c:v>
                </c:pt>
                <c:pt idx="27">
                  <c:v>195.61362825583177</c:v>
                </c:pt>
                <c:pt idx="28">
                  <c:v>194.85308968969659</c:v>
                </c:pt>
                <c:pt idx="29">
                  <c:v>194.08360084003297</c:v>
                </c:pt>
                <c:pt idx="30">
                  <c:v>193.30492617306399</c:v>
                </c:pt>
                <c:pt idx="31">
                  <c:v>192.51659462123538</c:v>
                </c:pt>
                <c:pt idx="32">
                  <c:v>191.71837065077017</c:v>
                </c:pt>
                <c:pt idx="33">
                  <c:v>190.9097831941142</c:v>
                </c:pt>
                <c:pt idx="34">
                  <c:v>190.0903611837133</c:v>
                </c:pt>
                <c:pt idx="35">
                  <c:v>189.25963355201344</c:v>
                </c:pt>
                <c:pt idx="36">
                  <c:v>188.41736476523749</c:v>
                </c:pt>
                <c:pt idx="37">
                  <c:v>187.56261268827728</c:v>
                </c:pt>
                <c:pt idx="38">
                  <c:v>186.69490625357855</c:v>
                </c:pt>
                <c:pt idx="39">
                  <c:v>185.81377439358727</c:v>
                </c:pt>
                <c:pt idx="40">
                  <c:v>184.91851050697227</c:v>
                </c:pt>
                <c:pt idx="41">
                  <c:v>184.00817245862527</c:v>
                </c:pt>
                <c:pt idx="42">
                  <c:v>183.08228918099206</c:v>
                </c:pt>
                <c:pt idx="43" formatCode="0.0000">
                  <c:v>182.87287348276371</c:v>
                </c:pt>
                <c:pt idx="44">
                  <c:v>182.13991853896454</c:v>
                </c:pt>
                <c:pt idx="45">
                  <c:v>181.17988286365727</c:v>
                </c:pt>
                <c:pt idx="46">
                  <c:v>180.20124001996211</c:v>
                </c:pt>
                <c:pt idx="47">
                  <c:v>179.2030478727707</c:v>
                </c:pt>
                <c:pt idx="48">
                  <c:v>178.18389321942075</c:v>
                </c:pt>
                <c:pt idx="49" formatCode="0.0000">
                  <c:v>177.3738140488434</c:v>
                </c:pt>
                <c:pt idx="50">
                  <c:v>177.14236285724985</c:v>
                </c:pt>
                <c:pt idx="51">
                  <c:v>176.07680804981857</c:v>
                </c:pt>
                <c:pt idx="52">
                  <c:v>174.98581559446447</c:v>
                </c:pt>
                <c:pt idx="53">
                  <c:v>173.86726568719408</c:v>
                </c:pt>
                <c:pt idx="54">
                  <c:v>172.71903852401377</c:v>
                </c:pt>
                <c:pt idx="55">
                  <c:v>171.53854323337595</c:v>
                </c:pt>
                <c:pt idx="56">
                  <c:v>170.32318894373279</c:v>
                </c:pt>
                <c:pt idx="57">
                  <c:v>169.06944264842846</c:v>
                </c:pt>
                <c:pt idx="58">
                  <c:v>167.77400687458405</c:v>
                </c:pt>
                <c:pt idx="59">
                  <c:v>166.43217094665832</c:v>
                </c:pt>
                <c:pt idx="60">
                  <c:v>165.03875312155583</c:v>
                </c:pt>
                <c:pt idx="61">
                  <c:v>163.58786505485011</c:v>
                </c:pt>
                <c:pt idx="62">
                  <c:v>162.07220519945213</c:v>
                </c:pt>
                <c:pt idx="63">
                  <c:v>160.48258773805651</c:v>
                </c:pt>
                <c:pt idx="64">
                  <c:v>158.80817811691833</c:v>
                </c:pt>
                <c:pt idx="65">
                  <c:v>157.0346087756368</c:v>
                </c:pt>
                <c:pt idx="66">
                  <c:v>155.14374361337809</c:v>
                </c:pt>
                <c:pt idx="67">
                  <c:v>153.11179371865882</c:v>
                </c:pt>
                <c:pt idx="68">
                  <c:v>150.90507776135911</c:v>
                </c:pt>
                <c:pt idx="69">
                  <c:v>148.47625345228937</c:v>
                </c:pt>
                <c:pt idx="70">
                  <c:v>145.7532474556684</c:v>
                </c:pt>
                <c:pt idx="71">
                  <c:v>142.61782181541079</c:v>
                </c:pt>
                <c:pt idx="72">
                  <c:v>138.85304992284185</c:v>
                </c:pt>
                <c:pt idx="73">
                  <c:v>133.97867840653092</c:v>
                </c:pt>
                <c:pt idx="74">
                  <c:v>126.43076298678214</c:v>
                </c:pt>
                <c:pt idx="75">
                  <c:v>106.46385810385254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C-4800-A35E-C3967824656A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Ullage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Ullage Calcs'!$L$4:$L$79</c:f>
              <c:numCache>
                <c:formatCode>General</c:formatCode>
                <c:ptCount val="76"/>
                <c:pt idx="0">
                  <c:v>666.46492006508367</c:v>
                </c:pt>
                <c:pt idx="1">
                  <c:v>671.69750175979698</c:v>
                </c:pt>
                <c:pt idx="2">
                  <c:v>676.98217313274597</c:v>
                </c:pt>
                <c:pt idx="3">
                  <c:v>682.31650449148492</c:v>
                </c:pt>
                <c:pt idx="4">
                  <c:v>687.70171068223681</c:v>
                </c:pt>
                <c:pt idx="5">
                  <c:v>693.13900655122461</c:v>
                </c:pt>
                <c:pt idx="6">
                  <c:v>698.62670618467098</c:v>
                </c:pt>
                <c:pt idx="7">
                  <c:v>704.16818141013027</c:v>
                </c:pt>
                <c:pt idx="8">
                  <c:v>709.76103971249427</c:v>
                </c:pt>
                <c:pt idx="9">
                  <c:v>715.40598769309395</c:v>
                </c:pt>
                <c:pt idx="10">
                  <c:v>721.10521951059832</c:v>
                </c:pt>
                <c:pt idx="11">
                  <c:v>726.85606993878423</c:v>
                </c:pt>
                <c:pt idx="12">
                  <c:v>732.65951829009805</c:v>
                </c:pt>
                <c:pt idx="13">
                  <c:v>738.51701494453914</c:v>
                </c:pt>
                <c:pt idx="14">
                  <c:v>744.42855990210785</c:v>
                </c:pt>
                <c:pt idx="15">
                  <c:v>750.39536800902715</c:v>
                </c:pt>
                <c:pt idx="16">
                  <c:v>756.41430297151965</c:v>
                </c:pt>
                <c:pt idx="17">
                  <c:v>762.48826554958578</c:v>
                </c:pt>
                <c:pt idx="18">
                  <c:v>768.61823505567111</c:v>
                </c:pt>
                <c:pt idx="19">
                  <c:v>774.80131072977588</c:v>
                </c:pt>
                <c:pt idx="20">
                  <c:v>781.04015779812289</c:v>
                </c:pt>
                <c:pt idx="21">
                  <c:v>787.33477626071215</c:v>
                </c:pt>
                <c:pt idx="22">
                  <c:v>793.68469504998939</c:v>
                </c:pt>
                <c:pt idx="23">
                  <c:v>800.09112901217782</c:v>
                </c:pt>
                <c:pt idx="24">
                  <c:v>806.55262776727727</c:v>
                </c:pt>
                <c:pt idx="25">
                  <c:v>813.07138547395652</c:v>
                </c:pt>
                <c:pt idx="26">
                  <c:v>819.64618728599271</c:v>
                </c:pt>
                <c:pt idx="27">
                  <c:v>826.27801251583173</c:v>
                </c:pt>
                <c:pt idx="28">
                  <c:v>832.96662562969664</c:v>
                </c:pt>
                <c:pt idx="29">
                  <c:v>839.71155556003305</c:v>
                </c:pt>
                <c:pt idx="30">
                  <c:v>846.515467533064</c:v>
                </c:pt>
                <c:pt idx="31">
                  <c:v>853.37498972123547</c:v>
                </c:pt>
                <c:pt idx="32">
                  <c:v>860.29423773077019</c:v>
                </c:pt>
                <c:pt idx="33">
                  <c:v>867.26983973411416</c:v>
                </c:pt>
                <c:pt idx="34">
                  <c:v>874.30277504371327</c:v>
                </c:pt>
                <c:pt idx="35">
                  <c:v>881.39402297201354</c:v>
                </c:pt>
                <c:pt idx="36">
                  <c:v>888.54479836523751</c:v>
                </c:pt>
                <c:pt idx="37">
                  <c:v>895.75125832827734</c:v>
                </c:pt>
                <c:pt idx="38">
                  <c:v>903.01728293357849</c:v>
                </c:pt>
                <c:pt idx="39">
                  <c:v>910.34240111358736</c:v>
                </c:pt>
                <c:pt idx="40">
                  <c:v>917.72445588697224</c:v>
                </c:pt>
                <c:pt idx="41">
                  <c:v>925.16540587862528</c:v>
                </c:pt>
                <c:pt idx="42">
                  <c:v>932.66332964099206</c:v>
                </c:pt>
                <c:pt idx="43" formatCode="0.0000">
                  <c:v>934.34263100943042</c:v>
                </c:pt>
                <c:pt idx="44">
                  <c:v>940.22018579896439</c:v>
                </c:pt>
                <c:pt idx="45">
                  <c:v>947.83479668365726</c:v>
                </c:pt>
                <c:pt idx="46">
                  <c:v>955.50622015996214</c:v>
                </c:pt>
                <c:pt idx="47">
                  <c:v>963.2349644727708</c:v>
                </c:pt>
                <c:pt idx="48">
                  <c:v>971.0196164194208</c:v>
                </c:pt>
                <c:pt idx="49" formatCode="0.0000">
                  <c:v>977.11898641550999</c:v>
                </c:pt>
                <c:pt idx="50">
                  <c:v>978.86166355724981</c:v>
                </c:pt>
                <c:pt idx="51">
                  <c:v>986.75945714981867</c:v>
                </c:pt>
                <c:pt idx="52">
                  <c:v>994.71158399446449</c:v>
                </c:pt>
                <c:pt idx="53">
                  <c:v>1002.7173746671941</c:v>
                </c:pt>
                <c:pt idx="54">
                  <c:v>1010.7761597440137</c:v>
                </c:pt>
                <c:pt idx="55">
                  <c:v>1018.8867987333758</c:v>
                </c:pt>
                <c:pt idx="56">
                  <c:v>1027.0467007637328</c:v>
                </c:pt>
                <c:pt idx="57">
                  <c:v>1035.2552335884284</c:v>
                </c:pt>
                <c:pt idx="58">
                  <c:v>1043.5076493545841</c:v>
                </c:pt>
                <c:pt idx="59">
                  <c:v>1051.8035885266584</c:v>
                </c:pt>
                <c:pt idx="60">
                  <c:v>1060.1393197415559</c:v>
                </c:pt>
                <c:pt idx="61">
                  <c:v>1068.5075042748501</c:v>
                </c:pt>
                <c:pt idx="62">
                  <c:v>1076.9066420994523</c:v>
                </c:pt>
                <c:pt idx="63">
                  <c:v>1085.3260970180565</c:v>
                </c:pt>
                <c:pt idx="64">
                  <c:v>1093.7593856169185</c:v>
                </c:pt>
                <c:pt idx="65">
                  <c:v>1102.1950410956367</c:v>
                </c:pt>
                <c:pt idx="66">
                  <c:v>1110.6149273533783</c:v>
                </c:pt>
                <c:pt idx="67">
                  <c:v>1118.9996066186588</c:v>
                </c:pt>
                <c:pt idx="68">
                  <c:v>1127.3211990813591</c:v>
                </c:pt>
                <c:pt idx="69">
                  <c:v>1135.5323624522894</c:v>
                </c:pt>
                <c:pt idx="70">
                  <c:v>1143.5711760556683</c:v>
                </c:pt>
                <c:pt idx="71">
                  <c:v>1151.3223026954108</c:v>
                </c:pt>
                <c:pt idx="72">
                  <c:v>1158.5789684228419</c:v>
                </c:pt>
                <c:pt idx="73">
                  <c:v>1164.872522906531</c:v>
                </c:pt>
                <c:pt idx="74">
                  <c:v>1168.6622279467822</c:v>
                </c:pt>
                <c:pt idx="75">
                  <c:v>1157.2641681038526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8C-4800-A35E-C3967824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24578</xdr:colOff>
      <xdr:row>8</xdr:row>
      <xdr:rowOff>72465</xdr:rowOff>
    </xdr:from>
    <xdr:to>
      <xdr:col>18</xdr:col>
      <xdr:colOff>1239836</xdr:colOff>
      <xdr:row>23</xdr:row>
      <xdr:rowOff>111568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765</xdr:colOff>
      <xdr:row>0</xdr:row>
      <xdr:rowOff>1028</xdr:rowOff>
    </xdr:from>
    <xdr:to>
      <xdr:col>27</xdr:col>
      <xdr:colOff>96836</xdr:colOff>
      <xdr:row>14</xdr:row>
      <xdr:rowOff>135381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A6057-AF32-477E-821E-36E5FBEBA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dimension ref="A1:F31"/>
  <sheetViews>
    <sheetView zoomScale="130" zoomScaleNormal="130" workbookViewId="0">
      <selection activeCell="D14" sqref="D14"/>
    </sheetView>
  </sheetViews>
  <sheetFormatPr defaultColWidth="8.85546875" defaultRowHeight="15" x14ac:dyDescent="0.25"/>
  <cols>
    <col min="1" max="1" width="32.140625" customWidth="1"/>
    <col min="3" max="3" width="3.7109375" customWidth="1"/>
    <col min="4" max="4" width="23.42578125" bestFit="1" customWidth="1"/>
    <col min="5" max="5" width="21.85546875" customWidth="1"/>
  </cols>
  <sheetData>
    <row r="1" spans="1:6" ht="15.75" x14ac:dyDescent="0.25">
      <c r="A1" s="53" t="s">
        <v>7</v>
      </c>
      <c r="B1" s="53"/>
      <c r="C1" s="53"/>
      <c r="D1" s="53"/>
      <c r="E1" s="53"/>
      <c r="F1" s="53"/>
    </row>
    <row r="2" spans="1:6" ht="15.75" x14ac:dyDescent="0.25">
      <c r="A2" s="54" t="s">
        <v>12</v>
      </c>
      <c r="B2" s="54"/>
      <c r="C2" s="54"/>
      <c r="D2" s="54"/>
      <c r="E2" s="54"/>
      <c r="F2" s="54"/>
    </row>
    <row r="3" spans="1:6" x14ac:dyDescent="0.25">
      <c r="A3" s="56" t="s">
        <v>13</v>
      </c>
      <c r="B3" s="56"/>
      <c r="C3" s="56"/>
      <c r="D3" s="56"/>
      <c r="E3" s="56"/>
      <c r="F3" s="56"/>
    </row>
    <row r="5" spans="1:6" x14ac:dyDescent="0.25">
      <c r="A5" s="55" t="s">
        <v>5</v>
      </c>
      <c r="B5" s="55"/>
      <c r="D5" s="55" t="s">
        <v>4</v>
      </c>
      <c r="E5" s="55"/>
    </row>
    <row r="6" spans="1:6" x14ac:dyDescent="0.25">
      <c r="A6" t="s">
        <v>2</v>
      </c>
      <c r="B6">
        <v>825</v>
      </c>
      <c r="D6" s="1" t="s">
        <v>1</v>
      </c>
      <c r="E6" s="2">
        <f>B8+B9</f>
        <v>4.125</v>
      </c>
    </row>
    <row r="7" spans="1:6" x14ac:dyDescent="0.25">
      <c r="A7" s="3" t="s">
        <v>3</v>
      </c>
      <c r="B7" s="3">
        <v>0</v>
      </c>
    </row>
    <row r="8" spans="1:6" x14ac:dyDescent="0.25">
      <c r="A8" t="s">
        <v>0</v>
      </c>
      <c r="B8">
        <v>3.125</v>
      </c>
      <c r="D8" s="8" t="s">
        <v>9</v>
      </c>
      <c r="E8" s="9">
        <f>B17*B8/((B11*B9)-(0.6*B17))</f>
        <v>0.19187815173525888</v>
      </c>
    </row>
    <row r="9" spans="1:6" x14ac:dyDescent="0.25">
      <c r="A9" t="s">
        <v>10</v>
      </c>
      <c r="B9" s="3">
        <v>1</v>
      </c>
      <c r="D9" s="10" t="s">
        <v>11</v>
      </c>
      <c r="E9" s="11">
        <f>B17*B8/((2*B11*B9)+(0.4*B17))</f>
        <v>9.1447119570734509E-2</v>
      </c>
    </row>
    <row r="10" spans="1:6" x14ac:dyDescent="0.25">
      <c r="A10" s="4" t="s">
        <v>6</v>
      </c>
      <c r="B10">
        <v>2</v>
      </c>
      <c r="D10" s="12" t="s">
        <v>16</v>
      </c>
      <c r="E10" s="13">
        <f>MAX(E8:E9)</f>
        <v>0.19187815173525888</v>
      </c>
    </row>
    <row r="11" spans="1:6" x14ac:dyDescent="0.25">
      <c r="A11" t="s">
        <v>8</v>
      </c>
      <c r="B11">
        <v>33000</v>
      </c>
      <c r="D11" s="7"/>
      <c r="E11" s="6"/>
    </row>
    <row r="12" spans="1:6" x14ac:dyDescent="0.25">
      <c r="D12" s="7"/>
      <c r="E12" s="6"/>
    </row>
    <row r="13" spans="1:6" x14ac:dyDescent="0.25">
      <c r="D13" s="7"/>
      <c r="E13" s="6"/>
    </row>
    <row r="14" spans="1:6" x14ac:dyDescent="0.25">
      <c r="D14" s="5"/>
      <c r="E14" s="5"/>
    </row>
    <row r="15" spans="1:6" x14ac:dyDescent="0.25">
      <c r="D15" s="5"/>
      <c r="E15" s="5"/>
    </row>
    <row r="16" spans="1:6" ht="30" x14ac:dyDescent="0.25">
      <c r="A16" s="75" t="s">
        <v>46</v>
      </c>
      <c r="B16" s="76">
        <f>'N2O Pressure Calcs'!L53</f>
        <v>977.11898641550999</v>
      </c>
      <c r="D16" s="5"/>
      <c r="E16" s="5"/>
    </row>
    <row r="17" spans="1:5" x14ac:dyDescent="0.25">
      <c r="A17" s="73" t="s">
        <v>47</v>
      </c>
      <c r="B17" s="74">
        <f>B10*B16</f>
        <v>1954.23797283102</v>
      </c>
      <c r="D17" s="5"/>
      <c r="E17" s="5"/>
    </row>
    <row r="18" spans="1:5" x14ac:dyDescent="0.25">
      <c r="A18" s="79"/>
      <c r="B18" s="77"/>
      <c r="C18" s="78"/>
      <c r="D18" s="5"/>
      <c r="E18" s="5"/>
    </row>
    <row r="19" spans="1:5" ht="30" x14ac:dyDescent="0.25">
      <c r="A19" s="75" t="s">
        <v>46</v>
      </c>
      <c r="B19" s="76">
        <f>'N2O Pressure Calcs'!N53</f>
        <v>1047.69494720119</v>
      </c>
      <c r="D19" s="5"/>
      <c r="E19" s="5"/>
    </row>
    <row r="24" spans="1:5" ht="33.75" customHeight="1" x14ac:dyDescent="0.25">
      <c r="A24" s="70"/>
      <c r="B24" s="21"/>
    </row>
    <row r="25" spans="1:5" ht="15" customHeight="1" x14ac:dyDescent="0.25">
      <c r="A25" s="71"/>
      <c r="B25" s="22"/>
    </row>
    <row r="26" spans="1:5" x14ac:dyDescent="0.25">
      <c r="A26" s="22"/>
      <c r="B26" s="22"/>
    </row>
    <row r="27" spans="1:5" x14ac:dyDescent="0.25">
      <c r="A27" s="69"/>
      <c r="B27" s="22"/>
    </row>
    <row r="28" spans="1:5" ht="15" customHeight="1" x14ac:dyDescent="0.25">
      <c r="A28" s="72"/>
      <c r="B28" s="21"/>
    </row>
    <row r="29" spans="1:5" x14ac:dyDescent="0.25">
      <c r="A29" s="72"/>
      <c r="B29" s="22"/>
    </row>
    <row r="30" spans="1:5" x14ac:dyDescent="0.25">
      <c r="A30" s="72"/>
      <c r="B30" s="21"/>
    </row>
    <row r="31" spans="1:5" x14ac:dyDescent="0.25">
      <c r="A31" s="69"/>
    </row>
  </sheetData>
  <mergeCells count="5"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dimension ref="A1:T819"/>
  <sheetViews>
    <sheetView tabSelected="1" zoomScale="40" zoomScaleNormal="40" workbookViewId="0">
      <selection activeCell="H36" sqref="H36"/>
    </sheetView>
  </sheetViews>
  <sheetFormatPr defaultColWidth="11.42578125" defaultRowHeight="15" x14ac:dyDescent="0.25"/>
  <cols>
    <col min="1" max="1" width="10.85546875" style="24"/>
    <col min="3" max="3" width="11.85546875" customWidth="1"/>
    <col min="4" max="4" width="10.85546875" style="23"/>
    <col min="5" max="5" width="4.42578125" customWidth="1"/>
    <col min="6" max="6" width="25.5703125" customWidth="1"/>
    <col min="7" max="7" width="20.85546875" customWidth="1"/>
    <col min="8" max="8" width="19.85546875" customWidth="1"/>
    <col min="9" max="9" width="22.5703125" customWidth="1"/>
    <col min="10" max="10" width="4.42578125" customWidth="1"/>
    <col min="11" max="11" width="14" style="36" customWidth="1"/>
    <col min="12" max="12" width="16" style="35" customWidth="1"/>
    <col min="13" max="13" width="22" style="37" bestFit="1" customWidth="1"/>
    <col min="14" max="14" width="15.28515625" style="35" customWidth="1"/>
    <col min="15" max="15" width="15.28515625" style="50" customWidth="1"/>
    <col min="16" max="16" width="29" bestFit="1" customWidth="1"/>
    <col min="19" max="19" width="19.42578125" bestFit="1" customWidth="1"/>
  </cols>
  <sheetData>
    <row r="1" spans="1:20" ht="23.25" customHeight="1" x14ac:dyDescent="0.25">
      <c r="A1" s="57" t="s">
        <v>18</v>
      </c>
      <c r="B1" s="58"/>
      <c r="C1" s="58"/>
      <c r="D1" s="59"/>
      <c r="E1" s="14"/>
      <c r="F1" s="81" t="s">
        <v>36</v>
      </c>
      <c r="G1" s="82" t="s">
        <v>45</v>
      </c>
      <c r="H1" s="82"/>
      <c r="I1" s="83"/>
      <c r="J1" s="14"/>
      <c r="K1" s="63" t="s">
        <v>35</v>
      </c>
      <c r="L1" s="64"/>
      <c r="M1" s="64"/>
      <c r="N1" s="65"/>
      <c r="O1" s="48"/>
      <c r="P1" t="s">
        <v>27</v>
      </c>
      <c r="Q1">
        <v>1.5</v>
      </c>
      <c r="S1" t="s">
        <v>31</v>
      </c>
      <c r="T1">
        <v>3.2490157499999999</v>
      </c>
    </row>
    <row r="2" spans="1:20" x14ac:dyDescent="0.25">
      <c r="A2" s="27" t="s">
        <v>19</v>
      </c>
      <c r="B2" t="s">
        <v>21</v>
      </c>
      <c r="C2" s="17" t="s">
        <v>22</v>
      </c>
      <c r="D2" s="25" t="s">
        <v>23</v>
      </c>
      <c r="E2" s="17"/>
      <c r="F2" s="84"/>
      <c r="G2" s="68" t="s">
        <v>43</v>
      </c>
      <c r="H2" s="68" t="s">
        <v>39</v>
      </c>
      <c r="I2" s="85" t="s">
        <v>37</v>
      </c>
      <c r="J2" s="17"/>
      <c r="K2" s="60" t="s">
        <v>25</v>
      </c>
      <c r="L2" s="61"/>
      <c r="M2" s="61" t="s">
        <v>26</v>
      </c>
      <c r="N2" s="62"/>
      <c r="O2" s="46"/>
      <c r="P2" t="s">
        <v>15</v>
      </c>
      <c r="Q2">
        <f>T1+(2*T3)</f>
        <v>3.7698490833333334</v>
      </c>
      <c r="S2" t="s">
        <v>32</v>
      </c>
      <c r="T2">
        <v>3.125</v>
      </c>
    </row>
    <row r="3" spans="1:20" x14ac:dyDescent="0.25">
      <c r="A3" s="30" t="s">
        <v>17</v>
      </c>
      <c r="B3" s="19" t="s">
        <v>20</v>
      </c>
      <c r="C3" s="20" t="s">
        <v>24</v>
      </c>
      <c r="D3" s="31" t="s">
        <v>24</v>
      </c>
      <c r="E3" s="17"/>
      <c r="F3" s="86"/>
      <c r="G3" s="80" t="s">
        <v>44</v>
      </c>
      <c r="H3" s="80" t="s">
        <v>44</v>
      </c>
      <c r="I3" s="87" t="s">
        <v>38</v>
      </c>
      <c r="J3" s="17"/>
      <c r="K3" s="32" t="s">
        <v>29</v>
      </c>
      <c r="L3" s="34" t="s">
        <v>28</v>
      </c>
      <c r="M3" s="33" t="s">
        <v>30</v>
      </c>
      <c r="N3" s="34" t="s">
        <v>28</v>
      </c>
      <c r="O3" s="49"/>
      <c r="P3" t="s">
        <v>14</v>
      </c>
      <c r="Q3">
        <v>32.200000000000003</v>
      </c>
      <c r="S3" t="s">
        <v>33</v>
      </c>
      <c r="T3">
        <f>T2/12</f>
        <v>0.26041666666666669</v>
      </c>
    </row>
    <row r="4" spans="1:20" x14ac:dyDescent="0.25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41">
        <f>($C$53-C4)/(D4-C4)</f>
        <v>0.18736491688811011</v>
      </c>
      <c r="G4" s="88">
        <f>$Q$7/((C4*(1-F4))+(D4*F4))</f>
        <v>0.75122497093492424</v>
      </c>
      <c r="H4" s="67">
        <f>G4*F4</f>
        <v>0.14075320424349502</v>
      </c>
      <c r="I4" s="25">
        <f>IF(H4&gt;$G$55,$G$58-(G4*(1-F4)-$G$55)/(PI()*('BPV Calcs'!$B$8/12)^2),"SEE EQN in Notes")</f>
        <v>1.0078713506575352</v>
      </c>
      <c r="J4" s="17"/>
      <c r="K4" s="36">
        <f>C4*$Q$3*$Q$2</f>
        <v>213.64468102508368</v>
      </c>
      <c r="L4" s="35">
        <f>B4+(C4*$Q$3*$Q$2)</f>
        <v>666.46492006508367</v>
      </c>
      <c r="M4" s="37">
        <f>C4*$Q$3*$Q$1</f>
        <v>85.007917944096008</v>
      </c>
      <c r="N4" s="35">
        <f t="shared" ref="N4:N33" si="0">L4+M4</f>
        <v>751.47283800917967</v>
      </c>
    </row>
    <row r="5" spans="1:20" x14ac:dyDescent="0.25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41">
        <f>($C$53-C5)/(D5-C5)</f>
        <v>0.18512214630827489</v>
      </c>
      <c r="G5" s="88">
        <f t="shared" ref="G5:G53" si="1">$Q$7/((C5*(1-F5))+(D5*F5))</f>
        <v>0.75122497093492424</v>
      </c>
      <c r="H5" s="67">
        <f t="shared" ref="H5:H53" si="2">G5*F5</f>
        <v>0.13906837897984459</v>
      </c>
      <c r="I5" s="25">
        <f>IF(H5&gt;$G$55,$G$58-(G5*(1-F5)-$G$55)/(PI()*('BPV Calcs'!$B$8/12)^2),"SEE EQN in Notes")</f>
        <v>0.99996333642809798</v>
      </c>
      <c r="J5" s="17"/>
      <c r="K5" s="36">
        <f>C5*$Q$3*$Q$2</f>
        <v>213.04383435979696</v>
      </c>
      <c r="L5" s="35">
        <f>B5+(C5*$Q$3*$Q$2)</f>
        <v>671.69750175979698</v>
      </c>
      <c r="M5" s="37">
        <f>C5*$Q$3*$Q$1</f>
        <v>84.768844713840011</v>
      </c>
      <c r="N5" s="35">
        <f t="shared" si="0"/>
        <v>756.46634647363703</v>
      </c>
      <c r="P5" t="s">
        <v>40</v>
      </c>
      <c r="Q5">
        <v>0.87815195180003003</v>
      </c>
    </row>
    <row r="6" spans="1:20" x14ac:dyDescent="0.25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41">
        <f>($C$53-C6)/(D6-C6)</f>
        <v>0.18284364136366457</v>
      </c>
      <c r="G6" s="88">
        <f t="shared" si="1"/>
        <v>0.75122497093492424</v>
      </c>
      <c r="H6" s="67">
        <f t="shared" si="2"/>
        <v>0.13735670916905462</v>
      </c>
      <c r="I6" s="25">
        <f>IF(H6&gt;$G$55,$G$58-(G6*(1-F6)-$G$55)/(PI()*('BPV Calcs'!$B$8/12)^2),"SEE EQN in Notes")</f>
        <v>0.99192932274617007</v>
      </c>
      <c r="J6" s="17"/>
      <c r="K6" s="36">
        <f>C6*$Q$3*$Q$2</f>
        <v>212.438512552746</v>
      </c>
      <c r="L6" s="35">
        <f>B6+(C6*$Q$3*$Q$2)</f>
        <v>676.98217313274597</v>
      </c>
      <c r="M6" s="37">
        <f>C6*$Q$3*$Q$1</f>
        <v>84.527990851920009</v>
      </c>
      <c r="N6" s="35">
        <f t="shared" si="0"/>
        <v>761.51016398466595</v>
      </c>
      <c r="P6" t="s">
        <v>41</v>
      </c>
      <c r="Q6">
        <v>1.25</v>
      </c>
    </row>
    <row r="7" spans="1:20" x14ac:dyDescent="0.25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41">
        <f>($C$53-C7)/(D7-C7)</f>
        <v>0.18053067987595114</v>
      </c>
      <c r="G7" s="88">
        <f t="shared" si="1"/>
        <v>0.75122497093492424</v>
      </c>
      <c r="H7" s="67">
        <f t="shared" si="2"/>
        <v>0.1356191547426735</v>
      </c>
      <c r="I7" s="25">
        <f>IF(H7&gt;$G$55,$G$58-(G7*(1-F7)-$G$55)/(PI()*('BPV Calcs'!$B$8/12)^2),"SEE EQN in Notes")</f>
        <v>0.98377381521390994</v>
      </c>
      <c r="J7" s="17"/>
      <c r="K7" s="36">
        <f>C7*$Q$3*$Q$2</f>
        <v>211.82918667148499</v>
      </c>
      <c r="L7" s="35">
        <f>B7+(C7*$Q$3*$Q$2)</f>
        <v>682.31650449148492</v>
      </c>
      <c r="M7" s="37">
        <f>C7*$Q$3*$Q$1</f>
        <v>84.285543793247996</v>
      </c>
      <c r="N7" s="35">
        <f t="shared" si="0"/>
        <v>766.60204828473297</v>
      </c>
      <c r="P7" s="43" t="s">
        <v>42</v>
      </c>
      <c r="Q7" s="43">
        <f>Q5*Q6</f>
        <v>1.0976899397500375</v>
      </c>
    </row>
    <row r="8" spans="1:20" x14ac:dyDescent="0.25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41">
        <f>($C$53-C8)/(D8-C8)</f>
        <v>0.17818152870115089</v>
      </c>
      <c r="G8" s="88">
        <f t="shared" si="1"/>
        <v>0.75122497093492424</v>
      </c>
      <c r="H8" s="67">
        <f t="shared" si="2"/>
        <v>0.13385441371966245</v>
      </c>
      <c r="I8" s="25">
        <f>IF(H8&gt;$G$55,$G$58-(G8*(1-F8)-$G$55)/(PI()*('BPV Calcs'!$B$8/12)^2),"SEE EQN in Notes")</f>
        <v>0.97549070276163929</v>
      </c>
      <c r="J8" s="17"/>
      <c r="K8" s="36">
        <f>C8*$Q$3*$Q$2</f>
        <v>211.21562118223687</v>
      </c>
      <c r="L8" s="35">
        <f>B8+(C8*$Q$3*$Q$2)</f>
        <v>687.70171068223681</v>
      </c>
      <c r="M8" s="37">
        <f>C8*$Q$3*$Q$1</f>
        <v>84.041409820368003</v>
      </c>
      <c r="N8" s="35">
        <f t="shared" si="0"/>
        <v>771.74312050260482</v>
      </c>
    </row>
    <row r="9" spans="1:20" x14ac:dyDescent="0.25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41">
        <f>($C$53-C9)/(D9-C9)</f>
        <v>0.17579439116722953</v>
      </c>
      <c r="G9" s="88">
        <f t="shared" si="1"/>
        <v>0.75122497093492424</v>
      </c>
      <c r="H9" s="67">
        <f t="shared" si="2"/>
        <v>0.13206113639512471</v>
      </c>
      <c r="I9" s="25">
        <f>IF(H9&gt;$G$55,$G$58-(G9*(1-F9)-$G$55)/(PI()*('BPV Calcs'!$B$8/12)^2),"SEE EQN in Notes")</f>
        <v>0.96707365031962755</v>
      </c>
      <c r="J9" s="17"/>
      <c r="K9" s="36">
        <f>C9*$Q$3*$Q$2</f>
        <v>210.59758055122458</v>
      </c>
      <c r="L9" s="35">
        <f>B9+(C9*$Q$3*$Q$2)</f>
        <v>693.13900655122461</v>
      </c>
      <c r="M9" s="37">
        <f>C9*$Q$3*$Q$1</f>
        <v>83.795495215824019</v>
      </c>
      <c r="N9" s="35">
        <f t="shared" si="0"/>
        <v>776.93450176704869</v>
      </c>
    </row>
    <row r="10" spans="1:20" x14ac:dyDescent="0.25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41">
        <f>($C$53-C10)/(D10-C10)</f>
        <v>0.17336740843776965</v>
      </c>
      <c r="G10" s="88">
        <f t="shared" si="1"/>
        <v>0.75122497093492424</v>
      </c>
      <c r="H10" s="67">
        <f t="shared" si="2"/>
        <v>0.13023792636472664</v>
      </c>
      <c r="I10" s="25">
        <f>IF(H10&gt;$G$55,$G$58-(G10*(1-F10)-$G$55)/(PI()*('BPV Calcs'!$B$8/12)^2),"SEE EQN in Notes")</f>
        <v>0.95851610362638651</v>
      </c>
      <c r="J10" s="17"/>
      <c r="K10" s="36">
        <f>C10*$Q$3*$Q$2</f>
        <v>209.97482924467101</v>
      </c>
      <c r="L10" s="35">
        <f>B10+(C10*$Q$3*$Q$2)</f>
        <v>698.62670618467098</v>
      </c>
      <c r="M10" s="37">
        <f>C10*$Q$3*$Q$1</f>
        <v>83.547706262160006</v>
      </c>
      <c r="N10" s="35">
        <f t="shared" si="0"/>
        <v>782.17441244683096</v>
      </c>
    </row>
    <row r="11" spans="1:20" x14ac:dyDescent="0.25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41">
        <f>($C$53-C11)/(D11-C11)</f>
        <v>0.17090179823980461</v>
      </c>
      <c r="G11" s="88">
        <f t="shared" si="1"/>
        <v>0.75122497093492435</v>
      </c>
      <c r="H11" s="67">
        <f t="shared" si="2"/>
        <v>0.12838569841542352</v>
      </c>
      <c r="I11" s="25">
        <f>IF(H11&gt;$G$55,$G$58-(G11*(1-F11)-$G$55)/(PI()*('BPV Calcs'!$B$8/12)^2),"SEE EQN in Notes")</f>
        <v>0.94982235639023971</v>
      </c>
      <c r="J11" s="17"/>
      <c r="K11" s="36">
        <f>C11*$Q$3*$Q$2</f>
        <v>209.34783833013029</v>
      </c>
      <c r="L11" s="35">
        <f>B11+(C11*$Q$3*$Q$2)</f>
        <v>704.16818141013027</v>
      </c>
      <c r="M11" s="37">
        <f>C11*$Q$3*$Q$1</f>
        <v>83.298230394287998</v>
      </c>
      <c r="N11" s="35">
        <f t="shared" si="0"/>
        <v>787.46641180441827</v>
      </c>
    </row>
    <row r="12" spans="1:20" x14ac:dyDescent="0.25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41">
        <f>($C$53-C12)/(D12-C12)</f>
        <v>0.16839248697229939</v>
      </c>
      <c r="G12" s="88">
        <f t="shared" si="1"/>
        <v>0.75122497093492424</v>
      </c>
      <c r="H12" s="67">
        <f t="shared" si="2"/>
        <v>0.12650064113142523</v>
      </c>
      <c r="I12" s="25">
        <f>IF(H12&gt;$G$55,$G$58-(G12*(1-F12)-$G$55)/(PI()*('BPV Calcs'!$B$8/12)^2),"SEE EQN in Notes")</f>
        <v>0.94097451908225427</v>
      </c>
      <c r="J12" s="17"/>
      <c r="K12" s="36">
        <f>C12*$Q$3*$Q$2</f>
        <v>208.7156656724942</v>
      </c>
      <c r="L12" s="35">
        <f>B12+(C12*$Q$3*$Q$2)</f>
        <v>709.76103971249427</v>
      </c>
      <c r="M12" s="37">
        <f>C12*$Q$3*$Q$1</f>
        <v>83.046692742383996</v>
      </c>
      <c r="N12" s="35">
        <f t="shared" si="0"/>
        <v>792.80773245487831</v>
      </c>
    </row>
    <row r="13" spans="1:20" x14ac:dyDescent="0.25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41">
        <f>($C$53-C13)/(D13-C13)</f>
        <v>0.16584166910419268</v>
      </c>
      <c r="G13" s="88">
        <f t="shared" si="1"/>
        <v>0.75122497093492424</v>
      </c>
      <c r="H13" s="67">
        <f t="shared" si="2"/>
        <v>0.12458440305259647</v>
      </c>
      <c r="I13" s="25">
        <f>IF(H13&gt;$G$55,$G$58-(G13*(1-F13)-$G$55)/(PI()*('BPV Calcs'!$B$8/12)^2),"SEE EQN in Notes")</f>
        <v>0.93198032940496134</v>
      </c>
      <c r="J13" s="17"/>
      <c r="K13" s="36">
        <f>C13*$Q$3*$Q$2</f>
        <v>208.07901787309396</v>
      </c>
      <c r="L13" s="35">
        <f>B13+(C13*$Q$3*$Q$2)</f>
        <v>715.40598769309395</v>
      </c>
      <c r="M13" s="37">
        <f>C13*$Q$3*$Q$1</f>
        <v>82.793374458816004</v>
      </c>
      <c r="N13" s="35">
        <f t="shared" si="0"/>
        <v>798.19936215191001</v>
      </c>
    </row>
    <row r="14" spans="1:20" x14ac:dyDescent="0.25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41">
        <f>($C$53-C14)/(D14-C14)</f>
        <v>0.16324517830239926</v>
      </c>
      <c r="G14" s="88">
        <f t="shared" si="1"/>
        <v>0.75122497093492424</v>
      </c>
      <c r="H14" s="67">
        <f t="shared" si="2"/>
        <v>0.12263385432548642</v>
      </c>
      <c r="I14" s="25">
        <f>IF(H14&gt;$G$55,$G$58-(G14*(1-F14)-$G$55)/(PI()*('BPV Calcs'!$B$8/12)^2),"SEE EQN in Notes")</f>
        <v>0.9228250968583076</v>
      </c>
      <c r="J14" s="17"/>
      <c r="K14" s="36">
        <f>C14*$Q$3*$Q$2</f>
        <v>207.4371883305983</v>
      </c>
      <c r="L14" s="35">
        <f>B14+(C14*$Q$3*$Q$2)</f>
        <v>721.10521951059832</v>
      </c>
      <c r="M14" s="37">
        <f>C14*$Q$3*$Q$1</f>
        <v>82.537994391216003</v>
      </c>
      <c r="N14" s="35">
        <f t="shared" si="0"/>
        <v>803.64321390181431</v>
      </c>
    </row>
    <row r="15" spans="1:20" x14ac:dyDescent="0.25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41">
        <f>($C$53-C15)/(D15-C15)</f>
        <v>0.16060302380499611</v>
      </c>
      <c r="G15" s="88">
        <f t="shared" si="1"/>
        <v>0.75122497093492424</v>
      </c>
      <c r="H15" s="67">
        <f t="shared" si="2"/>
        <v>0.12064900188996915</v>
      </c>
      <c r="I15" s="25">
        <f>IF(H15&gt;$G$55,$G$58-(G15*(1-F15)-$G$55)/(PI()*('BPV Calcs'!$B$8/12)^2),"SEE EQN in Notes")</f>
        <v>0.91350885401577342</v>
      </c>
      <c r="J15" s="17"/>
      <c r="K15" s="36">
        <f>C15*$Q$3*$Q$2</f>
        <v>206.79041257878436</v>
      </c>
      <c r="L15" s="35">
        <f>B15+(C15*$Q$3*$Q$2)</f>
        <v>726.85606993878423</v>
      </c>
      <c r="M15" s="37">
        <f>C15*$Q$3*$Q$1</f>
        <v>82.280646257040004</v>
      </c>
      <c r="N15" s="35">
        <f t="shared" si="0"/>
        <v>809.13671619582419</v>
      </c>
    </row>
    <row r="16" spans="1:20" x14ac:dyDescent="0.25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41">
        <f>($C$53-C16)/(D16-C16)</f>
        <v>0.15791193997714462</v>
      </c>
      <c r="G16" s="88">
        <f t="shared" si="1"/>
        <v>0.75122497093492424</v>
      </c>
      <c r="H16" s="67">
        <f t="shared" si="2"/>
        <v>0.11862739251960797</v>
      </c>
      <c r="I16" s="25">
        <f>IF(H16&gt;$G$55,$G$58-(G16*(1-F16)-$G$55)/(PI()*('BPV Calcs'!$B$8/12)^2),"SEE EQN in Notes")</f>
        <v>0.90402008624139762</v>
      </c>
      <c r="J16" s="17"/>
      <c r="K16" s="36">
        <f>C16*$Q$3*$Q$2</f>
        <v>206.13821955009797</v>
      </c>
      <c r="L16" s="35">
        <f>B16+(C16*$Q$3*$Q$2)</f>
        <v>732.65951829009805</v>
      </c>
      <c r="M16" s="37">
        <f>C16*$Q$3*$Q$1</f>
        <v>82.021142621376015</v>
      </c>
      <c r="N16" s="35">
        <f t="shared" si="0"/>
        <v>814.68066091147409</v>
      </c>
    </row>
    <row r="17" spans="1:14" x14ac:dyDescent="0.25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41">
        <f>($C$53-C17)/(D17-C17)</f>
        <v>0.15517073555268265</v>
      </c>
      <c r="G17" s="88">
        <f t="shared" si="1"/>
        <v>0.75122497093492435</v>
      </c>
      <c r="H17" s="67">
        <f t="shared" si="2"/>
        <v>0.11656813130551485</v>
      </c>
      <c r="I17" s="25">
        <f>IF(H17&gt;$G$55,$G$58-(G17*(1-F17)-$G$55)/(PI()*('BPV Calcs'!$B$8/12)^2),"SEE EQN in Notes")</f>
        <v>0.89435459312794929</v>
      </c>
      <c r="J17" s="17"/>
      <c r="K17" s="36">
        <f>C17*$Q$3*$Q$2</f>
        <v>205.48060924453912</v>
      </c>
      <c r="L17" s="35">
        <f>B17+(C17*$Q$3*$Q$2)</f>
        <v>738.51701494453914</v>
      </c>
      <c r="M17" s="37">
        <f>C17*$Q$3*$Q$1</f>
        <v>81.759483484224006</v>
      </c>
      <c r="N17" s="35">
        <f t="shared" si="0"/>
        <v>820.27649842876315</v>
      </c>
    </row>
    <row r="18" spans="1:14" x14ac:dyDescent="0.25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41">
        <f>($C$53-C18)/(D18-C18)</f>
        <v>0.15237817442287846</v>
      </c>
      <c r="G18" s="88">
        <f t="shared" si="1"/>
        <v>0.75122497093492424</v>
      </c>
      <c r="H18" s="67">
        <f t="shared" si="2"/>
        <v>0.11447028965194368</v>
      </c>
      <c r="I18" s="25">
        <f>IF(H18&gt;$G$55,$G$58-(G18*(1-F18)-$G$55)/(PI()*('BPV Calcs'!$B$8/12)^2),"SEE EQN in Notes")</f>
        <v>0.88450801615319419</v>
      </c>
      <c r="J18" s="17"/>
      <c r="K18" s="36">
        <f>C18*$Q$3*$Q$2</f>
        <v>204.81758166210787</v>
      </c>
      <c r="L18" s="35">
        <f>B18+(C18*$Q$3*$Q$2)</f>
        <v>744.42855990210785</v>
      </c>
      <c r="M18" s="37">
        <f>C18*$Q$3*$Q$1</f>
        <v>81.495668845584021</v>
      </c>
      <c r="N18" s="35">
        <f t="shared" si="0"/>
        <v>825.92422874769181</v>
      </c>
    </row>
    <row r="19" spans="1:14" x14ac:dyDescent="0.25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41">
        <f>($C$53-C19)/(D19-C19)</f>
        <v>0.14953184761109797</v>
      </c>
      <c r="G19" s="88">
        <f t="shared" si="1"/>
        <v>0.75122497093492424</v>
      </c>
      <c r="H19" s="67">
        <f t="shared" si="2"/>
        <v>0.11233205787549259</v>
      </c>
      <c r="I19" s="25">
        <f>IF(H19&gt;$G$55,$G$58-(G19*(1-F19)-$G$55)/(PI()*('BPV Calcs'!$B$8/12)^2),"SEE EQN in Notes")</f>
        <v>0.87447186125997156</v>
      </c>
      <c r="J19" s="17"/>
      <c r="K19" s="36">
        <f>C19*$Q$3*$Q$2</f>
        <v>204.14890126902705</v>
      </c>
      <c r="L19" s="35">
        <f>B19+(C19*$Q$3*$Q$2)</f>
        <v>750.39536800902715</v>
      </c>
      <c r="M19" s="37">
        <f>C19*$Q$3*$Q$1</f>
        <v>81.229604988000006</v>
      </c>
      <c r="N19" s="35">
        <f t="shared" si="0"/>
        <v>831.62497299702716</v>
      </c>
    </row>
    <row r="20" spans="1:14" x14ac:dyDescent="0.25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41">
        <f>($C$53-C20)/(D20-C20)</f>
        <v>0.14662924681830652</v>
      </c>
      <c r="G20" s="88">
        <f t="shared" si="1"/>
        <v>0.75122497093492435</v>
      </c>
      <c r="H20" s="67">
        <f t="shared" si="2"/>
        <v>0.11015155167929216</v>
      </c>
      <c r="I20" s="25">
        <f>IF(H20&gt;$G$55,$G$58-(G20*(1-F20)-$G$55)/(PI()*('BPV Calcs'!$B$8/12)^2),"SEE EQN in Notes")</f>
        <v>0.86423728418010937</v>
      </c>
      <c r="J20" s="17"/>
      <c r="K20" s="36">
        <f>C20*$Q$3*$Q$2</f>
        <v>203.47433253151968</v>
      </c>
      <c r="L20" s="35">
        <f>B20+(C20*$Q$3*$Q$2)</f>
        <v>756.41430297151965</v>
      </c>
      <c r="M20" s="37">
        <f>C20*$Q$3*$Q$1</f>
        <v>80.961198194015992</v>
      </c>
      <c r="N20" s="35">
        <f t="shared" si="0"/>
        <v>837.37550116553564</v>
      </c>
    </row>
    <row r="21" spans="1:14" x14ac:dyDescent="0.25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41">
        <f>($C$53-C21)/(D21-C21)</f>
        <v>0.14366890189539364</v>
      </c>
      <c r="G21" s="88">
        <f t="shared" si="1"/>
        <v>0.75122497093492424</v>
      </c>
      <c r="H21" s="67">
        <f t="shared" si="2"/>
        <v>0.10792766665061956</v>
      </c>
      <c r="I21" s="25">
        <f>IF(H21&gt;$G$55,$G$58-(G21*(1-F21)-$G$55)/(PI()*('BPV Calcs'!$B$8/12)^2),"SEE EQN in Notes")</f>
        <v>0.85379910116445856</v>
      </c>
      <c r="J21" s="17"/>
      <c r="K21" s="36">
        <f>C21*$Q$3*$Q$2</f>
        <v>202.79387544958578</v>
      </c>
      <c r="L21" s="35">
        <f>B21+(C21*$Q$3*$Q$2)</f>
        <v>762.48826554958578</v>
      </c>
      <c r="M21" s="37">
        <f>C21*$Q$3*$Q$1</f>
        <v>80.690448463632009</v>
      </c>
      <c r="N21" s="35">
        <f t="shared" si="0"/>
        <v>843.17871401321781</v>
      </c>
    </row>
    <row r="22" spans="1:14" x14ac:dyDescent="0.25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41">
        <f>($C$53-C22)/(D22-C22)</f>
        <v>0.14064697985759764</v>
      </c>
      <c r="G22" s="88">
        <f t="shared" si="1"/>
        <v>0.75122497093492424</v>
      </c>
      <c r="H22" s="67">
        <f t="shared" si="2"/>
        <v>0.10565752335560866</v>
      </c>
      <c r="I22" s="25">
        <f>IF(H22&gt;$G$55,$G$58-(G22*(1-F22)-$G$55)/(PI()*('BPV Calcs'!$B$8/12)^2),"SEE EQN in Notes")</f>
        <v>0.84314379709992204</v>
      </c>
      <c r="J22" s="17"/>
      <c r="K22" s="36">
        <f>C22*$Q$3*$Q$2</f>
        <v>202.10705895567119</v>
      </c>
      <c r="L22" s="35">
        <f>B22+(C22*$Q$3*$Q$2)</f>
        <v>768.61823505567111</v>
      </c>
      <c r="M22" s="37">
        <f>C22*$Q$3*$Q$1</f>
        <v>80.417168361936007</v>
      </c>
      <c r="N22" s="35">
        <f t="shared" si="0"/>
        <v>849.03540341760709</v>
      </c>
    </row>
    <row r="23" spans="1:14" x14ac:dyDescent="0.25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41">
        <f>($C$53-C23)/(D23-C23)</f>
        <v>0.13756180288548553</v>
      </c>
      <c r="G23" s="88">
        <f t="shared" si="1"/>
        <v>0.75122497093492413</v>
      </c>
      <c r="H23" s="67">
        <f t="shared" si="2"/>
        <v>0.10333986137440462</v>
      </c>
      <c r="I23" s="25">
        <f>IF(H23&gt;$G$55,$G$58-(G23*(1-F23)-$G$55)/(PI()*('BPV Calcs'!$B$8/12)^2),"SEE EQN in Notes")</f>
        <v>0.83226545599131585</v>
      </c>
      <c r="J23" s="17"/>
      <c r="K23" s="36">
        <f>C23*$Q$3*$Q$2</f>
        <v>201.4138830497759</v>
      </c>
      <c r="L23" s="35">
        <f>B23+(C23*$Q$3*$Q$2)</f>
        <v>774.80131072977588</v>
      </c>
      <c r="M23" s="37">
        <f>C23*$Q$3*$Q$1</f>
        <v>80.141357888928013</v>
      </c>
      <c r="N23" s="35">
        <f t="shared" si="0"/>
        <v>854.94266861870392</v>
      </c>
    </row>
    <row r="24" spans="1:14" x14ac:dyDescent="0.25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41">
        <f>($C$53-C24)/(D24-C24)</f>
        <v>0.13441045075864813</v>
      </c>
      <c r="G24" s="88">
        <f t="shared" si="1"/>
        <v>0.75122497093492424</v>
      </c>
      <c r="H24" s="67">
        <f t="shared" si="2"/>
        <v>0.10097248696451551</v>
      </c>
      <c r="I24" s="25">
        <f>IF(H24&gt;$G$55,$G$58-(G24*(1-F24)-$G$55)/(PI()*('BPV Calcs'!$B$8/12)^2),"SEE EQN in Notes")</f>
        <v>0.8211537811347509</v>
      </c>
      <c r="J24" s="17"/>
      <c r="K24" s="36">
        <f>C24*$Q$3*$Q$2</f>
        <v>200.71411219812285</v>
      </c>
      <c r="L24" s="35">
        <f>B24+(C24*$Q$3*$Q$2)</f>
        <v>781.04015779812289</v>
      </c>
      <c r="M24" s="37">
        <f>C24*$Q$3*$Q$1</f>
        <v>79.862923327152004</v>
      </c>
      <c r="N24" s="35">
        <f t="shared" si="0"/>
        <v>860.90308112527487</v>
      </c>
    </row>
    <row r="25" spans="1:14" x14ac:dyDescent="0.25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41">
        <f>($C$53-C25)/(D25-C25)</f>
        <v>0.13119105233236464</v>
      </c>
      <c r="G25" s="88">
        <f t="shared" si="1"/>
        <v>0.75122497093492424</v>
      </c>
      <c r="H25" s="67">
        <f t="shared" si="2"/>
        <v>9.8553994475302747E-2</v>
      </c>
      <c r="I25" s="25">
        <f>IF(H25&gt;$G$55,$G$58-(G25*(1-F25)-$G$55)/(PI()*('BPV Calcs'!$B$8/12)^2),"SEE EQN in Notes")</f>
        <v>0.80980217486963424</v>
      </c>
      <c r="J25" s="17"/>
      <c r="K25" s="36">
        <f>C25*$Q$3*$Q$2</f>
        <v>200.00774640071208</v>
      </c>
      <c r="L25" s="35">
        <f>B25+(C25*$Q$3*$Q$2)</f>
        <v>787.33477626071215</v>
      </c>
      <c r="M25" s="37">
        <f>C25*$Q$3*$Q$1</f>
        <v>79.581864676608006</v>
      </c>
      <c r="N25" s="35">
        <f t="shared" si="0"/>
        <v>866.91664093732015</v>
      </c>
    </row>
    <row r="26" spans="1:14" x14ac:dyDescent="0.25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41">
        <f>($C$53-C26)/(D26-C26)</f>
        <v>0.12789925363670013</v>
      </c>
      <c r="G26" s="88">
        <f t="shared" si="1"/>
        <v>0.75122497093492413</v>
      </c>
      <c r="H26" s="67">
        <f t="shared" si="2"/>
        <v>9.6081113095828549E-2</v>
      </c>
      <c r="I26" s="25">
        <f>IF(H26&gt;$G$55,$G$58-(G26*(1-F26)-$G$55)/(PI()*('BPV Calcs'!$B$8/12)^2),"SEE EQN in Notes")</f>
        <v>0.79819528508794724</v>
      </c>
      <c r="J26" s="17"/>
      <c r="K26" s="36">
        <f>C26*$Q$3*$Q$2</f>
        <v>199.2943145899894</v>
      </c>
      <c r="L26" s="35">
        <f>B26+(C26*$Q$3*$Q$2)</f>
        <v>793.68469504998939</v>
      </c>
      <c r="M26" s="37">
        <f>C26*$Q$3*$Q$1</f>
        <v>79.297994502384014</v>
      </c>
      <c r="N26" s="35">
        <f t="shared" si="0"/>
        <v>872.98268955237336</v>
      </c>
    </row>
    <row r="27" spans="1:14" x14ac:dyDescent="0.25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41">
        <f>($C$53-C27)/(D27-C27)</f>
        <v>0.12453171014032675</v>
      </c>
      <c r="G27" s="88">
        <f t="shared" si="1"/>
        <v>0.75122497093492413</v>
      </c>
      <c r="H27" s="67">
        <f t="shared" si="2"/>
        <v>9.3551330330643362E-2</v>
      </c>
      <c r="I27" s="25">
        <f>IF(H27&gt;$G$55,$G$58-(G27*(1-F27)-$G$55)/(PI()*('BPV Calcs'!$B$8/12)^2),"SEE EQN in Notes")</f>
        <v>0.78632131896452595</v>
      </c>
      <c r="J27" s="17"/>
      <c r="K27" s="36">
        <f>C27*$Q$3*$Q$2</f>
        <v>198.57358123217773</v>
      </c>
      <c r="L27" s="35">
        <f>B27+(C27*$Q$3*$Q$2)</f>
        <v>800.09112901217782</v>
      </c>
      <c r="M27" s="37">
        <f>C27*$Q$3*$Q$1</f>
        <v>79.011219087024003</v>
      </c>
      <c r="N27" s="35">
        <f t="shared" si="0"/>
        <v>879.10234809920178</v>
      </c>
    </row>
    <row r="28" spans="1:14" x14ac:dyDescent="0.25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41">
        <f>($C$53-C28)/(D28-C28)</f>
        <v>0.12108614470086151</v>
      </c>
      <c r="G28" s="88">
        <f t="shared" si="1"/>
        <v>0.75122497093492424</v>
      </c>
      <c r="H28" s="67">
        <f t="shared" si="2"/>
        <v>9.0962935533526718E-2</v>
      </c>
      <c r="I28" s="25">
        <f>IF(H28&gt;$G$55,$G$58-(G28*(1-F28)-$G$55)/(PI()*('BPV Calcs'!$B$8/12)^2),"SEE EQN in Notes")</f>
        <v>0.7741722472900836</v>
      </c>
      <c r="J28" s="17"/>
      <c r="K28" s="36">
        <f>C28*$Q$3*$Q$2</f>
        <v>197.84554632727719</v>
      </c>
      <c r="L28" s="35">
        <f>B28+(C28*$Q$3*$Q$2)</f>
        <v>806.55262776727727</v>
      </c>
      <c r="M28" s="37">
        <f>C28*$Q$3*$Q$1</f>
        <v>78.721538430528014</v>
      </c>
      <c r="N28" s="35">
        <f t="shared" si="0"/>
        <v>885.27416619780524</v>
      </c>
    </row>
    <row r="29" spans="1:14" x14ac:dyDescent="0.25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41">
        <f>($C$53-C29)/(D29-C29)</f>
        <v>0.11755644588442445</v>
      </c>
      <c r="G29" s="88">
        <f t="shared" si="1"/>
        <v>0.75122497093492424</v>
      </c>
      <c r="H29" s="67">
        <f t="shared" si="2"/>
        <v>8.8311337642739754E-2</v>
      </c>
      <c r="I29" s="25">
        <f>IF(H29&gt;$G$55,$G$58-(G29*(1-F29)-$G$55)/(PI()*('BPV Calcs'!$B$8/12)^2),"SEE EQN in Notes")</f>
        <v>0.76172652113468597</v>
      </c>
      <c r="J29" s="17"/>
      <c r="K29" s="36">
        <f>C29*$Q$3*$Q$2</f>
        <v>197.10950327395648</v>
      </c>
      <c r="L29" s="35">
        <f>B29+(C29*$Q$3*$Q$2)</f>
        <v>813.07138547395652</v>
      </c>
      <c r="M29" s="37">
        <f>C29*$Q$3*$Q$1</f>
        <v>78.428671380528002</v>
      </c>
      <c r="N29" s="35">
        <f t="shared" si="0"/>
        <v>891.50005685448457</v>
      </c>
    </row>
    <row r="30" spans="1:14" x14ac:dyDescent="0.25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41">
        <f>($C$53-C30)/(D30-C30)</f>
        <v>0.11394121977368245</v>
      </c>
      <c r="G30" s="88">
        <f t="shared" si="1"/>
        <v>0.75122497093492424</v>
      </c>
      <c r="H30" s="67">
        <f t="shared" si="2"/>
        <v>8.5595489512774417E-2</v>
      </c>
      <c r="I30" s="25">
        <f>IF(H30&gt;$G$55,$G$58-(G30*(1-F30)-$G$55)/(PI()*('BPV Calcs'!$B$8/12)^2),"SEE EQN in Notes")</f>
        <v>0.74897922554260532</v>
      </c>
      <c r="J30" s="17"/>
      <c r="K30" s="36">
        <f>C30*$Q$3*$Q$2</f>
        <v>196.36568760599275</v>
      </c>
      <c r="L30" s="35">
        <f>B30+(C30*$Q$3*$Q$2)</f>
        <v>819.64618728599271</v>
      </c>
      <c r="M30" s="37">
        <f>C30*$Q$3*$Q$1</f>
        <v>78.132711654480005</v>
      </c>
      <c r="N30" s="35">
        <f t="shared" si="0"/>
        <v>897.77889894047269</v>
      </c>
    </row>
    <row r="31" spans="1:14" x14ac:dyDescent="0.25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41">
        <f>($C$53-C31)/(D31-C31)</f>
        <v>0.11023518674553594</v>
      </c>
      <c r="G31" s="88">
        <f t="shared" si="1"/>
        <v>0.75122497093492413</v>
      </c>
      <c r="H31" s="67">
        <f t="shared" si="2"/>
        <v>8.2811424958921173E-2</v>
      </c>
      <c r="I31" s="25">
        <f>IF(H31&gt;$G$55,$G$58-(G31*(1-F31)-$G$55)/(PI()*('BPV Calcs'!$B$8/12)^2),"SEE EQN in Notes")</f>
        <v>0.73591174455063557</v>
      </c>
      <c r="J31" s="17"/>
      <c r="K31" s="36">
        <f>C31*$Q$3*$Q$2</f>
        <v>195.61362825583177</v>
      </c>
      <c r="L31" s="35">
        <f>B31+(C31*$Q$3*$Q$2)</f>
        <v>826.27801251583173</v>
      </c>
      <c r="M31" s="37">
        <f>C31*$Q$3*$Q$1</f>
        <v>77.833471817472002</v>
      </c>
      <c r="N31" s="35">
        <f t="shared" si="0"/>
        <v>904.11148433330368</v>
      </c>
    </row>
    <row r="32" spans="1:14" x14ac:dyDescent="0.25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41">
        <f>($C$53-C32)/(D32-C32)</f>
        <v>0.10643407956180023</v>
      </c>
      <c r="G32" s="88">
        <f t="shared" si="1"/>
        <v>0.75122497093492424</v>
      </c>
      <c r="H32" s="67">
        <f t="shared" si="2"/>
        <v>7.9955938325298792E-2</v>
      </c>
      <c r="I32" s="25">
        <f>IF(H32&gt;$G$55,$G$58-(G32*(1-F32)-$G$55)/(PI()*('BPV Calcs'!$B$8/12)^2),"SEE EQN in Notes")</f>
        <v>0.72250903186710858</v>
      </c>
      <c r="J32" s="17"/>
      <c r="K32" s="36">
        <f>C32*$Q$3*$Q$2</f>
        <v>194.85308968969659</v>
      </c>
      <c r="L32" s="35">
        <f>B32+(C32*$Q$3*$Q$2)</f>
        <v>832.96662562969664</v>
      </c>
      <c r="M32" s="37">
        <f>C32*$Q$3*$Q$1</f>
        <v>77.530858152048012</v>
      </c>
      <c r="N32" s="35">
        <f t="shared" si="0"/>
        <v>910.49748378174468</v>
      </c>
    </row>
    <row r="33" spans="1:16" x14ac:dyDescent="0.25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41">
        <f>($C$53-C33)/(D33-C33)</f>
        <v>0.10253210256655709</v>
      </c>
      <c r="G33" s="88">
        <f t="shared" si="1"/>
        <v>0.75122497093492424</v>
      </c>
      <c r="H33" s="67">
        <f t="shared" si="2"/>
        <v>7.7024675770458517E-2</v>
      </c>
      <c r="I33" s="25">
        <f>IF(H33&gt;$G$55,$G$58-(G33*(1-F33)-$G$55)/(PI()*('BPV Calcs'!$B$8/12)^2),"SEE EQN in Notes")</f>
        <v>0.70875065199591081</v>
      </c>
      <c r="J33" s="17"/>
      <c r="K33" s="36">
        <f>C33*$Q$3*$Q$2</f>
        <v>194.08360084003297</v>
      </c>
      <c r="L33" s="35">
        <f>B33+(C33*$Q$3*$Q$2)</f>
        <v>839.71155556003305</v>
      </c>
      <c r="M33" s="37">
        <f>C33*$Q$3*$Q$1</f>
        <v>77.224683223295997</v>
      </c>
      <c r="N33" s="35">
        <f t="shared" si="0"/>
        <v>916.93623878332903</v>
      </c>
    </row>
    <row r="34" spans="1:16" x14ac:dyDescent="0.25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41">
        <f>($C$53-C34)/(D34-C34)</f>
        <v>9.8524459836365458E-2</v>
      </c>
      <c r="G34" s="88">
        <f t="shared" si="1"/>
        <v>0.75122497093492435</v>
      </c>
      <c r="H34" s="67">
        <f t="shared" si="2"/>
        <v>7.4014034476952761E-2</v>
      </c>
      <c r="I34" s="25">
        <f>IF(H34&gt;$G$55,$G$58-(G34*(1-F34)-$G$55)/(PI()*('BPV Calcs'!$B$8/12)^2),"SEE EQN in Notes")</f>
        <v>0.69461969449994321</v>
      </c>
      <c r="J34" s="17"/>
      <c r="K34" s="36">
        <f>C34*$Q$3*$Q$2</f>
        <v>193.30492617306399</v>
      </c>
      <c r="L34" s="35">
        <f>B34+(C34*$Q$3*$Q$2)</f>
        <v>846.515467533064</v>
      </c>
      <c r="M34" s="37">
        <f>C34*$Q$3*$Q$1</f>
        <v>76.914853313760005</v>
      </c>
      <c r="N34" s="35">
        <f t="shared" ref="N34:N79" si="3">L34+M34</f>
        <v>923.43032084682397</v>
      </c>
    </row>
    <row r="35" spans="1:16" x14ac:dyDescent="0.25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41">
        <f>($C$53-C35)/(D35-C35)</f>
        <v>9.4404755900095283E-2</v>
      </c>
      <c r="G35" s="88">
        <f t="shared" si="1"/>
        <v>0.75122497093492435</v>
      </c>
      <c r="H35" s="67">
        <f t="shared" si="2"/>
        <v>7.0919210007167707E-2</v>
      </c>
      <c r="I35" s="25">
        <f>IF(H35&gt;$G$55,$G$58-(G35*(1-F35)-$G$55)/(PI()*('BPV Calcs'!$B$8/12)^2),"SEE EQN in Notes")</f>
        <v>0.68009360893327475</v>
      </c>
      <c r="J35" s="17"/>
      <c r="K35" s="36">
        <f>C35*$Q$3*$Q$2</f>
        <v>192.51659462123538</v>
      </c>
      <c r="L35" s="35">
        <f>B35+(C35*$Q$3*$Q$2)</f>
        <v>853.37498972123547</v>
      </c>
      <c r="M35" s="37">
        <f>C35*$Q$3*$Q$1</f>
        <v>76.601180988528014</v>
      </c>
      <c r="N35" s="35">
        <f t="shared" si="3"/>
        <v>929.97617070976344</v>
      </c>
    </row>
    <row r="36" spans="1:16" x14ac:dyDescent="0.25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41">
        <f>($C$53-C36)/(D36-C36)</f>
        <v>9.0167576361954008E-2</v>
      </c>
      <c r="G36" s="88">
        <f t="shared" si="1"/>
        <v>0.75122497093492424</v>
      </c>
      <c r="H36" s="67">
        <f t="shared" si="2"/>
        <v>6.7736134931781461E-2</v>
      </c>
      <c r="I36" s="25">
        <f>IF(H36&gt;$G$55,$G$58-(G36*(1-F36)-$G$55)/(PI()*('BPV Calcs'!$B$8/12)^2),"SEE EQN in Notes")</f>
        <v>0.66515330412387197</v>
      </c>
      <c r="J36" s="17"/>
      <c r="K36" s="36">
        <f>C36*$Q$3*$Q$2</f>
        <v>191.71837065077017</v>
      </c>
      <c r="L36" s="35">
        <f>B36+(C36*$Q$3*$Q$2)</f>
        <v>860.29423773077019</v>
      </c>
      <c r="M36" s="37">
        <f>C36*$Q$3*$Q$1</f>
        <v>76.283572530144014</v>
      </c>
      <c r="N36" s="35">
        <f t="shared" si="3"/>
        <v>936.57781026091425</v>
      </c>
    </row>
    <row r="37" spans="1:16" x14ac:dyDescent="0.25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41">
        <f>($C$53-C37)/(D37-C37)</f>
        <v>8.5805817247007074E-2</v>
      </c>
      <c r="G37" s="88">
        <f t="shared" si="1"/>
        <v>0.75122497093492424</v>
      </c>
      <c r="H37" s="67">
        <f t="shared" si="2"/>
        <v>6.4459472567430315E-2</v>
      </c>
      <c r="I37" s="25">
        <f>IF(H37&gt;$G$55,$G$58-(G37*(1-F37)-$G$55)/(PI()*('BPV Calcs'!$B$8/12)^2),"SEE EQN in Notes")</f>
        <v>0.64977373143975337</v>
      </c>
      <c r="J37" s="17"/>
      <c r="K37" s="36">
        <f>C37*$Q$3*$Q$2</f>
        <v>190.9097831941142</v>
      </c>
      <c r="L37" s="35">
        <f>B37+(C37*$Q$3*$Q$2)</f>
        <v>867.26983973411416</v>
      </c>
      <c r="M37" s="37">
        <f>C37*$Q$3*$Q$1</f>
        <v>75.96184050369601</v>
      </c>
      <c r="N37" s="35">
        <f t="shared" si="3"/>
        <v>943.23168023781022</v>
      </c>
    </row>
    <row r="38" spans="1:16" x14ac:dyDescent="0.25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41">
        <f>($C$53-C38)/(D38-C38)</f>
        <v>8.1311947956176495E-2</v>
      </c>
      <c r="G38" s="88">
        <f t="shared" si="1"/>
        <v>0.75122497093492424</v>
      </c>
      <c r="H38" s="67">
        <f t="shared" si="2"/>
        <v>6.1083565740040757E-2</v>
      </c>
      <c r="I38" s="25">
        <f>IF(H38&gt;$G$55,$G$58-(G38*(1-F38)-$G$55)/(PI()*('BPV Calcs'!$B$8/12)^2),"SEE EQN in Notes")</f>
        <v>0.63392833797122883</v>
      </c>
      <c r="J38" s="17"/>
      <c r="K38" s="36">
        <f>C38*$Q$3*$Q$2</f>
        <v>190.0903611837133</v>
      </c>
      <c r="L38" s="35">
        <f>B38+(C38*$Q$3*$Q$2)</f>
        <v>874.30277504371327</v>
      </c>
      <c r="M38" s="37">
        <f>C38*$Q$3*$Q$1</f>
        <v>75.63579747427201</v>
      </c>
      <c r="N38" s="35">
        <f t="shared" si="3"/>
        <v>949.93857251798522</v>
      </c>
    </row>
    <row r="39" spans="1:16" x14ac:dyDescent="0.25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41">
        <f>($C$53-C39)/(D39-C39)</f>
        <v>7.6677969006389013E-2</v>
      </c>
      <c r="G39" s="88">
        <f t="shared" si="1"/>
        <v>0.75122497093492424</v>
      </c>
      <c r="H39" s="67">
        <f t="shared" si="2"/>
        <v>5.7602405038173606E-2</v>
      </c>
      <c r="I39" s="25">
        <f>IF(H39&gt;$G$55,$G$58-(G39*(1-F39)-$G$55)/(PI()*('BPV Calcs'!$B$8/12)^2),"SEE EQN in Notes")</f>
        <v>0.61758891752256018</v>
      </c>
      <c r="J39" s="17"/>
      <c r="K39" s="36">
        <f>C39*$Q$3*$Q$2</f>
        <v>189.25963355201344</v>
      </c>
      <c r="L39" s="35">
        <f>B39+(C39*$Q$3*$Q$2)</f>
        <v>881.39402297201354</v>
      </c>
      <c r="M39" s="37">
        <f>C39*$Q$3*$Q$1</f>
        <v>75.305256006960008</v>
      </c>
      <c r="N39" s="35">
        <f t="shared" si="3"/>
        <v>956.69927897897355</v>
      </c>
    </row>
    <row r="40" spans="1:16" x14ac:dyDescent="0.25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41">
        <f>($C$53-C40)/(D40-C40)</f>
        <v>7.1896792063500151E-2</v>
      </c>
      <c r="G40" s="88">
        <f t="shared" si="1"/>
        <v>0.75122497093492424</v>
      </c>
      <c r="H40" s="67">
        <f t="shared" si="2"/>
        <v>5.4010665528217192E-2</v>
      </c>
      <c r="I40" s="25">
        <f>IF(H40&gt;$G$55,$G$58-(G40*(1-F40)-$G$55)/(PI()*('BPV Calcs'!$B$8/12)^2),"SEE EQN in Notes")</f>
        <v>0.60073047661123002</v>
      </c>
      <c r="J40" s="17"/>
      <c r="K40" s="36">
        <f>C40*$Q$3*$Q$2</f>
        <v>188.41736476523749</v>
      </c>
      <c r="L40" s="35">
        <f>B40+(C40*$Q$3*$Q$2)</f>
        <v>888.54479836523751</v>
      </c>
      <c r="M40" s="37">
        <f>C40*$Q$3*$Q$1</f>
        <v>74.970122384304005</v>
      </c>
      <c r="N40" s="35">
        <f t="shared" si="3"/>
        <v>963.51492074954149</v>
      </c>
    </row>
    <row r="41" spans="1:16" x14ac:dyDescent="0.25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41">
        <f>($C$53-C41)/(D41-C41)</f>
        <v>6.6956521460969767E-2</v>
      </c>
      <c r="G41" s="88">
        <f t="shared" si="1"/>
        <v>0.75122497093492424</v>
      </c>
      <c r="H41" s="67">
        <f t="shared" si="2"/>
        <v>5.0299410888420645E-2</v>
      </c>
      <c r="I41" s="25">
        <f>IF(H41&gt;$G$55,$G$58-(G41*(1-F41)-$G$55)/(PI()*('BPV Calcs'!$B$8/12)^2),"SEE EQN in Notes")</f>
        <v>0.58331107108962232</v>
      </c>
      <c r="J41" s="17"/>
      <c r="K41" s="36">
        <f>C41*$Q$3*$Q$2</f>
        <v>187.56261268827728</v>
      </c>
      <c r="L41" s="35">
        <f>B41+(C41*$Q$3*$Q$2)</f>
        <v>895.75125832827734</v>
      </c>
      <c r="M41" s="37">
        <f>C41*$Q$3*$Q$1</f>
        <v>74.630021736480018</v>
      </c>
      <c r="N41" s="35">
        <f t="shared" si="3"/>
        <v>970.38128006475733</v>
      </c>
    </row>
    <row r="42" spans="1:16" x14ac:dyDescent="0.25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41">
        <f>($C$53-C42)/(D42-C42)</f>
        <v>6.1847405437448669E-2</v>
      </c>
      <c r="G42" s="88">
        <f t="shared" si="1"/>
        <v>0.75122497093492424</v>
      </c>
      <c r="H42" s="67">
        <f t="shared" si="2"/>
        <v>4.6461315352147849E-2</v>
      </c>
      <c r="I42" s="25">
        <f>IF(H42&gt;$G$55,$G$58-(G42*(1-F42)-$G$55)/(PI()*('BPV Calcs'!$B$8/12)^2),"SEE EQN in Notes")</f>
        <v>0.56529631622476284</v>
      </c>
      <c r="J42" s="17"/>
      <c r="K42" s="36">
        <f>C42*$Q$3*$Q$2</f>
        <v>186.69490625357855</v>
      </c>
      <c r="L42" s="35">
        <f>B42+(C42*$Q$3*$Q$2)</f>
        <v>903.01728293357849</v>
      </c>
      <c r="M42" s="37">
        <f>C42*$Q$3*$Q$1</f>
        <v>74.284766628575994</v>
      </c>
      <c r="N42" s="35">
        <f t="shared" si="3"/>
        <v>977.30204956215448</v>
      </c>
    </row>
    <row r="43" spans="1:16" x14ac:dyDescent="0.25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41">
        <f>($C$53-C43)/(D43-C43)</f>
        <v>5.6559004365802502E-2</v>
      </c>
      <c r="G43" s="88">
        <f t="shared" si="1"/>
        <v>0.75122497093492424</v>
      </c>
      <c r="H43" s="67">
        <f t="shared" si="2"/>
        <v>4.2488536410808235E-2</v>
      </c>
      <c r="I43" s="25">
        <f>IF(H43&gt;$G$55,$G$58-(G43*(1-F43)-$G$55)/(PI()*('BPV Calcs'!$B$8/12)^2),"SEE EQN in Notes")</f>
        <v>0.54664940186733357</v>
      </c>
      <c r="J43" s="17"/>
      <c r="K43" s="36">
        <f>C43*$Q$3*$Q$2</f>
        <v>185.81377439358727</v>
      </c>
      <c r="L43" s="35">
        <f>B43+(C43*$Q$3*$Q$2)</f>
        <v>910.34240111358736</v>
      </c>
      <c r="M43" s="37">
        <f>C43*$Q$3*$Q$1</f>
        <v>73.934169625679999</v>
      </c>
      <c r="N43" s="35">
        <f t="shared" si="3"/>
        <v>984.2765707392673</v>
      </c>
    </row>
    <row r="44" spans="1:16" x14ac:dyDescent="0.25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41">
        <f>($C$53-C44)/(D44-C44)</f>
        <v>5.1078607093820678E-2</v>
      </c>
      <c r="G44" s="88">
        <f t="shared" si="1"/>
        <v>0.75122497093492424</v>
      </c>
      <c r="H44" s="67">
        <f t="shared" si="2"/>
        <v>3.8371525129451856E-2</v>
      </c>
      <c r="I44" s="25">
        <f>IF(H44&gt;$G$55,$G$58-(G44*(1-F44)-$G$55)/(PI()*('BPV Calcs'!$B$8/12)^2),"SEE EQN in Notes")</f>
        <v>0.52732550846536741</v>
      </c>
      <c r="J44" s="17"/>
      <c r="K44" s="36">
        <f>C44*$Q$3*$Q$2</f>
        <v>184.91851050697227</v>
      </c>
      <c r="L44" s="35">
        <f>B44+(C44*$Q$3*$Q$2)</f>
        <v>917.72445588697224</v>
      </c>
      <c r="M44" s="37">
        <f>C44*$Q$3*$Q$1</f>
        <v>73.577949575424014</v>
      </c>
      <c r="N44" s="35">
        <f t="shared" si="3"/>
        <v>991.30240546239622</v>
      </c>
    </row>
    <row r="45" spans="1:16" x14ac:dyDescent="0.25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41">
        <f>($C$53-C45)/(D45-C45)</f>
        <v>4.5391024185220959E-2</v>
      </c>
      <c r="G45" s="88">
        <f t="shared" si="1"/>
        <v>0.75122497093492435</v>
      </c>
      <c r="H45" s="67">
        <f t="shared" si="2"/>
        <v>3.4098870824249061E-2</v>
      </c>
      <c r="I45" s="25" t="str">
        <f>IF(H45&gt;$G$55,$G$58-(G45*(1-F45)-$G$55)/(PI()*('BPV Calcs'!$B$8/12)^2),"SEE EQN in Notes")</f>
        <v>SEE EQN in Notes</v>
      </c>
      <c r="J45" s="17"/>
      <c r="K45" s="36">
        <f>C45*$Q$3*$Q$2</f>
        <v>184.00817245862527</v>
      </c>
      <c r="L45" s="35">
        <f>B45+(C45*$Q$3*$Q$2)</f>
        <v>925.16540587862528</v>
      </c>
      <c r="M45" s="37">
        <f>C45*$Q$3*$Q$1</f>
        <v>73.215731607984011</v>
      </c>
      <c r="N45" s="35">
        <f t="shared" si="3"/>
        <v>998.3811374866093</v>
      </c>
    </row>
    <row r="46" spans="1:16" x14ac:dyDescent="0.25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41">
        <f>($C$53-C46)/(D46-C46)</f>
        <v>3.9483036942300216E-2</v>
      </c>
      <c r="G46" s="88">
        <f t="shared" si="1"/>
        <v>0.75122497093492435</v>
      </c>
      <c r="H46" s="67">
        <f t="shared" si="2"/>
        <v>2.9660643279402023E-2</v>
      </c>
      <c r="I46" s="25" t="str">
        <f>IF(H46&gt;$G$55,$G$58-(G46*(1-F46)-$G$55)/(PI()*('BPV Calcs'!$B$8/12)^2),"SEE EQN in Notes")</f>
        <v>SEE EQN in Notes</v>
      </c>
      <c r="J46" s="17"/>
      <c r="K46" s="36">
        <f>C46*$Q$3*$Q$2</f>
        <v>183.08228918099206</v>
      </c>
      <c r="L46" s="35">
        <f>B46+(C46*$Q$3*$Q$2)</f>
        <v>932.66332964099206</v>
      </c>
      <c r="M46" s="37">
        <f>C46*$Q$3*$Q$1</f>
        <v>72.847328288447997</v>
      </c>
      <c r="N46" s="35">
        <f t="shared" si="3"/>
        <v>1005.5106579294401</v>
      </c>
    </row>
    <row r="47" spans="1:16" x14ac:dyDescent="0.25">
      <c r="A47" s="90">
        <v>70</v>
      </c>
      <c r="B47" s="91">
        <f>B46+(((B48-B46)/($A$48-$A$46))*($A$47-$A$46))</f>
        <v>751.46975752666663</v>
      </c>
      <c r="C47" s="44">
        <f>C46+(((C48-C46)/($A$48-$A$46))*($A$47-$A$46))</f>
        <v>1.5065010984888887</v>
      </c>
      <c r="D47" s="45">
        <f>D46+(((D48-D46)/($A$48-$A$46))*($A$47-$A$46))</f>
        <v>0.31840613902737774</v>
      </c>
      <c r="E47" s="17"/>
      <c r="F47" s="92">
        <f>($C$53-C47)/(D47-C47)</f>
        <v>3.8129176343576189E-2</v>
      </c>
      <c r="G47" s="93">
        <f t="shared" si="1"/>
        <v>0.75122497093492424</v>
      </c>
      <c r="H47" s="51">
        <f t="shared" si="2"/>
        <v>2.8643589390475625E-2</v>
      </c>
      <c r="I47" s="45" t="str">
        <f>IF(H47&gt;$G$55,$G$58-(G47*(1-F47)-$G$55)/(PI()*('BPV Calcs'!$B$8/12)^2),"SEE EQN in Notes")</f>
        <v>SEE EQN in Notes</v>
      </c>
      <c r="J47" s="17"/>
      <c r="K47" s="41">
        <f t="shared" ref="K47:N47" si="4">K46+(((K48-K46)/($A$48-$A$46))*($A$47-$A$46))</f>
        <v>182.87287348276371</v>
      </c>
      <c r="L47" s="44">
        <f t="shared" si="4"/>
        <v>934.34263100943042</v>
      </c>
      <c r="M47" s="41">
        <f t="shared" si="4"/>
        <v>72.764003057013326</v>
      </c>
      <c r="N47" s="44">
        <f t="shared" si="4"/>
        <v>1007.1066340664437</v>
      </c>
      <c r="O47" s="42" t="s">
        <v>34</v>
      </c>
      <c r="P47" s="66"/>
    </row>
    <row r="48" spans="1:16" x14ac:dyDescent="0.25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41">
        <f>($C$53-C48)/(D48-C48)</f>
        <v>3.3337176339955747E-2</v>
      </c>
      <c r="G48" s="88">
        <f t="shared" si="1"/>
        <v>0.75122497093492424</v>
      </c>
      <c r="H48" s="67">
        <f t="shared" si="2"/>
        <v>2.50437193270357E-2</v>
      </c>
      <c r="I48" s="25" t="str">
        <f>IF(H48&gt;$G$55,$G$58-(G48*(1-F48)-$G$55)/(PI()*('BPV Calcs'!$B$8/12)^2),"SEE EQN in Notes")</f>
        <v>SEE EQN in Notes</v>
      </c>
      <c r="J48" s="17"/>
      <c r="K48" s="36">
        <f>C48*$Q$3*$Q$2</f>
        <v>182.13991853896454</v>
      </c>
      <c r="L48" s="35">
        <f>B48+(C48*$Q$3*$Q$2)</f>
        <v>940.22018579896439</v>
      </c>
      <c r="M48" s="37">
        <f>C48*$Q$3*$Q$1</f>
        <v>72.472364746992</v>
      </c>
      <c r="N48" s="35">
        <f t="shared" si="3"/>
        <v>1012.6925505459564</v>
      </c>
    </row>
    <row r="49" spans="1:16" x14ac:dyDescent="0.25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41">
        <f>($C$53-C49)/(D49-C49)</f>
        <v>2.693291798927008E-2</v>
      </c>
      <c r="G49" s="88">
        <f t="shared" si="1"/>
        <v>0.75122497093492424</v>
      </c>
      <c r="H49" s="67">
        <f t="shared" si="2"/>
        <v>2.0232680533682115E-2</v>
      </c>
      <c r="I49" s="25" t="str">
        <f>IF(H49&gt;$G$55,$G$58-(G49*(1-F49)-$G$55)/(PI()*('BPV Calcs'!$B$8/12)^2),"SEE EQN in Notes")</f>
        <v>SEE EQN in Notes</v>
      </c>
      <c r="J49" s="17"/>
      <c r="K49" s="36">
        <f>C49*$Q$3*$Q$2</f>
        <v>181.17988286365727</v>
      </c>
      <c r="L49" s="35">
        <f>B49+(C49*$Q$3*$Q$2)</f>
        <v>947.83479668365726</v>
      </c>
      <c r="M49" s="37">
        <f>C49*$Q$3*$Q$1</f>
        <v>72.090372396335994</v>
      </c>
      <c r="N49" s="35">
        <f t="shared" si="3"/>
        <v>1019.9251690799932</v>
      </c>
    </row>
    <row r="50" spans="1:16" x14ac:dyDescent="0.25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41">
        <f>($C$53-C50)/(D50-C50)</f>
        <v>2.0249656851450533E-2</v>
      </c>
      <c r="G50" s="88">
        <f t="shared" si="1"/>
        <v>0.75122497093492424</v>
      </c>
      <c r="H50" s="67">
        <f t="shared" si="2"/>
        <v>1.5212047879673117E-2</v>
      </c>
      <c r="I50" s="25" t="str">
        <f>IF(H50&gt;$G$55,$G$58-(G50*(1-F50)-$G$55)/(PI()*('BPV Calcs'!$B$8/12)^2),"SEE EQN in Notes")</f>
        <v>SEE EQN in Notes</v>
      </c>
      <c r="J50" s="17"/>
      <c r="K50" s="36">
        <f>C50*$Q$3*$Q$2</f>
        <v>180.20124001996211</v>
      </c>
      <c r="L50" s="35">
        <f>B50+(C50*$Q$3*$Q$2)</f>
        <v>955.50622015996214</v>
      </c>
      <c r="M50" s="37">
        <f>C50*$Q$3*$Q$1</f>
        <v>71.700976366656008</v>
      </c>
      <c r="N50" s="35">
        <f t="shared" si="3"/>
        <v>1027.2071965266182</v>
      </c>
    </row>
    <row r="51" spans="1:16" x14ac:dyDescent="0.25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41">
        <f>($C$53-C51)/(D51-C51)</f>
        <v>1.3264956550221583E-2</v>
      </c>
      <c r="G51" s="88">
        <f t="shared" si="1"/>
        <v>0.75122497093492424</v>
      </c>
      <c r="H51" s="67">
        <f t="shared" si="2"/>
        <v>9.964966598893241E-3</v>
      </c>
      <c r="I51" s="25" t="str">
        <f>IF(H51&gt;$G$55,$G$58-(G51*(1-F51)-$G$55)/(PI()*('BPV Calcs'!$B$8/12)^2),"SEE EQN in Notes")</f>
        <v>SEE EQN in Notes</v>
      </c>
      <c r="J51" s="17"/>
      <c r="K51" s="36">
        <f>C51*$Q$3*$Q$2</f>
        <v>179.2030478727707</v>
      </c>
      <c r="L51" s="35">
        <f>B51+(C51*$Q$3*$Q$2)</f>
        <v>963.2349644727708</v>
      </c>
      <c r="M51" s="37">
        <f>C51*$Q$3*$Q$1</f>
        <v>71.303801788127998</v>
      </c>
      <c r="N51" s="35">
        <f t="shared" si="3"/>
        <v>1034.5387662608987</v>
      </c>
    </row>
    <row r="52" spans="1:16" x14ac:dyDescent="0.25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41">
        <f>($C$53-C52)/(D52-C52)</f>
        <v>5.9508601980526824E-3</v>
      </c>
      <c r="G52" s="88">
        <f t="shared" si="1"/>
        <v>0.75122497093492424</v>
      </c>
      <c r="H52" s="67">
        <f t="shared" si="2"/>
        <v>4.4704347793199243E-3</v>
      </c>
      <c r="I52" s="25" t="str">
        <f>IF(H52&gt;$G$55,$G$58-(G52*(1-F52)-$G$55)/(PI()*('BPV Calcs'!$B$8/12)^2),"SEE EQN in Notes")</f>
        <v>SEE EQN in Notes</v>
      </c>
      <c r="J52" s="17"/>
      <c r="K52" s="36">
        <f>C52*$Q$3*$Q$2</f>
        <v>178.18389321942075</v>
      </c>
      <c r="L52" s="35">
        <f>B52+(C52*$Q$3*$Q$2)</f>
        <v>971.0196164194208</v>
      </c>
      <c r="M52" s="36">
        <f>C52*$Q$3*$Q$1</f>
        <v>70.898286356016001</v>
      </c>
      <c r="N52" s="35">
        <f t="shared" si="3"/>
        <v>1041.9179027754367</v>
      </c>
    </row>
    <row r="53" spans="1:16" x14ac:dyDescent="0.25">
      <c r="A53" s="90">
        <v>75</v>
      </c>
      <c r="B53" s="91">
        <f>B52+(((B54-B52)/($A$54-$A$52))*($A$53-$A$52))</f>
        <v>799.74517236666668</v>
      </c>
      <c r="C53" s="44">
        <f t="shared" ref="C53:D53" si="5">C52+(((C54-C52)/($A$54-$A$52))*($A$53-$A$52))</f>
        <v>1.4612000162666667</v>
      </c>
      <c r="D53" s="45">
        <f t="shared" si="5"/>
        <v>0.35142632153493331</v>
      </c>
      <c r="E53" s="67"/>
      <c r="F53" s="94">
        <f>($C$53-C53)/(D53-C53)</f>
        <v>0</v>
      </c>
      <c r="G53" s="95">
        <f t="shared" si="1"/>
        <v>0.75122497093492424</v>
      </c>
      <c r="H53" s="96">
        <f t="shared" si="2"/>
        <v>0</v>
      </c>
      <c r="I53" s="45" t="str">
        <f>IF(H53&gt;$G$55,$G$58-(G53*(1-F53)-$G$55)/(PI()*('BPV Calcs'!$B$8/12)^2),"SEE EQN in Notes")</f>
        <v>SEE EQN in Notes</v>
      </c>
      <c r="J53" s="67"/>
      <c r="K53" s="41">
        <f>K52+(((K54-K52)/($A$54-$A$52))*($A$53-$A$52))</f>
        <v>177.3738140488434</v>
      </c>
      <c r="L53" s="45">
        <f t="shared" ref="L53" si="6">L52+(((L54-L52)/($A$54-$A$52))*($A$53-$A$52))</f>
        <v>977.11898641550999</v>
      </c>
      <c r="M53" s="41">
        <f t="shared" ref="M53" si="7">M52+(((M54-M52)/($A$54-$A$52))*($A$53-$A$52))</f>
        <v>70.57596078568001</v>
      </c>
      <c r="N53" s="45">
        <f t="shared" ref="N53" si="8">N52+(((N54-N52)/($A$54-$A$52))*($A$53-$A$52))</f>
        <v>1047.69494720119</v>
      </c>
      <c r="O53" s="43" t="s">
        <v>34</v>
      </c>
      <c r="P53" s="43"/>
    </row>
    <row r="54" spans="1:16" x14ac:dyDescent="0.25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17"/>
      <c r="H54" s="17"/>
      <c r="I54" s="17"/>
      <c r="J54" s="17"/>
      <c r="K54" s="36">
        <f>C54*$Q$3*$Q$2</f>
        <v>177.14236285724985</v>
      </c>
      <c r="L54" s="35">
        <f>B54+(C54*$Q$3*$Q$2)</f>
        <v>978.86166355724981</v>
      </c>
      <c r="M54" s="37">
        <f>C54*$Q$3*$Q$1</f>
        <v>70.483867765584009</v>
      </c>
      <c r="N54" s="35">
        <f t="shared" si="3"/>
        <v>1049.3455313228337</v>
      </c>
    </row>
    <row r="55" spans="1:16" x14ac:dyDescent="0.25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 t="s">
        <v>48</v>
      </c>
      <c r="G55" s="17">
        <f>(2/3)*PI()*(('BPV Calcs'!B8/12)^3)</f>
        <v>3.6988348473322753E-2</v>
      </c>
      <c r="H55" s="17"/>
      <c r="I55" s="17"/>
      <c r="J55" s="17"/>
      <c r="K55" s="36">
        <f>C55*$Q$3*$Q$2</f>
        <v>176.07680804981857</v>
      </c>
      <c r="L55" s="35">
        <f>B55+(C55*$Q$3*$Q$2)</f>
        <v>986.75945714981867</v>
      </c>
      <c r="M55" s="37">
        <f>C55*$Q$3*$Q$1</f>
        <v>70.059889994640017</v>
      </c>
      <c r="N55" s="35">
        <f t="shared" si="3"/>
        <v>1056.8193471444588</v>
      </c>
    </row>
    <row r="56" spans="1:16" x14ac:dyDescent="0.25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 t="s">
        <v>50</v>
      </c>
      <c r="G56" s="17">
        <f>G4-(2*G55)</f>
        <v>0.67724827398827869</v>
      </c>
      <c r="H56" s="17"/>
      <c r="I56" s="17"/>
      <c r="J56" s="17"/>
      <c r="K56" s="36">
        <f>C56*$Q$3*$Q$2</f>
        <v>174.98581559446447</v>
      </c>
      <c r="L56" s="35">
        <f>B56+(C56*$Q$3*$Q$2)</f>
        <v>994.71158399446449</v>
      </c>
      <c r="M56" s="37">
        <f>C56*$Q$3*$Q$1</f>
        <v>69.625790738448003</v>
      </c>
      <c r="N56" s="35">
        <f t="shared" si="3"/>
        <v>1064.3373747329124</v>
      </c>
    </row>
    <row r="57" spans="1:16" x14ac:dyDescent="0.25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 t="s">
        <v>49</v>
      </c>
      <c r="G57" s="17">
        <f>G56/(PI()*(('BPV Calcs'!B8/12)^2))</f>
        <v>3.1787800807053701</v>
      </c>
      <c r="H57" s="17"/>
      <c r="I57" s="17"/>
      <c r="J57" s="17"/>
      <c r="K57" s="36">
        <f>C57*$Q$3*$Q$2</f>
        <v>173.86726568719408</v>
      </c>
      <c r="L57" s="35">
        <f>B57+(C57*$Q$3*$Q$2)</f>
        <v>1002.7173746671941</v>
      </c>
      <c r="M57" s="37">
        <f>C57*$Q$3*$Q$1</f>
        <v>69.180726539904001</v>
      </c>
      <c r="N57" s="35">
        <f t="shared" si="3"/>
        <v>1071.8981012070981</v>
      </c>
    </row>
    <row r="58" spans="1:16" x14ac:dyDescent="0.25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 t="s">
        <v>51</v>
      </c>
      <c r="G58" s="17">
        <f>G57+(2*'BPV Calcs'!B8/12)</f>
        <v>3.6996134140387036</v>
      </c>
      <c r="H58" s="17"/>
      <c r="I58" s="17"/>
      <c r="J58" s="17"/>
      <c r="K58" s="36">
        <f>C58*$Q$3*$Q$2</f>
        <v>172.71903852401377</v>
      </c>
      <c r="L58" s="35">
        <f>B58+(C58*$Q$3*$Q$2)</f>
        <v>1010.7761597440137</v>
      </c>
      <c r="M58" s="37">
        <f>C58*$Q$3*$Q$1</f>
        <v>68.723853941903997</v>
      </c>
      <c r="N58" s="35">
        <f t="shared" si="3"/>
        <v>1079.5000136859178</v>
      </c>
    </row>
    <row r="59" spans="1:16" x14ac:dyDescent="0.25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17"/>
      <c r="H59" s="17"/>
      <c r="I59" s="17"/>
      <c r="J59" s="17"/>
      <c r="K59" s="36">
        <f>C59*$Q$3*$Q$2</f>
        <v>171.53854323337595</v>
      </c>
      <c r="L59" s="35">
        <f>B59+(C59*$Q$3*$Q$2)</f>
        <v>1018.8867987333758</v>
      </c>
      <c r="M59" s="37">
        <f>C59*$Q$3*$Q$1</f>
        <v>68.254142052432002</v>
      </c>
      <c r="N59" s="35">
        <f t="shared" si="3"/>
        <v>1087.1409407858077</v>
      </c>
    </row>
    <row r="60" spans="1:16" x14ac:dyDescent="0.25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89"/>
      <c r="G60" s="89"/>
      <c r="H60" s="17"/>
      <c r="I60" s="17"/>
      <c r="J60" s="17"/>
      <c r="K60" s="36">
        <f>C60*$Q$3*$Q$2</f>
        <v>170.32318894373279</v>
      </c>
      <c r="L60" s="35">
        <f>B60+(C60*$Q$3*$Q$2)</f>
        <v>1027.0467007637328</v>
      </c>
      <c r="M60" s="37">
        <f>C60*$Q$3*$Q$1</f>
        <v>67.770559979471997</v>
      </c>
      <c r="N60" s="35">
        <f t="shared" si="3"/>
        <v>1094.8172607432048</v>
      </c>
    </row>
    <row r="61" spans="1:16" x14ac:dyDescent="0.25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17"/>
      <c r="H61" s="17"/>
      <c r="I61" s="17"/>
      <c r="J61" s="17"/>
      <c r="K61" s="36">
        <f>C61*$Q$3*$Q$2</f>
        <v>169.06944264842846</v>
      </c>
      <c r="L61" s="35">
        <f>B61+(C61*$Q$3*$Q$2)</f>
        <v>1035.2552335884284</v>
      </c>
      <c r="M61" s="37">
        <f>C61*$Q$3*$Q$1</f>
        <v>67.271701961183993</v>
      </c>
      <c r="N61" s="35">
        <f t="shared" si="3"/>
        <v>1102.5269355496123</v>
      </c>
    </row>
    <row r="62" spans="1:16" x14ac:dyDescent="0.25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17"/>
      <c r="H62" s="17"/>
      <c r="I62" s="17"/>
      <c r="J62" s="17"/>
      <c r="K62" s="36">
        <f>C62*$Q$3*$Q$2</f>
        <v>167.77400687458405</v>
      </c>
      <c r="L62" s="35">
        <f>B62+(C62*$Q$3*$Q$2)</f>
        <v>1043.5076493545841</v>
      </c>
      <c r="M62" s="37">
        <f>C62*$Q$3*$Q$1</f>
        <v>66.756255953183995</v>
      </c>
      <c r="N62" s="35">
        <f t="shared" si="3"/>
        <v>1110.2639053077683</v>
      </c>
    </row>
    <row r="63" spans="1:16" x14ac:dyDescent="0.25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17"/>
      <c r="H63" s="17"/>
      <c r="I63" s="17"/>
      <c r="J63" s="17"/>
      <c r="K63" s="36">
        <f>C63*$Q$3*$Q$2</f>
        <v>166.43217094665832</v>
      </c>
      <c r="L63" s="35">
        <f>B63+(C63*$Q$3*$Q$2)</f>
        <v>1051.8035885266584</v>
      </c>
      <c r="M63" s="37">
        <f>C63*$Q$3*$Q$1</f>
        <v>66.222347606352002</v>
      </c>
      <c r="N63" s="35">
        <f t="shared" si="3"/>
        <v>1118.0259361330104</v>
      </c>
    </row>
    <row r="64" spans="1:16" x14ac:dyDescent="0.25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17"/>
      <c r="H64" s="17"/>
      <c r="I64" s="17"/>
      <c r="J64" s="17"/>
      <c r="K64" s="36">
        <f>C64*$Q$3*$Q$2</f>
        <v>165.03875312155583</v>
      </c>
      <c r="L64" s="35">
        <f>B64+(C64*$Q$3*$Q$2)</f>
        <v>1060.1393197415559</v>
      </c>
      <c r="M64" s="37">
        <f>C64*$Q$3*$Q$1</f>
        <v>65.667915136656006</v>
      </c>
      <c r="N64" s="35">
        <f t="shared" si="3"/>
        <v>1125.8072348782121</v>
      </c>
    </row>
    <row r="65" spans="1:16" x14ac:dyDescent="0.25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17"/>
      <c r="H65" s="17"/>
      <c r="I65" s="17"/>
      <c r="J65" s="17"/>
      <c r="K65" s="36">
        <f>C65*$Q$3*$Q$2</f>
        <v>163.58786505485011</v>
      </c>
      <c r="L65" s="35">
        <f>B65+(C65*$Q$3*$Q$2)</f>
        <v>1068.5075042748501</v>
      </c>
      <c r="M65" s="37">
        <f>C65*$Q$3*$Q$1</f>
        <v>65.090615607696009</v>
      </c>
      <c r="N65" s="35">
        <f t="shared" si="3"/>
        <v>1133.5981198825461</v>
      </c>
    </row>
    <row r="66" spans="1:16" x14ac:dyDescent="0.25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17"/>
      <c r="H66" s="17"/>
      <c r="I66" s="17"/>
      <c r="J66" s="17"/>
      <c r="K66" s="36">
        <f>C66*$Q$3*$Q$2</f>
        <v>162.07220519945213</v>
      </c>
      <c r="L66" s="35">
        <f>B66+(C66*$Q$3*$Q$2)</f>
        <v>1076.9066420994523</v>
      </c>
      <c r="M66" s="37">
        <f>C66*$Q$3*$Q$1</f>
        <v>64.487543778336004</v>
      </c>
      <c r="N66" s="35">
        <f t="shared" si="3"/>
        <v>1141.3941858777882</v>
      </c>
    </row>
    <row r="67" spans="1:16" x14ac:dyDescent="0.25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17"/>
      <c r="H67" s="17"/>
      <c r="I67" s="17"/>
      <c r="J67" s="17"/>
      <c r="K67" s="36">
        <f>C67*$Q$3*$Q$2</f>
        <v>160.48258773805651</v>
      </c>
      <c r="L67" s="35">
        <f>B67+(C67*$Q$3*$Q$2)</f>
        <v>1085.3260970180565</v>
      </c>
      <c r="M67" s="37">
        <f>C67*$Q$3*$Q$1</f>
        <v>63.855044667792001</v>
      </c>
      <c r="N67" s="35">
        <f t="shared" si="3"/>
        <v>1149.1811416858486</v>
      </c>
    </row>
    <row r="68" spans="1:16" x14ac:dyDescent="0.25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17"/>
      <c r="H68" s="17"/>
      <c r="I68" s="17"/>
      <c r="J68" s="17"/>
      <c r="K68" s="36">
        <f>C68*$Q$3*$Q$2</f>
        <v>158.80817811691833</v>
      </c>
      <c r="L68" s="35">
        <f>B68+(C68*$Q$3*$Q$2)</f>
        <v>1093.7593856169185</v>
      </c>
      <c r="M68" s="37">
        <f>C68*$Q$3*$Q$1</f>
        <v>63.18880727308801</v>
      </c>
      <c r="N68" s="35">
        <f t="shared" si="3"/>
        <v>1156.9481928900066</v>
      </c>
    </row>
    <row r="69" spans="1:16" x14ac:dyDescent="0.25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17"/>
      <c r="H69" s="17"/>
      <c r="I69" s="17"/>
      <c r="J69" s="17"/>
      <c r="K69" s="36">
        <f>C69*$Q$3*$Q$2</f>
        <v>157.0346087756368</v>
      </c>
      <c r="L69" s="35">
        <f>B69+(C69*$Q$3*$Q$2)</f>
        <v>1102.1950410956367</v>
      </c>
      <c r="M69" s="37">
        <f>C69*$Q$3*$Q$1</f>
        <v>62.483114829408009</v>
      </c>
      <c r="N69" s="35">
        <f t="shared" si="3"/>
        <v>1164.6781559250448</v>
      </c>
    </row>
    <row r="70" spans="1:16" x14ac:dyDescent="0.25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17"/>
      <c r="H70" s="17"/>
      <c r="I70" s="17"/>
      <c r="J70" s="17"/>
      <c r="K70" s="36">
        <f>C70*$Q$3*$Q$2</f>
        <v>155.14374361337809</v>
      </c>
      <c r="L70" s="35">
        <f>B70+(C70*$Q$3*$Q$2)</f>
        <v>1110.6149273533783</v>
      </c>
      <c r="M70" s="37">
        <f>C70*$Q$3*$Q$1</f>
        <v>61.730751092640013</v>
      </c>
      <c r="N70" s="35">
        <f t="shared" si="3"/>
        <v>1172.3456784460184</v>
      </c>
    </row>
    <row r="71" spans="1:16" x14ac:dyDescent="0.25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17"/>
      <c r="H71" s="17"/>
      <c r="I71" s="17"/>
      <c r="J71" s="17"/>
      <c r="K71" s="36">
        <f>C71*$Q$3*$Q$2</f>
        <v>153.11179371865882</v>
      </c>
      <c r="L71" s="35">
        <f>B71+(C71*$Q$3*$Q$2)</f>
        <v>1118.9996066186588</v>
      </c>
      <c r="M71" s="37">
        <f>C71*$Q$3*$Q$1</f>
        <v>60.922250599728002</v>
      </c>
      <c r="N71" s="35">
        <f t="shared" si="3"/>
        <v>1179.9218572183868</v>
      </c>
    </row>
    <row r="72" spans="1:16" x14ac:dyDescent="0.25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17"/>
      <c r="H72" s="17"/>
      <c r="I72" s="17"/>
      <c r="J72" s="17"/>
      <c r="K72" s="36">
        <f>C72*$Q$3*$Q$2</f>
        <v>150.90507776135911</v>
      </c>
      <c r="L72" s="35">
        <f>B72+(C72*$Q$3*$Q$2)</f>
        <v>1127.3211990813591</v>
      </c>
      <c r="M72" s="37">
        <f>C72*$Q$3*$Q$1</f>
        <v>60.044211754464001</v>
      </c>
      <c r="N72" s="35">
        <f t="shared" si="3"/>
        <v>1187.365410835823</v>
      </c>
    </row>
    <row r="73" spans="1:16" x14ac:dyDescent="0.25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17"/>
      <c r="H73" s="17"/>
      <c r="I73" s="17"/>
      <c r="J73" s="17"/>
      <c r="K73" s="36">
        <f>C73*$Q$3*$Q$2</f>
        <v>148.47625345228937</v>
      </c>
      <c r="L73" s="35">
        <f>B73+(C73*$Q$3*$Q$2)</f>
        <v>1135.5323624522894</v>
      </c>
      <c r="M73" s="37">
        <f>C73*$Q$3*$Q$1</f>
        <v>59.077797348192007</v>
      </c>
      <c r="N73" s="35">
        <f t="shared" si="3"/>
        <v>1194.6101598004814</v>
      </c>
    </row>
    <row r="74" spans="1:16" x14ac:dyDescent="0.25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17"/>
      <c r="H74" s="17"/>
      <c r="I74" s="17"/>
      <c r="J74" s="17"/>
      <c r="K74" s="36">
        <f>C74*$Q$3*$Q$2</f>
        <v>145.7532474556684</v>
      </c>
      <c r="L74" s="35">
        <f>B74+(C74*$Q$3*$Q$2)</f>
        <v>1143.5711760556683</v>
      </c>
      <c r="M74" s="37">
        <f>C74*$Q$3*$Q$1</f>
        <v>57.994329839376007</v>
      </c>
      <c r="N74" s="35">
        <f t="shared" si="3"/>
        <v>1201.5655058950442</v>
      </c>
    </row>
    <row r="75" spans="1:16" x14ac:dyDescent="0.25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17"/>
      <c r="H75" s="17"/>
      <c r="I75" s="17"/>
      <c r="J75" s="17"/>
      <c r="K75" s="36">
        <f>C75*$Q$3*$Q$2</f>
        <v>142.61782181541079</v>
      </c>
      <c r="L75" s="35">
        <f>B75+(C75*$Q$3*$Q$2)</f>
        <v>1151.3223026954108</v>
      </c>
      <c r="M75" s="37">
        <f>C75*$Q$3*$Q$1</f>
        <v>56.746763065104005</v>
      </c>
      <c r="N75" s="35">
        <f t="shared" si="3"/>
        <v>1208.0690657605148</v>
      </c>
    </row>
    <row r="76" spans="1:16" x14ac:dyDescent="0.25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17"/>
      <c r="H76" s="17"/>
      <c r="I76" s="17"/>
      <c r="J76" s="17"/>
      <c r="K76" s="36">
        <f>C76*$Q$3*$Q$2</f>
        <v>138.85304992284185</v>
      </c>
      <c r="L76" s="35">
        <f>B76+(C76*$Q$3*$Q$2)</f>
        <v>1158.5789684228419</v>
      </c>
      <c r="M76" s="37">
        <f>C76*$Q$3*$Q$1</f>
        <v>55.248783248400002</v>
      </c>
      <c r="N76" s="35">
        <f t="shared" si="3"/>
        <v>1213.8277516712419</v>
      </c>
    </row>
    <row r="77" spans="1:16" x14ac:dyDescent="0.25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17"/>
      <c r="H77" s="17"/>
      <c r="I77" s="17"/>
      <c r="J77" s="17"/>
      <c r="K77" s="36">
        <f>C77*$Q$3*$Q$2</f>
        <v>133.97867840653092</v>
      </c>
      <c r="L77" s="35">
        <f>B77+(C77*$Q$3*$Q$2)</f>
        <v>1164.872522906531</v>
      </c>
      <c r="M77" s="37">
        <f>C77*$Q$3*$Q$1</f>
        <v>53.309300496480006</v>
      </c>
      <c r="N77" s="35">
        <f t="shared" si="3"/>
        <v>1218.1818234030111</v>
      </c>
    </row>
    <row r="78" spans="1:16" x14ac:dyDescent="0.25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17"/>
      <c r="H78" s="17"/>
      <c r="I78" s="17"/>
      <c r="J78" s="17"/>
      <c r="K78" s="36">
        <f>C78*$Q$3*$Q$2</f>
        <v>126.43076298678214</v>
      </c>
      <c r="L78" s="35">
        <f>B78+(C78*$Q$3*$Q$2)</f>
        <v>1168.6622279467822</v>
      </c>
      <c r="M78" s="37">
        <f>C78*$Q$3*$Q$1</f>
        <v>50.306030901504002</v>
      </c>
      <c r="N78" s="35">
        <f t="shared" si="3"/>
        <v>1218.9682588482863</v>
      </c>
    </row>
    <row r="79" spans="1:16" x14ac:dyDescent="0.25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7"/>
      <c r="G79" s="17"/>
      <c r="H79" s="17"/>
      <c r="I79" s="17"/>
      <c r="J79" s="18"/>
      <c r="K79" s="40">
        <f>C79*$Q$3*$Q$2</f>
        <v>106.46385810385254</v>
      </c>
      <c r="L79" s="38">
        <f>B79+(C79*$Q$3*$Q$2)</f>
        <v>1157.2641681038526</v>
      </c>
      <c r="M79" s="39">
        <f>C79*$Q$3*$Q$1</f>
        <v>42.361321004016006</v>
      </c>
      <c r="N79" s="38">
        <f t="shared" si="3"/>
        <v>1199.6254891078686</v>
      </c>
      <c r="O79" s="52"/>
      <c r="P79" s="22"/>
    </row>
    <row r="80" spans="1:16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7">
    <mergeCell ref="F60:G60"/>
    <mergeCell ref="A1:D1"/>
    <mergeCell ref="K2:L2"/>
    <mergeCell ref="M2:N2"/>
    <mergeCell ref="K1:N1"/>
    <mergeCell ref="F1:F3"/>
    <mergeCell ref="G1:H1"/>
  </mergeCells>
  <pageMargins left="0.7" right="0.7" top="0.75" bottom="0.75" header="0.3" footer="0.3"/>
  <pageSetup orientation="portrait" r:id="rId1"/>
  <ignoredErrors>
    <ignoredError sqref="K53:N53 L47:N47 K4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dimension ref="A1:T819"/>
  <sheetViews>
    <sheetView topLeftCell="C1" zoomScale="70" zoomScaleNormal="70" workbookViewId="0">
      <selection activeCell="K10" sqref="K1:P1048576"/>
    </sheetView>
  </sheetViews>
  <sheetFormatPr defaultColWidth="11.42578125" defaultRowHeight="15" x14ac:dyDescent="0.25"/>
  <cols>
    <col min="1" max="1" width="11.42578125" style="24"/>
    <col min="3" max="3" width="11.85546875" customWidth="1"/>
    <col min="4" max="4" width="11.42578125" style="23"/>
    <col min="5" max="5" width="4.42578125" customWidth="1"/>
    <col min="6" max="6" width="25.5703125" customWidth="1"/>
    <col min="7" max="7" width="20.85546875" customWidth="1"/>
    <col min="8" max="8" width="19.85546875" customWidth="1"/>
    <col min="9" max="9" width="22.5703125" customWidth="1"/>
    <col min="10" max="10" width="4.42578125" customWidth="1"/>
    <col min="11" max="11" width="14" style="36" customWidth="1"/>
    <col min="12" max="12" width="16" style="35" customWidth="1"/>
    <col min="13" max="13" width="22" style="37" bestFit="1" customWidth="1"/>
    <col min="14" max="14" width="15.28515625" style="35" customWidth="1"/>
    <col min="15" max="15" width="15.28515625" style="50" customWidth="1"/>
    <col min="16" max="16" width="29" bestFit="1" customWidth="1"/>
    <col min="19" max="19" width="19.42578125" bestFit="1" customWidth="1"/>
  </cols>
  <sheetData>
    <row r="1" spans="1:20" ht="23.25" customHeight="1" x14ac:dyDescent="0.25">
      <c r="A1" s="57" t="s">
        <v>18</v>
      </c>
      <c r="B1" s="58"/>
      <c r="C1" s="58"/>
      <c r="D1" s="59"/>
      <c r="E1" s="14"/>
      <c r="F1" s="81" t="s">
        <v>36</v>
      </c>
      <c r="G1" s="82" t="s">
        <v>45</v>
      </c>
      <c r="H1" s="82"/>
      <c r="I1" s="83"/>
      <c r="J1" s="14"/>
      <c r="K1" s="63" t="s">
        <v>35</v>
      </c>
      <c r="L1" s="97"/>
      <c r="M1" s="97"/>
      <c r="N1" s="65"/>
      <c r="O1" s="48"/>
      <c r="P1" t="s">
        <v>27</v>
      </c>
      <c r="Q1">
        <v>1.5</v>
      </c>
      <c r="S1" t="s">
        <v>31</v>
      </c>
      <c r="T1">
        <v>3.2490157499999999</v>
      </c>
    </row>
    <row r="2" spans="1:20" x14ac:dyDescent="0.25">
      <c r="A2" s="27" t="s">
        <v>19</v>
      </c>
      <c r="B2" t="s">
        <v>21</v>
      </c>
      <c r="C2" s="17" t="s">
        <v>22</v>
      </c>
      <c r="D2" s="25" t="s">
        <v>23</v>
      </c>
      <c r="E2" s="17"/>
      <c r="F2" s="84"/>
      <c r="G2" s="68" t="s">
        <v>43</v>
      </c>
      <c r="H2" s="68" t="s">
        <v>39</v>
      </c>
      <c r="I2" s="85" t="s">
        <v>37</v>
      </c>
      <c r="J2" s="17"/>
      <c r="K2" s="60" t="s">
        <v>25</v>
      </c>
      <c r="L2" s="61"/>
      <c r="M2" s="61" t="s">
        <v>26</v>
      </c>
      <c r="N2" s="62"/>
      <c r="O2" s="47"/>
      <c r="P2" t="s">
        <v>15</v>
      </c>
      <c r="Q2">
        <f>T1+(2*T3)</f>
        <v>3.7698490833333334</v>
      </c>
      <c r="S2" t="s">
        <v>32</v>
      </c>
      <c r="T2">
        <v>3.125</v>
      </c>
    </row>
    <row r="3" spans="1:20" x14ac:dyDescent="0.25">
      <c r="A3" s="30" t="s">
        <v>17</v>
      </c>
      <c r="B3" s="19" t="s">
        <v>20</v>
      </c>
      <c r="C3" s="20" t="s">
        <v>24</v>
      </c>
      <c r="D3" s="31" t="s">
        <v>24</v>
      </c>
      <c r="E3" s="17"/>
      <c r="F3" s="86"/>
      <c r="G3" s="80" t="s">
        <v>44</v>
      </c>
      <c r="H3" s="80" t="s">
        <v>44</v>
      </c>
      <c r="I3" s="87" t="s">
        <v>38</v>
      </c>
      <c r="J3" s="17"/>
      <c r="K3" s="32" t="s">
        <v>29</v>
      </c>
      <c r="L3" s="34" t="s">
        <v>28</v>
      </c>
      <c r="M3" s="33" t="s">
        <v>30</v>
      </c>
      <c r="N3" s="34" t="s">
        <v>28</v>
      </c>
      <c r="O3" s="49"/>
      <c r="P3" t="s">
        <v>14</v>
      </c>
      <c r="Q3">
        <v>32.200000000000003</v>
      </c>
      <c r="S3" t="s">
        <v>33</v>
      </c>
      <c r="T3">
        <f>T2/12</f>
        <v>0.26041666666666669</v>
      </c>
    </row>
    <row r="4" spans="1:20" x14ac:dyDescent="0.25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41">
        <f>($C$53-C4)/(D4-C4)</f>
        <v>0.18736491688811011</v>
      </c>
      <c r="G4" s="88">
        <f>$Q$7/((C4*(1-F4))+(D4*F4))</f>
        <v>0.75122497093492424</v>
      </c>
      <c r="H4" s="67">
        <f>G4*F4</f>
        <v>0.14075320424349502</v>
      </c>
      <c r="I4" s="25">
        <f>IF(H4&gt;$G$55,$G$58-(G4*(1-F4)-$G$55)/(PI()*('BPV Calcs'!$B$8/12)^2),"SEE EQN in Notes")</f>
        <v>1.0078713506575352</v>
      </c>
      <c r="J4" s="17"/>
      <c r="K4" s="36">
        <f>C4*$Q$3*$Q$2</f>
        <v>213.64468102508368</v>
      </c>
      <c r="L4" s="35">
        <f>B4+(C4*$Q$3*$Q$2)</f>
        <v>666.46492006508367</v>
      </c>
      <c r="M4" s="37">
        <f>C4*$Q$3*$Q$1</f>
        <v>85.007917944096008</v>
      </c>
      <c r="N4" s="35">
        <f t="shared" ref="N4:N67" si="0">L4+M4</f>
        <v>751.47283800917967</v>
      </c>
    </row>
    <row r="5" spans="1:20" x14ac:dyDescent="0.25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41">
        <f>($C$53-C5)/(D5-C5)</f>
        <v>0.18512214630827489</v>
      </c>
      <c r="G5" s="88">
        <f>$Q$7/((C5*(1-F5))+(D5*F5))</f>
        <v>0.75122497093492424</v>
      </c>
      <c r="H5" s="67">
        <f t="shared" ref="H5:H53" si="1">G5*F5</f>
        <v>0.13906837897984459</v>
      </c>
      <c r="I5" s="25">
        <f>IF(H5&gt;$G$55,$G$58-(G5*(1-F5)-$G$55)/(PI()*('BPV Calcs'!$B$8/12)^2),"SEE EQN in Notes")</f>
        <v>0.99996333642809798</v>
      </c>
      <c r="J5" s="17"/>
      <c r="K5" s="36">
        <f>C5*$Q$3*$Q$2</f>
        <v>213.04383435979696</v>
      </c>
      <c r="L5" s="35">
        <f>B5+(C5*$Q$3*$Q$2)</f>
        <v>671.69750175979698</v>
      </c>
      <c r="M5" s="37">
        <f>C5*$Q$3*$Q$1</f>
        <v>84.768844713840011</v>
      </c>
      <c r="N5" s="35">
        <f t="shared" si="0"/>
        <v>756.46634647363703</v>
      </c>
      <c r="P5" t="s">
        <v>40</v>
      </c>
      <c r="Q5">
        <v>0.87815195180003003</v>
      </c>
    </row>
    <row r="6" spans="1:20" x14ac:dyDescent="0.25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41">
        <f>($C$53-C6)/(D6-C6)</f>
        <v>0.18284364136366457</v>
      </c>
      <c r="G6" s="88">
        <f>$Q$7/((C6*(1-F6))+(D6*F6))</f>
        <v>0.75122497093492424</v>
      </c>
      <c r="H6" s="67">
        <f t="shared" si="1"/>
        <v>0.13735670916905462</v>
      </c>
      <c r="I6" s="25">
        <f>IF(H6&gt;$G$55,$G$58-(G6*(1-F6)-$G$55)/(PI()*('BPV Calcs'!$B$8/12)^2),"SEE EQN in Notes")</f>
        <v>0.99192932274617007</v>
      </c>
      <c r="J6" s="17"/>
      <c r="K6" s="36">
        <f>C6*$Q$3*$Q$2</f>
        <v>212.438512552746</v>
      </c>
      <c r="L6" s="35">
        <f>B6+(C6*$Q$3*$Q$2)</f>
        <v>676.98217313274597</v>
      </c>
      <c r="M6" s="37">
        <f>C6*$Q$3*$Q$1</f>
        <v>84.527990851920009</v>
      </c>
      <c r="N6" s="35">
        <f t="shared" si="0"/>
        <v>761.51016398466595</v>
      </c>
      <c r="P6" t="s">
        <v>41</v>
      </c>
      <c r="Q6">
        <v>1.25</v>
      </c>
    </row>
    <row r="7" spans="1:20" x14ac:dyDescent="0.25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41">
        <f>($C$53-C7)/(D7-C7)</f>
        <v>0.18053067987595114</v>
      </c>
      <c r="G7" s="88">
        <f>$Q$7/((C7*(1-F7))+(D7*F7))</f>
        <v>0.75122497093492424</v>
      </c>
      <c r="H7" s="67">
        <f t="shared" si="1"/>
        <v>0.1356191547426735</v>
      </c>
      <c r="I7" s="25">
        <f>IF(H7&gt;$G$55,$G$58-(G7*(1-F7)-$G$55)/(PI()*('BPV Calcs'!$B$8/12)^2),"SEE EQN in Notes")</f>
        <v>0.98377381521390994</v>
      </c>
      <c r="J7" s="17"/>
      <c r="K7" s="36">
        <f>C7*$Q$3*$Q$2</f>
        <v>211.82918667148499</v>
      </c>
      <c r="L7" s="35">
        <f>B7+(C7*$Q$3*$Q$2)</f>
        <v>682.31650449148492</v>
      </c>
      <c r="M7" s="37">
        <f>C7*$Q$3*$Q$1</f>
        <v>84.285543793247996</v>
      </c>
      <c r="N7" s="35">
        <f t="shared" si="0"/>
        <v>766.60204828473297</v>
      </c>
      <c r="P7" s="43" t="s">
        <v>42</v>
      </c>
      <c r="Q7" s="43">
        <f>Q5*Q6</f>
        <v>1.0976899397500375</v>
      </c>
    </row>
    <row r="8" spans="1:20" x14ac:dyDescent="0.25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41">
        <f>($C$53-C8)/(D8-C8)</f>
        <v>0.17818152870115089</v>
      </c>
      <c r="G8" s="88">
        <f>$Q$7/((C8*(1-F8))+(D8*F8))</f>
        <v>0.75122497093492424</v>
      </c>
      <c r="H8" s="67">
        <f t="shared" si="1"/>
        <v>0.13385441371966245</v>
      </c>
      <c r="I8" s="25">
        <f>IF(H8&gt;$G$55,$G$58-(G8*(1-F8)-$G$55)/(PI()*('BPV Calcs'!$B$8/12)^2),"SEE EQN in Notes")</f>
        <v>0.97549070276163929</v>
      </c>
      <c r="J8" s="17"/>
      <c r="K8" s="36">
        <f>C8*$Q$3*$Q$2</f>
        <v>211.21562118223687</v>
      </c>
      <c r="L8" s="35">
        <f>B8+(C8*$Q$3*$Q$2)</f>
        <v>687.70171068223681</v>
      </c>
      <c r="M8" s="37">
        <f>C8*$Q$3*$Q$1</f>
        <v>84.041409820368003</v>
      </c>
      <c r="N8" s="35">
        <f t="shared" si="0"/>
        <v>771.74312050260482</v>
      </c>
    </row>
    <row r="9" spans="1:20" x14ac:dyDescent="0.25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41">
        <f>($C$53-C9)/(D9-C9)</f>
        <v>0.17579439116722953</v>
      </c>
      <c r="G9" s="88">
        <f>$Q$7/((C9*(1-F9))+(D9*F9))</f>
        <v>0.75122497093492424</v>
      </c>
      <c r="H9" s="67">
        <f t="shared" si="1"/>
        <v>0.13206113639512471</v>
      </c>
      <c r="I9" s="25">
        <f>IF(H9&gt;$G$55,$G$58-(G9*(1-F9)-$G$55)/(PI()*('BPV Calcs'!$B$8/12)^2),"SEE EQN in Notes")</f>
        <v>0.96707365031962755</v>
      </c>
      <c r="J9" s="17"/>
      <c r="K9" s="36">
        <f>C9*$Q$3*$Q$2</f>
        <v>210.59758055122458</v>
      </c>
      <c r="L9" s="35">
        <f>B9+(C9*$Q$3*$Q$2)</f>
        <v>693.13900655122461</v>
      </c>
      <c r="M9" s="37">
        <f>C9*$Q$3*$Q$1</f>
        <v>83.795495215824019</v>
      </c>
      <c r="N9" s="35">
        <f t="shared" si="0"/>
        <v>776.93450176704869</v>
      </c>
    </row>
    <row r="10" spans="1:20" x14ac:dyDescent="0.25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41">
        <f>($C$53-C10)/(D10-C10)</f>
        <v>0.17336740843776965</v>
      </c>
      <c r="G10" s="88">
        <f>$Q$7/((C10*(1-F10))+(D10*F10))</f>
        <v>0.75122497093492424</v>
      </c>
      <c r="H10" s="67">
        <f t="shared" si="1"/>
        <v>0.13023792636472664</v>
      </c>
      <c r="I10" s="25">
        <f>IF(H10&gt;$G$55,$G$58-(G10*(1-F10)-$G$55)/(PI()*('BPV Calcs'!$B$8/12)^2),"SEE EQN in Notes")</f>
        <v>0.95851610362638651</v>
      </c>
      <c r="J10" s="17"/>
      <c r="K10" s="36">
        <f>C10*$Q$3*$Q$2</f>
        <v>209.97482924467101</v>
      </c>
      <c r="L10" s="35">
        <f>B10+(C10*$Q$3*$Q$2)</f>
        <v>698.62670618467098</v>
      </c>
      <c r="M10" s="37">
        <f>C10*$Q$3*$Q$1</f>
        <v>83.547706262160006</v>
      </c>
      <c r="N10" s="35">
        <f t="shared" si="0"/>
        <v>782.17441244683096</v>
      </c>
    </row>
    <row r="11" spans="1:20" x14ac:dyDescent="0.25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41">
        <f>($C$53-C11)/(D11-C11)</f>
        <v>0.17090179823980461</v>
      </c>
      <c r="G11" s="88">
        <f>$Q$7/((C11*(1-F11))+(D11*F11))</f>
        <v>0.75122497093492435</v>
      </c>
      <c r="H11" s="67">
        <f t="shared" si="1"/>
        <v>0.12838569841542352</v>
      </c>
      <c r="I11" s="25">
        <f>IF(H11&gt;$G$55,$G$58-(G11*(1-F11)-$G$55)/(PI()*('BPV Calcs'!$B$8/12)^2),"SEE EQN in Notes")</f>
        <v>0.94982235639023971</v>
      </c>
      <c r="J11" s="17"/>
      <c r="K11" s="36">
        <f>C11*$Q$3*$Q$2</f>
        <v>209.34783833013029</v>
      </c>
      <c r="L11" s="35">
        <f>B11+(C11*$Q$3*$Q$2)</f>
        <v>704.16818141013027</v>
      </c>
      <c r="M11" s="37">
        <f>C11*$Q$3*$Q$1</f>
        <v>83.298230394287998</v>
      </c>
      <c r="N11" s="35">
        <f t="shared" si="0"/>
        <v>787.46641180441827</v>
      </c>
    </row>
    <row r="12" spans="1:20" x14ac:dyDescent="0.25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41">
        <f>($C$53-C12)/(D12-C12)</f>
        <v>0.16839248697229939</v>
      </c>
      <c r="G12" s="88">
        <f>$Q$7/((C12*(1-F12))+(D12*F12))</f>
        <v>0.75122497093492424</v>
      </c>
      <c r="H12" s="67">
        <f t="shared" si="1"/>
        <v>0.12650064113142523</v>
      </c>
      <c r="I12" s="25">
        <f>IF(H12&gt;$G$55,$G$58-(G12*(1-F12)-$G$55)/(PI()*('BPV Calcs'!$B$8/12)^2),"SEE EQN in Notes")</f>
        <v>0.94097451908225427</v>
      </c>
      <c r="J12" s="17"/>
      <c r="K12" s="36">
        <f>C12*$Q$3*$Q$2</f>
        <v>208.7156656724942</v>
      </c>
      <c r="L12" s="35">
        <f>B12+(C12*$Q$3*$Q$2)</f>
        <v>709.76103971249427</v>
      </c>
      <c r="M12" s="37">
        <f>C12*$Q$3*$Q$1</f>
        <v>83.046692742383996</v>
      </c>
      <c r="N12" s="35">
        <f t="shared" si="0"/>
        <v>792.80773245487831</v>
      </c>
    </row>
    <row r="13" spans="1:20" x14ac:dyDescent="0.25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41">
        <f>($C$53-C13)/(D13-C13)</f>
        <v>0.16584166910419268</v>
      </c>
      <c r="G13" s="88">
        <f>$Q$7/((C13*(1-F13))+(D13*F13))</f>
        <v>0.75122497093492424</v>
      </c>
      <c r="H13" s="67">
        <f t="shared" si="1"/>
        <v>0.12458440305259647</v>
      </c>
      <c r="I13" s="25">
        <f>IF(H13&gt;$G$55,$G$58-(G13*(1-F13)-$G$55)/(PI()*('BPV Calcs'!$B$8/12)^2),"SEE EQN in Notes")</f>
        <v>0.93198032940496134</v>
      </c>
      <c r="J13" s="17"/>
      <c r="K13" s="36">
        <f>C13*$Q$3*$Q$2</f>
        <v>208.07901787309396</v>
      </c>
      <c r="L13" s="35">
        <f>B13+(C13*$Q$3*$Q$2)</f>
        <v>715.40598769309395</v>
      </c>
      <c r="M13" s="37">
        <f>C13*$Q$3*$Q$1</f>
        <v>82.793374458816004</v>
      </c>
      <c r="N13" s="35">
        <f t="shared" si="0"/>
        <v>798.19936215191001</v>
      </c>
    </row>
    <row r="14" spans="1:20" x14ac:dyDescent="0.25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41">
        <f>($C$53-C14)/(D14-C14)</f>
        <v>0.16324517830239926</v>
      </c>
      <c r="G14" s="88">
        <f>$Q$7/((C14*(1-F14))+(D14*F14))</f>
        <v>0.75122497093492424</v>
      </c>
      <c r="H14" s="67">
        <f t="shared" si="1"/>
        <v>0.12263385432548642</v>
      </c>
      <c r="I14" s="25">
        <f>IF(H14&gt;$G$55,$G$58-(G14*(1-F14)-$G$55)/(PI()*('BPV Calcs'!$B$8/12)^2),"SEE EQN in Notes")</f>
        <v>0.9228250968583076</v>
      </c>
      <c r="J14" s="17"/>
      <c r="K14" s="36">
        <f>C14*$Q$3*$Q$2</f>
        <v>207.4371883305983</v>
      </c>
      <c r="L14" s="35">
        <f>B14+(C14*$Q$3*$Q$2)</f>
        <v>721.10521951059832</v>
      </c>
      <c r="M14" s="37">
        <f>C14*$Q$3*$Q$1</f>
        <v>82.537994391216003</v>
      </c>
      <c r="N14" s="35">
        <f t="shared" si="0"/>
        <v>803.64321390181431</v>
      </c>
    </row>
    <row r="15" spans="1:20" x14ac:dyDescent="0.25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41">
        <f>($C$53-C15)/(D15-C15)</f>
        <v>0.16060302380499611</v>
      </c>
      <c r="G15" s="88">
        <f>$Q$7/((C15*(1-F15))+(D15*F15))</f>
        <v>0.75122497093492424</v>
      </c>
      <c r="H15" s="67">
        <f t="shared" si="1"/>
        <v>0.12064900188996915</v>
      </c>
      <c r="I15" s="25">
        <f>IF(H15&gt;$G$55,$G$58-(G15*(1-F15)-$G$55)/(PI()*('BPV Calcs'!$B$8/12)^2),"SEE EQN in Notes")</f>
        <v>0.91350885401577342</v>
      </c>
      <c r="J15" s="17"/>
      <c r="K15" s="36">
        <f>C15*$Q$3*$Q$2</f>
        <v>206.79041257878436</v>
      </c>
      <c r="L15" s="35">
        <f>B15+(C15*$Q$3*$Q$2)</f>
        <v>726.85606993878423</v>
      </c>
      <c r="M15" s="37">
        <f>C15*$Q$3*$Q$1</f>
        <v>82.280646257040004</v>
      </c>
      <c r="N15" s="35">
        <f t="shared" si="0"/>
        <v>809.13671619582419</v>
      </c>
    </row>
    <row r="16" spans="1:20" x14ac:dyDescent="0.25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41">
        <f>($C$53-C16)/(D16-C16)</f>
        <v>0.15791193997714462</v>
      </c>
      <c r="G16" s="88">
        <f>$Q$7/((C16*(1-F16))+(D16*F16))</f>
        <v>0.75122497093492424</v>
      </c>
      <c r="H16" s="67">
        <f t="shared" si="1"/>
        <v>0.11862739251960797</v>
      </c>
      <c r="I16" s="25">
        <f>IF(H16&gt;$G$55,$G$58-(G16*(1-F16)-$G$55)/(PI()*('BPV Calcs'!$B$8/12)^2),"SEE EQN in Notes")</f>
        <v>0.90402008624139762</v>
      </c>
      <c r="J16" s="17"/>
      <c r="K16" s="36">
        <f>C16*$Q$3*$Q$2</f>
        <v>206.13821955009797</v>
      </c>
      <c r="L16" s="35">
        <f>B16+(C16*$Q$3*$Q$2)</f>
        <v>732.65951829009805</v>
      </c>
      <c r="M16" s="37">
        <f>C16*$Q$3*$Q$1</f>
        <v>82.021142621376015</v>
      </c>
      <c r="N16" s="35">
        <f t="shared" si="0"/>
        <v>814.68066091147409</v>
      </c>
    </row>
    <row r="17" spans="1:14" x14ac:dyDescent="0.25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41">
        <f>($C$53-C17)/(D17-C17)</f>
        <v>0.15517073555268265</v>
      </c>
      <c r="G17" s="88">
        <f>$Q$7/((C17*(1-F17))+(D17*F17))</f>
        <v>0.75122497093492435</v>
      </c>
      <c r="H17" s="67">
        <f t="shared" si="1"/>
        <v>0.11656813130551485</v>
      </c>
      <c r="I17" s="25">
        <f>IF(H17&gt;$G$55,$G$58-(G17*(1-F17)-$G$55)/(PI()*('BPV Calcs'!$B$8/12)^2),"SEE EQN in Notes")</f>
        <v>0.89435459312794929</v>
      </c>
      <c r="J17" s="17"/>
      <c r="K17" s="36">
        <f>C17*$Q$3*$Q$2</f>
        <v>205.48060924453912</v>
      </c>
      <c r="L17" s="35">
        <f>B17+(C17*$Q$3*$Q$2)</f>
        <v>738.51701494453914</v>
      </c>
      <c r="M17" s="37">
        <f>C17*$Q$3*$Q$1</f>
        <v>81.759483484224006</v>
      </c>
      <c r="N17" s="35">
        <f t="shared" si="0"/>
        <v>820.27649842876315</v>
      </c>
    </row>
    <row r="18" spans="1:14" x14ac:dyDescent="0.25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41">
        <f>($C$53-C18)/(D18-C18)</f>
        <v>0.15237817442287846</v>
      </c>
      <c r="G18" s="88">
        <f>$Q$7/((C18*(1-F18))+(D18*F18))</f>
        <v>0.75122497093492424</v>
      </c>
      <c r="H18" s="67">
        <f t="shared" si="1"/>
        <v>0.11447028965194368</v>
      </c>
      <c r="I18" s="25">
        <f>IF(H18&gt;$G$55,$G$58-(G18*(1-F18)-$G$55)/(PI()*('BPV Calcs'!$B$8/12)^2),"SEE EQN in Notes")</f>
        <v>0.88450801615319419</v>
      </c>
      <c r="J18" s="17"/>
      <c r="K18" s="36">
        <f>C18*$Q$3*$Q$2</f>
        <v>204.81758166210787</v>
      </c>
      <c r="L18" s="35">
        <f>B18+(C18*$Q$3*$Q$2)</f>
        <v>744.42855990210785</v>
      </c>
      <c r="M18" s="37">
        <f>C18*$Q$3*$Q$1</f>
        <v>81.495668845584021</v>
      </c>
      <c r="N18" s="35">
        <f t="shared" si="0"/>
        <v>825.92422874769181</v>
      </c>
    </row>
    <row r="19" spans="1:14" x14ac:dyDescent="0.25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41">
        <f>($C$53-C19)/(D19-C19)</f>
        <v>0.14953184761109797</v>
      </c>
      <c r="G19" s="88">
        <f>$Q$7/((C19*(1-F19))+(D19*F19))</f>
        <v>0.75122497093492424</v>
      </c>
      <c r="H19" s="67">
        <f t="shared" si="1"/>
        <v>0.11233205787549259</v>
      </c>
      <c r="I19" s="25">
        <f>IF(H19&gt;$G$55,$G$58-(G19*(1-F19)-$G$55)/(PI()*('BPV Calcs'!$B$8/12)^2),"SEE EQN in Notes")</f>
        <v>0.87447186125997156</v>
      </c>
      <c r="J19" s="17"/>
      <c r="K19" s="36">
        <f>C19*$Q$3*$Q$2</f>
        <v>204.14890126902705</v>
      </c>
      <c r="L19" s="35">
        <f>B19+(C19*$Q$3*$Q$2)</f>
        <v>750.39536800902715</v>
      </c>
      <c r="M19" s="37">
        <f>C19*$Q$3*$Q$1</f>
        <v>81.229604988000006</v>
      </c>
      <c r="N19" s="35">
        <f t="shared" si="0"/>
        <v>831.62497299702716</v>
      </c>
    </row>
    <row r="20" spans="1:14" x14ac:dyDescent="0.25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41">
        <f>($C$53-C20)/(D20-C20)</f>
        <v>0.14662924681830652</v>
      </c>
      <c r="G20" s="88">
        <f>$Q$7/((C20*(1-F20))+(D20*F20))</f>
        <v>0.75122497093492435</v>
      </c>
      <c r="H20" s="67">
        <f t="shared" si="1"/>
        <v>0.11015155167929216</v>
      </c>
      <c r="I20" s="25">
        <f>IF(H20&gt;$G$55,$G$58-(G20*(1-F20)-$G$55)/(PI()*('BPV Calcs'!$B$8/12)^2),"SEE EQN in Notes")</f>
        <v>0.86423728418010937</v>
      </c>
      <c r="J20" s="17"/>
      <c r="K20" s="36">
        <f>C20*$Q$3*$Q$2</f>
        <v>203.47433253151968</v>
      </c>
      <c r="L20" s="35">
        <f>B20+(C20*$Q$3*$Q$2)</f>
        <v>756.41430297151965</v>
      </c>
      <c r="M20" s="37">
        <f>C20*$Q$3*$Q$1</f>
        <v>80.961198194015992</v>
      </c>
      <c r="N20" s="35">
        <f t="shared" si="0"/>
        <v>837.37550116553564</v>
      </c>
    </row>
    <row r="21" spans="1:14" x14ac:dyDescent="0.25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41">
        <f>($C$53-C21)/(D21-C21)</f>
        <v>0.14366890189539364</v>
      </c>
      <c r="G21" s="88">
        <f>$Q$7/((C21*(1-F21))+(D21*F21))</f>
        <v>0.75122497093492424</v>
      </c>
      <c r="H21" s="67">
        <f t="shared" si="1"/>
        <v>0.10792766665061956</v>
      </c>
      <c r="I21" s="25">
        <f>IF(H21&gt;$G$55,$G$58-(G21*(1-F21)-$G$55)/(PI()*('BPV Calcs'!$B$8/12)^2),"SEE EQN in Notes")</f>
        <v>0.85379910116445856</v>
      </c>
      <c r="J21" s="17"/>
      <c r="K21" s="36">
        <f>C21*$Q$3*$Q$2</f>
        <v>202.79387544958578</v>
      </c>
      <c r="L21" s="35">
        <f>B21+(C21*$Q$3*$Q$2)</f>
        <v>762.48826554958578</v>
      </c>
      <c r="M21" s="37">
        <f>C21*$Q$3*$Q$1</f>
        <v>80.690448463632009</v>
      </c>
      <c r="N21" s="35">
        <f t="shared" si="0"/>
        <v>843.17871401321781</v>
      </c>
    </row>
    <row r="22" spans="1:14" x14ac:dyDescent="0.25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41">
        <f>($C$53-C22)/(D22-C22)</f>
        <v>0.14064697985759764</v>
      </c>
      <c r="G22" s="88">
        <f>$Q$7/((C22*(1-F22))+(D22*F22))</f>
        <v>0.75122497093492424</v>
      </c>
      <c r="H22" s="67">
        <f t="shared" si="1"/>
        <v>0.10565752335560866</v>
      </c>
      <c r="I22" s="25">
        <f>IF(H22&gt;$G$55,$G$58-(G22*(1-F22)-$G$55)/(PI()*('BPV Calcs'!$B$8/12)^2),"SEE EQN in Notes")</f>
        <v>0.84314379709992204</v>
      </c>
      <c r="J22" s="17"/>
      <c r="K22" s="36">
        <f>C22*$Q$3*$Q$2</f>
        <v>202.10705895567119</v>
      </c>
      <c r="L22" s="35">
        <f>B22+(C22*$Q$3*$Q$2)</f>
        <v>768.61823505567111</v>
      </c>
      <c r="M22" s="37">
        <f>C22*$Q$3*$Q$1</f>
        <v>80.417168361936007</v>
      </c>
      <c r="N22" s="35">
        <f t="shared" si="0"/>
        <v>849.03540341760709</v>
      </c>
    </row>
    <row r="23" spans="1:14" x14ac:dyDescent="0.25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41">
        <f>($C$53-C23)/(D23-C23)</f>
        <v>0.13756180288548553</v>
      </c>
      <c r="G23" s="88">
        <f>$Q$7/((C23*(1-F23))+(D23*F23))</f>
        <v>0.75122497093492413</v>
      </c>
      <c r="H23" s="67">
        <f t="shared" si="1"/>
        <v>0.10333986137440462</v>
      </c>
      <c r="I23" s="25">
        <f>IF(H23&gt;$G$55,$G$58-(G23*(1-F23)-$G$55)/(PI()*('BPV Calcs'!$B$8/12)^2),"SEE EQN in Notes")</f>
        <v>0.83226545599131585</v>
      </c>
      <c r="J23" s="17"/>
      <c r="K23" s="36">
        <f>C23*$Q$3*$Q$2</f>
        <v>201.4138830497759</v>
      </c>
      <c r="L23" s="35">
        <f>B23+(C23*$Q$3*$Q$2)</f>
        <v>774.80131072977588</v>
      </c>
      <c r="M23" s="37">
        <f>C23*$Q$3*$Q$1</f>
        <v>80.141357888928013</v>
      </c>
      <c r="N23" s="35">
        <f t="shared" si="0"/>
        <v>854.94266861870392</v>
      </c>
    </row>
    <row r="24" spans="1:14" x14ac:dyDescent="0.25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41">
        <f>($C$53-C24)/(D24-C24)</f>
        <v>0.13441045075864813</v>
      </c>
      <c r="G24" s="88">
        <f>$Q$7/((C24*(1-F24))+(D24*F24))</f>
        <v>0.75122497093492424</v>
      </c>
      <c r="H24" s="67">
        <f t="shared" si="1"/>
        <v>0.10097248696451551</v>
      </c>
      <c r="I24" s="25">
        <f>IF(H24&gt;$G$55,$G$58-(G24*(1-F24)-$G$55)/(PI()*('BPV Calcs'!$B$8/12)^2),"SEE EQN in Notes")</f>
        <v>0.8211537811347509</v>
      </c>
      <c r="J24" s="17"/>
      <c r="K24" s="36">
        <f>C24*$Q$3*$Q$2</f>
        <v>200.71411219812285</v>
      </c>
      <c r="L24" s="35">
        <f>B24+(C24*$Q$3*$Q$2)</f>
        <v>781.04015779812289</v>
      </c>
      <c r="M24" s="37">
        <f>C24*$Q$3*$Q$1</f>
        <v>79.862923327152004</v>
      </c>
      <c r="N24" s="35">
        <f t="shared" si="0"/>
        <v>860.90308112527487</v>
      </c>
    </row>
    <row r="25" spans="1:14" x14ac:dyDescent="0.25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41">
        <f>($C$53-C25)/(D25-C25)</f>
        <v>0.13119105233236464</v>
      </c>
      <c r="G25" s="88">
        <f>$Q$7/((C25*(1-F25))+(D25*F25))</f>
        <v>0.75122497093492424</v>
      </c>
      <c r="H25" s="67">
        <f t="shared" si="1"/>
        <v>9.8553994475302747E-2</v>
      </c>
      <c r="I25" s="25">
        <f>IF(H25&gt;$G$55,$G$58-(G25*(1-F25)-$G$55)/(PI()*('BPV Calcs'!$B$8/12)^2),"SEE EQN in Notes")</f>
        <v>0.80980217486963424</v>
      </c>
      <c r="J25" s="17"/>
      <c r="K25" s="36">
        <f>C25*$Q$3*$Q$2</f>
        <v>200.00774640071208</v>
      </c>
      <c r="L25" s="35">
        <f>B25+(C25*$Q$3*$Q$2)</f>
        <v>787.33477626071215</v>
      </c>
      <c r="M25" s="37">
        <f>C25*$Q$3*$Q$1</f>
        <v>79.581864676608006</v>
      </c>
      <c r="N25" s="35">
        <f t="shared" si="0"/>
        <v>866.91664093732015</v>
      </c>
    </row>
    <row r="26" spans="1:14" x14ac:dyDescent="0.25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41">
        <f>($C$53-C26)/(D26-C26)</f>
        <v>0.12789925363670013</v>
      </c>
      <c r="G26" s="88">
        <f>$Q$7/((C26*(1-F26))+(D26*F26))</f>
        <v>0.75122497093492413</v>
      </c>
      <c r="H26" s="67">
        <f t="shared" si="1"/>
        <v>9.6081113095828549E-2</v>
      </c>
      <c r="I26" s="25">
        <f>IF(H26&gt;$G$55,$G$58-(G26*(1-F26)-$G$55)/(PI()*('BPV Calcs'!$B$8/12)^2),"SEE EQN in Notes")</f>
        <v>0.79819528508794724</v>
      </c>
      <c r="J26" s="17"/>
      <c r="K26" s="36">
        <f>C26*$Q$3*$Q$2</f>
        <v>199.2943145899894</v>
      </c>
      <c r="L26" s="35">
        <f>B26+(C26*$Q$3*$Q$2)</f>
        <v>793.68469504998939</v>
      </c>
      <c r="M26" s="37">
        <f>C26*$Q$3*$Q$1</f>
        <v>79.297994502384014</v>
      </c>
      <c r="N26" s="35">
        <f t="shared" si="0"/>
        <v>872.98268955237336</v>
      </c>
    </row>
    <row r="27" spans="1:14" x14ac:dyDescent="0.25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41">
        <f>($C$53-C27)/(D27-C27)</f>
        <v>0.12453171014032675</v>
      </c>
      <c r="G27" s="88">
        <f>$Q$7/((C27*(1-F27))+(D27*F27))</f>
        <v>0.75122497093492413</v>
      </c>
      <c r="H27" s="67">
        <f t="shared" si="1"/>
        <v>9.3551330330643362E-2</v>
      </c>
      <c r="I27" s="25">
        <f>IF(H27&gt;$G$55,$G$58-(G27*(1-F27)-$G$55)/(PI()*('BPV Calcs'!$B$8/12)^2),"SEE EQN in Notes")</f>
        <v>0.78632131896452595</v>
      </c>
      <c r="J27" s="17"/>
      <c r="K27" s="36">
        <f>C27*$Q$3*$Q$2</f>
        <v>198.57358123217773</v>
      </c>
      <c r="L27" s="35">
        <f>B27+(C27*$Q$3*$Q$2)</f>
        <v>800.09112901217782</v>
      </c>
      <c r="M27" s="37">
        <f>C27*$Q$3*$Q$1</f>
        <v>79.011219087024003</v>
      </c>
      <c r="N27" s="35">
        <f t="shared" si="0"/>
        <v>879.10234809920178</v>
      </c>
    </row>
    <row r="28" spans="1:14" x14ac:dyDescent="0.25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41">
        <f>($C$53-C28)/(D28-C28)</f>
        <v>0.12108614470086151</v>
      </c>
      <c r="G28" s="88">
        <f>$Q$7/((C28*(1-F28))+(D28*F28))</f>
        <v>0.75122497093492424</v>
      </c>
      <c r="H28" s="67">
        <f t="shared" si="1"/>
        <v>9.0962935533526718E-2</v>
      </c>
      <c r="I28" s="25">
        <f>IF(H28&gt;$G$55,$G$58-(G28*(1-F28)-$G$55)/(PI()*('BPV Calcs'!$B$8/12)^2),"SEE EQN in Notes")</f>
        <v>0.7741722472900836</v>
      </c>
      <c r="J28" s="17"/>
      <c r="K28" s="36">
        <f>C28*$Q$3*$Q$2</f>
        <v>197.84554632727719</v>
      </c>
      <c r="L28" s="35">
        <f>B28+(C28*$Q$3*$Q$2)</f>
        <v>806.55262776727727</v>
      </c>
      <c r="M28" s="37">
        <f>C28*$Q$3*$Q$1</f>
        <v>78.721538430528014</v>
      </c>
      <c r="N28" s="35">
        <f t="shared" si="0"/>
        <v>885.27416619780524</v>
      </c>
    </row>
    <row r="29" spans="1:14" x14ac:dyDescent="0.25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41">
        <f>($C$53-C29)/(D29-C29)</f>
        <v>0.11755644588442445</v>
      </c>
      <c r="G29" s="88">
        <f>$Q$7/((C29*(1-F29))+(D29*F29))</f>
        <v>0.75122497093492424</v>
      </c>
      <c r="H29" s="67">
        <f t="shared" si="1"/>
        <v>8.8311337642739754E-2</v>
      </c>
      <c r="I29" s="25">
        <f>IF(H29&gt;$G$55,$G$58-(G29*(1-F29)-$G$55)/(PI()*('BPV Calcs'!$B$8/12)^2),"SEE EQN in Notes")</f>
        <v>0.76172652113468597</v>
      </c>
      <c r="J29" s="17"/>
      <c r="K29" s="36">
        <f>C29*$Q$3*$Q$2</f>
        <v>197.10950327395648</v>
      </c>
      <c r="L29" s="35">
        <f>B29+(C29*$Q$3*$Q$2)</f>
        <v>813.07138547395652</v>
      </c>
      <c r="M29" s="37">
        <f>C29*$Q$3*$Q$1</f>
        <v>78.428671380528002</v>
      </c>
      <c r="N29" s="35">
        <f t="shared" si="0"/>
        <v>891.50005685448457</v>
      </c>
    </row>
    <row r="30" spans="1:14" x14ac:dyDescent="0.25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41">
        <f>($C$53-C30)/(D30-C30)</f>
        <v>0.11394121977368245</v>
      </c>
      <c r="G30" s="88">
        <f>$Q$7/((C30*(1-F30))+(D30*F30))</f>
        <v>0.75122497093492424</v>
      </c>
      <c r="H30" s="67">
        <f t="shared" si="1"/>
        <v>8.5595489512774417E-2</v>
      </c>
      <c r="I30" s="25">
        <f>IF(H30&gt;$G$55,$G$58-(G30*(1-F30)-$G$55)/(PI()*('BPV Calcs'!$B$8/12)^2),"SEE EQN in Notes")</f>
        <v>0.74897922554260532</v>
      </c>
      <c r="J30" s="17"/>
      <c r="K30" s="36">
        <f>C30*$Q$3*$Q$2</f>
        <v>196.36568760599275</v>
      </c>
      <c r="L30" s="35">
        <f>B30+(C30*$Q$3*$Q$2)</f>
        <v>819.64618728599271</v>
      </c>
      <c r="M30" s="37">
        <f>C30*$Q$3*$Q$1</f>
        <v>78.132711654480005</v>
      </c>
      <c r="N30" s="35">
        <f t="shared" si="0"/>
        <v>897.77889894047269</v>
      </c>
    </row>
    <row r="31" spans="1:14" x14ac:dyDescent="0.25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41">
        <f>($C$53-C31)/(D31-C31)</f>
        <v>0.11023518674553594</v>
      </c>
      <c r="G31" s="88">
        <f>$Q$7/((C31*(1-F31))+(D31*F31))</f>
        <v>0.75122497093492413</v>
      </c>
      <c r="H31" s="67">
        <f t="shared" si="1"/>
        <v>8.2811424958921173E-2</v>
      </c>
      <c r="I31" s="25">
        <f>IF(H31&gt;$G$55,$G$58-(G31*(1-F31)-$G$55)/(PI()*('BPV Calcs'!$B$8/12)^2),"SEE EQN in Notes")</f>
        <v>0.73591174455063557</v>
      </c>
      <c r="J31" s="17"/>
      <c r="K31" s="36">
        <f>C31*$Q$3*$Q$2</f>
        <v>195.61362825583177</v>
      </c>
      <c r="L31" s="35">
        <f>B31+(C31*$Q$3*$Q$2)</f>
        <v>826.27801251583173</v>
      </c>
      <c r="M31" s="37">
        <f>C31*$Q$3*$Q$1</f>
        <v>77.833471817472002</v>
      </c>
      <c r="N31" s="35">
        <f t="shared" si="0"/>
        <v>904.11148433330368</v>
      </c>
    </row>
    <row r="32" spans="1:14" x14ac:dyDescent="0.25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41">
        <f>($C$53-C32)/(D32-C32)</f>
        <v>0.10643407956180023</v>
      </c>
      <c r="G32" s="88">
        <f>$Q$7/((C32*(1-F32))+(D32*F32))</f>
        <v>0.75122497093492424</v>
      </c>
      <c r="H32" s="67">
        <f t="shared" si="1"/>
        <v>7.9955938325298792E-2</v>
      </c>
      <c r="I32" s="25">
        <f>IF(H32&gt;$G$55,$G$58-(G32*(1-F32)-$G$55)/(PI()*('BPV Calcs'!$B$8/12)^2),"SEE EQN in Notes")</f>
        <v>0.72250903186710858</v>
      </c>
      <c r="J32" s="17"/>
      <c r="K32" s="36">
        <f>C32*$Q$3*$Q$2</f>
        <v>194.85308968969659</v>
      </c>
      <c r="L32" s="35">
        <f>B32+(C32*$Q$3*$Q$2)</f>
        <v>832.96662562969664</v>
      </c>
      <c r="M32" s="37">
        <f>C32*$Q$3*$Q$1</f>
        <v>77.530858152048012</v>
      </c>
      <c r="N32" s="35">
        <f t="shared" si="0"/>
        <v>910.49748378174468</v>
      </c>
    </row>
    <row r="33" spans="1:16" x14ac:dyDescent="0.25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41">
        <f>($C$53-C33)/(D33-C33)</f>
        <v>0.10253210256655709</v>
      </c>
      <c r="G33" s="88">
        <f>$Q$7/((C33*(1-F33))+(D33*F33))</f>
        <v>0.75122497093492424</v>
      </c>
      <c r="H33" s="67">
        <f t="shared" si="1"/>
        <v>7.7024675770458517E-2</v>
      </c>
      <c r="I33" s="25">
        <f>IF(H33&gt;$G$55,$G$58-(G33*(1-F33)-$G$55)/(PI()*('BPV Calcs'!$B$8/12)^2),"SEE EQN in Notes")</f>
        <v>0.70875065199591081</v>
      </c>
      <c r="J33" s="17"/>
      <c r="K33" s="36">
        <f>C33*$Q$3*$Q$2</f>
        <v>194.08360084003297</v>
      </c>
      <c r="L33" s="35">
        <f>B33+(C33*$Q$3*$Q$2)</f>
        <v>839.71155556003305</v>
      </c>
      <c r="M33" s="37">
        <f>C33*$Q$3*$Q$1</f>
        <v>77.224683223295997</v>
      </c>
      <c r="N33" s="35">
        <f t="shared" si="0"/>
        <v>916.93623878332903</v>
      </c>
    </row>
    <row r="34" spans="1:16" x14ac:dyDescent="0.25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41">
        <f>($C$53-C34)/(D34-C34)</f>
        <v>9.8524459836365458E-2</v>
      </c>
      <c r="G34" s="88">
        <f>$Q$7/((C34*(1-F34))+(D34*F34))</f>
        <v>0.75122497093492435</v>
      </c>
      <c r="H34" s="67">
        <f t="shared" si="1"/>
        <v>7.4014034476952761E-2</v>
      </c>
      <c r="I34" s="25">
        <f>IF(H34&gt;$G$55,$G$58-(G34*(1-F34)-$G$55)/(PI()*('BPV Calcs'!$B$8/12)^2),"SEE EQN in Notes")</f>
        <v>0.69461969449994321</v>
      </c>
      <c r="J34" s="17"/>
      <c r="K34" s="36">
        <f>C34*$Q$3*$Q$2</f>
        <v>193.30492617306399</v>
      </c>
      <c r="L34" s="35">
        <f>B34+(C34*$Q$3*$Q$2)</f>
        <v>846.515467533064</v>
      </c>
      <c r="M34" s="37">
        <f>C34*$Q$3*$Q$1</f>
        <v>76.914853313760005</v>
      </c>
      <c r="N34" s="35">
        <f t="shared" si="0"/>
        <v>923.43032084682397</v>
      </c>
    </row>
    <row r="35" spans="1:16" x14ac:dyDescent="0.25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41">
        <f>($C$53-C35)/(D35-C35)</f>
        <v>9.4404755900095283E-2</v>
      </c>
      <c r="G35" s="88">
        <f>$Q$7/((C35*(1-F35))+(D35*F35))</f>
        <v>0.75122497093492435</v>
      </c>
      <c r="H35" s="67">
        <f t="shared" si="1"/>
        <v>7.0919210007167707E-2</v>
      </c>
      <c r="I35" s="25">
        <f>IF(H35&gt;$G$55,$G$58-(G35*(1-F35)-$G$55)/(PI()*('BPV Calcs'!$B$8/12)^2),"SEE EQN in Notes")</f>
        <v>0.68009360893327475</v>
      </c>
      <c r="J35" s="17"/>
      <c r="K35" s="36">
        <f>C35*$Q$3*$Q$2</f>
        <v>192.51659462123538</v>
      </c>
      <c r="L35" s="35">
        <f>B35+(C35*$Q$3*$Q$2)</f>
        <v>853.37498972123547</v>
      </c>
      <c r="M35" s="37">
        <f>C35*$Q$3*$Q$1</f>
        <v>76.601180988528014</v>
      </c>
      <c r="N35" s="35">
        <f t="shared" si="0"/>
        <v>929.97617070976344</v>
      </c>
    </row>
    <row r="36" spans="1:16" x14ac:dyDescent="0.25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41">
        <f>($C$53-C36)/(D36-C36)</f>
        <v>9.0167576361954008E-2</v>
      </c>
      <c r="G36" s="88">
        <f>$Q$7/((C36*(1-F36))+(D36*F36))</f>
        <v>0.75122497093492424</v>
      </c>
      <c r="H36" s="67">
        <f t="shared" si="1"/>
        <v>6.7736134931781461E-2</v>
      </c>
      <c r="I36" s="25">
        <f>IF(H36&gt;$G$55,$G$58-(G36*(1-F36)-$G$55)/(PI()*('BPV Calcs'!$B$8/12)^2),"SEE EQN in Notes")</f>
        <v>0.66515330412387197</v>
      </c>
      <c r="J36" s="17"/>
      <c r="K36" s="36">
        <f>C36*$Q$3*$Q$2</f>
        <v>191.71837065077017</v>
      </c>
      <c r="L36" s="35">
        <f>B36+(C36*$Q$3*$Q$2)</f>
        <v>860.29423773077019</v>
      </c>
      <c r="M36" s="37">
        <f>C36*$Q$3*$Q$1</f>
        <v>76.283572530144014</v>
      </c>
      <c r="N36" s="35">
        <f t="shared" si="0"/>
        <v>936.57781026091425</v>
      </c>
    </row>
    <row r="37" spans="1:16" x14ac:dyDescent="0.25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41">
        <f>($C$53-C37)/(D37-C37)</f>
        <v>8.5805817247007074E-2</v>
      </c>
      <c r="G37" s="88">
        <f>$Q$7/((C37*(1-F37))+(D37*F37))</f>
        <v>0.75122497093492424</v>
      </c>
      <c r="H37" s="67">
        <f t="shared" si="1"/>
        <v>6.4459472567430315E-2</v>
      </c>
      <c r="I37" s="25">
        <f>IF(H37&gt;$G$55,$G$58-(G37*(1-F37)-$G$55)/(PI()*('BPV Calcs'!$B$8/12)^2),"SEE EQN in Notes")</f>
        <v>0.64977373143975337</v>
      </c>
      <c r="J37" s="17"/>
      <c r="K37" s="36">
        <f>C37*$Q$3*$Q$2</f>
        <v>190.9097831941142</v>
      </c>
      <c r="L37" s="35">
        <f>B37+(C37*$Q$3*$Q$2)</f>
        <v>867.26983973411416</v>
      </c>
      <c r="M37" s="37">
        <f>C37*$Q$3*$Q$1</f>
        <v>75.96184050369601</v>
      </c>
      <c r="N37" s="35">
        <f t="shared" si="0"/>
        <v>943.23168023781022</v>
      </c>
    </row>
    <row r="38" spans="1:16" x14ac:dyDescent="0.25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41">
        <f>($C$53-C38)/(D38-C38)</f>
        <v>8.1311947956176495E-2</v>
      </c>
      <c r="G38" s="88">
        <f>$Q$7/((C38*(1-F38))+(D38*F38))</f>
        <v>0.75122497093492424</v>
      </c>
      <c r="H38" s="67">
        <f t="shared" si="1"/>
        <v>6.1083565740040757E-2</v>
      </c>
      <c r="I38" s="25">
        <f>IF(H38&gt;$G$55,$G$58-(G38*(1-F38)-$G$55)/(PI()*('BPV Calcs'!$B$8/12)^2),"SEE EQN in Notes")</f>
        <v>0.63392833797122883</v>
      </c>
      <c r="J38" s="17"/>
      <c r="K38" s="36">
        <f>C38*$Q$3*$Q$2</f>
        <v>190.0903611837133</v>
      </c>
      <c r="L38" s="35">
        <f>B38+(C38*$Q$3*$Q$2)</f>
        <v>874.30277504371327</v>
      </c>
      <c r="M38" s="37">
        <f>C38*$Q$3*$Q$1</f>
        <v>75.63579747427201</v>
      </c>
      <c r="N38" s="35">
        <f t="shared" si="0"/>
        <v>949.93857251798522</v>
      </c>
    </row>
    <row r="39" spans="1:16" x14ac:dyDescent="0.25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41">
        <f>($C$53-C39)/(D39-C39)</f>
        <v>7.6677969006389013E-2</v>
      </c>
      <c r="G39" s="88">
        <f>$Q$7/((C39*(1-F39))+(D39*F39))</f>
        <v>0.75122497093492424</v>
      </c>
      <c r="H39" s="67">
        <f t="shared" si="1"/>
        <v>5.7602405038173606E-2</v>
      </c>
      <c r="I39" s="25">
        <f>IF(H39&gt;$G$55,$G$58-(G39*(1-F39)-$G$55)/(PI()*('BPV Calcs'!$B$8/12)^2),"SEE EQN in Notes")</f>
        <v>0.61758891752256018</v>
      </c>
      <c r="J39" s="17"/>
      <c r="K39" s="36">
        <f>C39*$Q$3*$Q$2</f>
        <v>189.25963355201344</v>
      </c>
      <c r="L39" s="35">
        <f>B39+(C39*$Q$3*$Q$2)</f>
        <v>881.39402297201354</v>
      </c>
      <c r="M39" s="37">
        <f>C39*$Q$3*$Q$1</f>
        <v>75.305256006960008</v>
      </c>
      <c r="N39" s="35">
        <f t="shared" si="0"/>
        <v>956.69927897897355</v>
      </c>
    </row>
    <row r="40" spans="1:16" x14ac:dyDescent="0.25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41">
        <f>($C$53-C40)/(D40-C40)</f>
        <v>7.1896792063500151E-2</v>
      </c>
      <c r="G40" s="88">
        <f>$Q$7/((C40*(1-F40))+(D40*F40))</f>
        <v>0.75122497093492424</v>
      </c>
      <c r="H40" s="67">
        <f t="shared" si="1"/>
        <v>5.4010665528217192E-2</v>
      </c>
      <c r="I40" s="25">
        <f>IF(H40&gt;$G$55,$G$58-(G40*(1-F40)-$G$55)/(PI()*('BPV Calcs'!$B$8/12)^2),"SEE EQN in Notes")</f>
        <v>0.60073047661123002</v>
      </c>
      <c r="J40" s="17"/>
      <c r="K40" s="36">
        <f>C40*$Q$3*$Q$2</f>
        <v>188.41736476523749</v>
      </c>
      <c r="L40" s="35">
        <f>B40+(C40*$Q$3*$Q$2)</f>
        <v>888.54479836523751</v>
      </c>
      <c r="M40" s="37">
        <f>C40*$Q$3*$Q$1</f>
        <v>74.970122384304005</v>
      </c>
      <c r="N40" s="35">
        <f t="shared" si="0"/>
        <v>963.51492074954149</v>
      </c>
    </row>
    <row r="41" spans="1:16" x14ac:dyDescent="0.25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41">
        <f>($C$53-C41)/(D41-C41)</f>
        <v>6.6956521460969767E-2</v>
      </c>
      <c r="G41" s="88">
        <f>$Q$7/((C41*(1-F41))+(D41*F41))</f>
        <v>0.75122497093492424</v>
      </c>
      <c r="H41" s="67">
        <f t="shared" si="1"/>
        <v>5.0299410888420645E-2</v>
      </c>
      <c r="I41" s="25">
        <f>IF(H41&gt;$G$55,$G$58-(G41*(1-F41)-$G$55)/(PI()*('BPV Calcs'!$B$8/12)^2),"SEE EQN in Notes")</f>
        <v>0.58331107108962232</v>
      </c>
      <c r="J41" s="17"/>
      <c r="K41" s="36">
        <f>C41*$Q$3*$Q$2</f>
        <v>187.56261268827728</v>
      </c>
      <c r="L41" s="35">
        <f>B41+(C41*$Q$3*$Q$2)</f>
        <v>895.75125832827734</v>
      </c>
      <c r="M41" s="37">
        <f>C41*$Q$3*$Q$1</f>
        <v>74.630021736480018</v>
      </c>
      <c r="N41" s="35">
        <f t="shared" si="0"/>
        <v>970.38128006475733</v>
      </c>
    </row>
    <row r="42" spans="1:16" x14ac:dyDescent="0.25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41">
        <f>($C$53-C42)/(D42-C42)</f>
        <v>6.1847405437448669E-2</v>
      </c>
      <c r="G42" s="88">
        <f>$Q$7/((C42*(1-F42))+(D42*F42))</f>
        <v>0.75122497093492424</v>
      </c>
      <c r="H42" s="67">
        <f t="shared" si="1"/>
        <v>4.6461315352147849E-2</v>
      </c>
      <c r="I42" s="25">
        <f>IF(H42&gt;$G$55,$G$58-(G42*(1-F42)-$G$55)/(PI()*('BPV Calcs'!$B$8/12)^2),"SEE EQN in Notes")</f>
        <v>0.56529631622476284</v>
      </c>
      <c r="J42" s="17"/>
      <c r="K42" s="36">
        <f>C42*$Q$3*$Q$2</f>
        <v>186.69490625357855</v>
      </c>
      <c r="L42" s="35">
        <f>B42+(C42*$Q$3*$Q$2)</f>
        <v>903.01728293357849</v>
      </c>
      <c r="M42" s="37">
        <f>C42*$Q$3*$Q$1</f>
        <v>74.284766628575994</v>
      </c>
      <c r="N42" s="35">
        <f t="shared" si="0"/>
        <v>977.30204956215448</v>
      </c>
    </row>
    <row r="43" spans="1:16" x14ac:dyDescent="0.25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41">
        <f>($C$53-C43)/(D43-C43)</f>
        <v>5.6559004365802502E-2</v>
      </c>
      <c r="G43" s="88">
        <f>$Q$7/((C43*(1-F43))+(D43*F43))</f>
        <v>0.75122497093492424</v>
      </c>
      <c r="H43" s="67">
        <f t="shared" si="1"/>
        <v>4.2488536410808235E-2</v>
      </c>
      <c r="I43" s="25">
        <f>IF(H43&gt;$G$55,$G$58-(G43*(1-F43)-$G$55)/(PI()*('BPV Calcs'!$B$8/12)^2),"SEE EQN in Notes")</f>
        <v>0.54664940186733357</v>
      </c>
      <c r="J43" s="17"/>
      <c r="K43" s="36">
        <f>C43*$Q$3*$Q$2</f>
        <v>185.81377439358727</v>
      </c>
      <c r="L43" s="35">
        <f>B43+(C43*$Q$3*$Q$2)</f>
        <v>910.34240111358736</v>
      </c>
      <c r="M43" s="37">
        <f>C43*$Q$3*$Q$1</f>
        <v>73.934169625679999</v>
      </c>
      <c r="N43" s="35">
        <f t="shared" si="0"/>
        <v>984.2765707392673</v>
      </c>
    </row>
    <row r="44" spans="1:16" x14ac:dyDescent="0.25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41">
        <f>($C$53-C44)/(D44-C44)</f>
        <v>5.1078607093820678E-2</v>
      </c>
      <c r="G44" s="88">
        <f>$Q$7/((C44*(1-F44))+(D44*F44))</f>
        <v>0.75122497093492424</v>
      </c>
      <c r="H44" s="67">
        <f t="shared" si="1"/>
        <v>3.8371525129451856E-2</v>
      </c>
      <c r="I44" s="25">
        <f>IF(H44&gt;$G$55,$G$58-(G44*(1-F44)-$G$55)/(PI()*('BPV Calcs'!$B$8/12)^2),"SEE EQN in Notes")</f>
        <v>0.52732550846536741</v>
      </c>
      <c r="J44" s="17"/>
      <c r="K44" s="36">
        <f>C44*$Q$3*$Q$2</f>
        <v>184.91851050697227</v>
      </c>
      <c r="L44" s="35">
        <f>B44+(C44*$Q$3*$Q$2)</f>
        <v>917.72445588697224</v>
      </c>
      <c r="M44" s="37">
        <f>C44*$Q$3*$Q$1</f>
        <v>73.577949575424014</v>
      </c>
      <c r="N44" s="35">
        <f t="shared" si="0"/>
        <v>991.30240546239622</v>
      </c>
    </row>
    <row r="45" spans="1:16" x14ac:dyDescent="0.25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41">
        <f>($C$53-C45)/(D45-C45)</f>
        <v>4.5391024185220959E-2</v>
      </c>
      <c r="G45" s="88">
        <f>$Q$7/((C45*(1-F45))+(D45*F45))</f>
        <v>0.75122497093492435</v>
      </c>
      <c r="H45" s="67">
        <f t="shared" si="1"/>
        <v>3.4098870824249061E-2</v>
      </c>
      <c r="I45" s="25" t="str">
        <f>IF(H45&gt;$G$55,$G$58-(G45*(1-F45)-$G$55)/(PI()*('BPV Calcs'!$B$8/12)^2),"SEE EQN in Notes")</f>
        <v>SEE EQN in Notes</v>
      </c>
      <c r="J45" s="17"/>
      <c r="K45" s="36">
        <f>C45*$Q$3*$Q$2</f>
        <v>184.00817245862527</v>
      </c>
      <c r="L45" s="35">
        <f>B45+(C45*$Q$3*$Q$2)</f>
        <v>925.16540587862528</v>
      </c>
      <c r="M45" s="37">
        <f>C45*$Q$3*$Q$1</f>
        <v>73.215731607984011</v>
      </c>
      <c r="N45" s="35">
        <f t="shared" si="0"/>
        <v>998.3811374866093</v>
      </c>
    </row>
    <row r="46" spans="1:16" x14ac:dyDescent="0.25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41">
        <f>($C$53-C46)/(D46-C46)</f>
        <v>3.9483036942300216E-2</v>
      </c>
      <c r="G46" s="88">
        <f>$Q$7/((C46*(1-F46))+(D46*F46))</f>
        <v>0.75122497093492435</v>
      </c>
      <c r="H46" s="67">
        <f t="shared" si="1"/>
        <v>2.9660643279402023E-2</v>
      </c>
      <c r="I46" s="25" t="str">
        <f>IF(H46&gt;$G$55,$G$58-(G46*(1-F46)-$G$55)/(PI()*('BPV Calcs'!$B$8/12)^2),"SEE EQN in Notes")</f>
        <v>SEE EQN in Notes</v>
      </c>
      <c r="J46" s="17"/>
      <c r="K46" s="36">
        <f>C46*$Q$3*$Q$2</f>
        <v>183.08228918099206</v>
      </c>
      <c r="L46" s="35">
        <f>B46+(C46*$Q$3*$Q$2)</f>
        <v>932.66332964099206</v>
      </c>
      <c r="M46" s="37">
        <f>C46*$Q$3*$Q$1</f>
        <v>72.847328288447997</v>
      </c>
      <c r="N46" s="35">
        <f t="shared" si="0"/>
        <v>1005.5106579294401</v>
      </c>
    </row>
    <row r="47" spans="1:16" x14ac:dyDescent="0.25">
      <c r="A47" s="90">
        <v>70</v>
      </c>
      <c r="B47" s="91">
        <f>B46+(((B48-B46)/($A$48-$A$46))*($A$47-$A$46))</f>
        <v>751.46975752666663</v>
      </c>
      <c r="C47" s="44">
        <f>C46+(((C48-C46)/($A$48-$A$46))*($A$47-$A$46))</f>
        <v>1.5065010984888887</v>
      </c>
      <c r="D47" s="45">
        <f>D46+(((D48-D46)/($A$48-$A$46))*($A$47-$A$46))</f>
        <v>0.31840613902737774</v>
      </c>
      <c r="E47" s="17"/>
      <c r="F47" s="92">
        <f>($C$53-C47)/(D47-C47)</f>
        <v>3.8129176343576189E-2</v>
      </c>
      <c r="G47" s="93">
        <f>$Q$7/((C47*(1-F47))+(D47*F47))</f>
        <v>0.75122497093492424</v>
      </c>
      <c r="H47" s="51">
        <f t="shared" si="1"/>
        <v>2.8643589390475625E-2</v>
      </c>
      <c r="I47" s="45" t="str">
        <f>IF(H47&gt;$G$55,$G$58-(G47*(1-F47)-$G$55)/(PI()*('BPV Calcs'!$B$8/12)^2),"SEE EQN in Notes")</f>
        <v>SEE EQN in Notes</v>
      </c>
      <c r="J47" s="17"/>
      <c r="K47" s="41">
        <f t="shared" ref="K47:N47" si="2">K46+(((K48-K46)/($A$48-$A$46))*($A$47-$A$46))</f>
        <v>182.87287348276371</v>
      </c>
      <c r="L47" s="44">
        <f t="shared" si="2"/>
        <v>934.34263100943042</v>
      </c>
      <c r="M47" s="41">
        <f t="shared" si="2"/>
        <v>72.764003057013326</v>
      </c>
      <c r="N47" s="44">
        <f t="shared" si="2"/>
        <v>1007.1066340664437</v>
      </c>
      <c r="O47" s="42" t="s">
        <v>34</v>
      </c>
      <c r="P47" s="66"/>
    </row>
    <row r="48" spans="1:16" x14ac:dyDescent="0.25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41">
        <f>($C$53-C48)/(D48-C48)</f>
        <v>3.3337176339955747E-2</v>
      </c>
      <c r="G48" s="88">
        <f>$Q$7/((C48*(1-F48))+(D48*F48))</f>
        <v>0.75122497093492424</v>
      </c>
      <c r="H48" s="67">
        <f t="shared" si="1"/>
        <v>2.50437193270357E-2</v>
      </c>
      <c r="I48" s="25" t="str">
        <f>IF(H48&gt;$G$55,$G$58-(G48*(1-F48)-$G$55)/(PI()*('BPV Calcs'!$B$8/12)^2),"SEE EQN in Notes")</f>
        <v>SEE EQN in Notes</v>
      </c>
      <c r="J48" s="17"/>
      <c r="K48" s="36">
        <f>C48*$Q$3*$Q$2</f>
        <v>182.13991853896454</v>
      </c>
      <c r="L48" s="35">
        <f>B48+(C48*$Q$3*$Q$2)</f>
        <v>940.22018579896439</v>
      </c>
      <c r="M48" s="37">
        <f>C48*$Q$3*$Q$1</f>
        <v>72.472364746992</v>
      </c>
      <c r="N48" s="35">
        <f t="shared" si="0"/>
        <v>1012.6925505459564</v>
      </c>
    </row>
    <row r="49" spans="1:16" x14ac:dyDescent="0.25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41">
        <f>($C$53-C49)/(D49-C49)</f>
        <v>2.693291798927008E-2</v>
      </c>
      <c r="G49" s="88">
        <f>$Q$7/((C49*(1-F49))+(D49*F49))</f>
        <v>0.75122497093492424</v>
      </c>
      <c r="H49" s="67">
        <f t="shared" si="1"/>
        <v>2.0232680533682115E-2</v>
      </c>
      <c r="I49" s="25" t="str">
        <f>IF(H49&gt;$G$55,$G$58-(G49*(1-F49)-$G$55)/(PI()*('BPV Calcs'!$B$8/12)^2),"SEE EQN in Notes")</f>
        <v>SEE EQN in Notes</v>
      </c>
      <c r="J49" s="17"/>
      <c r="K49" s="36">
        <f>C49*$Q$3*$Q$2</f>
        <v>181.17988286365727</v>
      </c>
      <c r="L49" s="35">
        <f>B49+(C49*$Q$3*$Q$2)</f>
        <v>947.83479668365726</v>
      </c>
      <c r="M49" s="37">
        <f>C49*$Q$3*$Q$1</f>
        <v>72.090372396335994</v>
      </c>
      <c r="N49" s="35">
        <f t="shared" si="0"/>
        <v>1019.9251690799932</v>
      </c>
    </row>
    <row r="50" spans="1:16" x14ac:dyDescent="0.25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41">
        <f>($C$53-C50)/(D50-C50)</f>
        <v>2.0249656851450533E-2</v>
      </c>
      <c r="G50" s="88">
        <f>$Q$7/((C50*(1-F50))+(D50*F50))</f>
        <v>0.75122497093492424</v>
      </c>
      <c r="H50" s="67">
        <f t="shared" si="1"/>
        <v>1.5212047879673117E-2</v>
      </c>
      <c r="I50" s="25" t="str">
        <f>IF(H50&gt;$G$55,$G$58-(G50*(1-F50)-$G$55)/(PI()*('BPV Calcs'!$B$8/12)^2),"SEE EQN in Notes")</f>
        <v>SEE EQN in Notes</v>
      </c>
      <c r="J50" s="17"/>
      <c r="K50" s="36">
        <f>C50*$Q$3*$Q$2</f>
        <v>180.20124001996211</v>
      </c>
      <c r="L50" s="35">
        <f>B50+(C50*$Q$3*$Q$2)</f>
        <v>955.50622015996214</v>
      </c>
      <c r="M50" s="37">
        <f>C50*$Q$3*$Q$1</f>
        <v>71.700976366656008</v>
      </c>
      <c r="N50" s="35">
        <f t="shared" si="0"/>
        <v>1027.2071965266182</v>
      </c>
    </row>
    <row r="51" spans="1:16" x14ac:dyDescent="0.25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41">
        <f>($C$53-C51)/(D51-C51)</f>
        <v>1.3264956550221583E-2</v>
      </c>
      <c r="G51" s="88">
        <f>$Q$7/((C51*(1-F51))+(D51*F51))</f>
        <v>0.75122497093492424</v>
      </c>
      <c r="H51" s="67">
        <f t="shared" si="1"/>
        <v>9.964966598893241E-3</v>
      </c>
      <c r="I51" s="25" t="str">
        <f>IF(H51&gt;$G$55,$G$58-(G51*(1-F51)-$G$55)/(PI()*('BPV Calcs'!$B$8/12)^2),"SEE EQN in Notes")</f>
        <v>SEE EQN in Notes</v>
      </c>
      <c r="J51" s="17"/>
      <c r="K51" s="36">
        <f>C51*$Q$3*$Q$2</f>
        <v>179.2030478727707</v>
      </c>
      <c r="L51" s="35">
        <f>B51+(C51*$Q$3*$Q$2)</f>
        <v>963.2349644727708</v>
      </c>
      <c r="M51" s="37">
        <f>C51*$Q$3*$Q$1</f>
        <v>71.303801788127998</v>
      </c>
      <c r="N51" s="35">
        <f t="shared" si="0"/>
        <v>1034.5387662608987</v>
      </c>
    </row>
    <row r="52" spans="1:16" x14ac:dyDescent="0.25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41">
        <f>($C$53-C52)/(D52-C52)</f>
        <v>5.9508601980526824E-3</v>
      </c>
      <c r="G52" s="88">
        <f>$Q$7/((C52*(1-F52))+(D52*F52))</f>
        <v>0.75122497093492424</v>
      </c>
      <c r="H52" s="67">
        <f t="shared" si="1"/>
        <v>4.4704347793199243E-3</v>
      </c>
      <c r="I52" s="25" t="str">
        <f>IF(H52&gt;$G$55,$G$58-(G52*(1-F52)-$G$55)/(PI()*('BPV Calcs'!$B$8/12)^2),"SEE EQN in Notes")</f>
        <v>SEE EQN in Notes</v>
      </c>
      <c r="J52" s="17"/>
      <c r="K52" s="36">
        <f>C52*$Q$3*$Q$2</f>
        <v>178.18389321942075</v>
      </c>
      <c r="L52" s="35">
        <f>B52+(C52*$Q$3*$Q$2)</f>
        <v>971.0196164194208</v>
      </c>
      <c r="M52" s="36">
        <f>C52*$Q$3*$Q$1</f>
        <v>70.898286356016001</v>
      </c>
      <c r="N52" s="35">
        <f t="shared" si="0"/>
        <v>1041.9179027754367</v>
      </c>
    </row>
    <row r="53" spans="1:16" x14ac:dyDescent="0.25">
      <c r="A53" s="90">
        <v>75</v>
      </c>
      <c r="B53" s="91">
        <f>B52+(((B54-B52)/($A$54-$A$52))*($A$53-$A$52))</f>
        <v>799.74517236666668</v>
      </c>
      <c r="C53" s="44">
        <f t="shared" ref="C53:D53" si="3">C52+(((C54-C52)/($A$54-$A$52))*($A$53-$A$52))</f>
        <v>1.4612000162666667</v>
      </c>
      <c r="D53" s="45">
        <f t="shared" si="3"/>
        <v>0.35142632153493331</v>
      </c>
      <c r="E53" s="67"/>
      <c r="F53" s="94">
        <f>($C$53-C53)/(D53-C53)</f>
        <v>0</v>
      </c>
      <c r="G53" s="95">
        <f>$Q$7/((C53*(1-F53))+(D53*F53))</f>
        <v>0.75122497093492424</v>
      </c>
      <c r="H53" s="96">
        <f t="shared" si="1"/>
        <v>0</v>
      </c>
      <c r="I53" s="45" t="str">
        <f>IF(H53&gt;$G$55,$G$58-(G53*(1-F53)-$G$55)/(PI()*('BPV Calcs'!$B$8/12)^2),"SEE EQN in Notes")</f>
        <v>SEE EQN in Notes</v>
      </c>
      <c r="J53" s="67"/>
      <c r="K53" s="41">
        <f>K52+(((K54-K52)/($A$54-$A$52))*($A$53-$A$52))</f>
        <v>177.3738140488434</v>
      </c>
      <c r="L53" s="45">
        <f t="shared" ref="L53:N53" si="4">L52+(((L54-L52)/($A$54-$A$52))*($A$53-$A$52))</f>
        <v>977.11898641550999</v>
      </c>
      <c r="M53" s="41">
        <f t="shared" si="4"/>
        <v>70.57596078568001</v>
      </c>
      <c r="N53" s="45">
        <f t="shared" si="4"/>
        <v>1047.69494720119</v>
      </c>
      <c r="O53" s="43" t="s">
        <v>34</v>
      </c>
      <c r="P53" s="43"/>
    </row>
    <row r="54" spans="1:16" x14ac:dyDescent="0.25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17"/>
      <c r="H54" s="17"/>
      <c r="I54" s="17"/>
      <c r="J54" s="17"/>
      <c r="K54" s="36">
        <f>C54*$Q$3*$Q$2</f>
        <v>177.14236285724985</v>
      </c>
      <c r="L54" s="35">
        <f>B54+(C54*$Q$3*$Q$2)</f>
        <v>978.86166355724981</v>
      </c>
      <c r="M54" s="37">
        <f>C54*$Q$3*$Q$1</f>
        <v>70.483867765584009</v>
      </c>
      <c r="N54" s="35">
        <f t="shared" si="0"/>
        <v>1049.3455313228337</v>
      </c>
    </row>
    <row r="55" spans="1:16" x14ac:dyDescent="0.25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 t="s">
        <v>48</v>
      </c>
      <c r="G55" s="17">
        <f>(2/3)*PI()*(('BPV Calcs'!B8/12)^3)</f>
        <v>3.6988348473322753E-2</v>
      </c>
      <c r="H55" s="17"/>
      <c r="I55" s="17"/>
      <c r="J55" s="17"/>
      <c r="K55" s="36">
        <f>C55*$Q$3*$Q$2</f>
        <v>176.07680804981857</v>
      </c>
      <c r="L55" s="35">
        <f>B55+(C55*$Q$3*$Q$2)</f>
        <v>986.75945714981867</v>
      </c>
      <c r="M55" s="37">
        <f>C55*$Q$3*$Q$1</f>
        <v>70.059889994640017</v>
      </c>
      <c r="N55" s="35">
        <f t="shared" si="0"/>
        <v>1056.8193471444588</v>
      </c>
    </row>
    <row r="56" spans="1:16" x14ac:dyDescent="0.25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 t="s">
        <v>50</v>
      </c>
      <c r="G56" s="17">
        <f>G4-(2*G55)</f>
        <v>0.67724827398827869</v>
      </c>
      <c r="H56" s="17"/>
      <c r="I56" s="17"/>
      <c r="J56" s="17"/>
      <c r="K56" s="36">
        <f>C56*$Q$3*$Q$2</f>
        <v>174.98581559446447</v>
      </c>
      <c r="L56" s="35">
        <f>B56+(C56*$Q$3*$Q$2)</f>
        <v>994.71158399446449</v>
      </c>
      <c r="M56" s="37">
        <f>C56*$Q$3*$Q$1</f>
        <v>69.625790738448003</v>
      </c>
      <c r="N56" s="35">
        <f t="shared" si="0"/>
        <v>1064.3373747329124</v>
      </c>
    </row>
    <row r="57" spans="1:16" x14ac:dyDescent="0.25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 t="s">
        <v>49</v>
      </c>
      <c r="G57" s="17">
        <f>G56/(PI()*(('BPV Calcs'!B8/12)^2))</f>
        <v>3.1787800807053701</v>
      </c>
      <c r="H57" s="17"/>
      <c r="I57" s="17"/>
      <c r="J57" s="17"/>
      <c r="K57" s="36">
        <f>C57*$Q$3*$Q$2</f>
        <v>173.86726568719408</v>
      </c>
      <c r="L57" s="35">
        <f>B57+(C57*$Q$3*$Q$2)</f>
        <v>1002.7173746671941</v>
      </c>
      <c r="M57" s="37">
        <f>C57*$Q$3*$Q$1</f>
        <v>69.180726539904001</v>
      </c>
      <c r="N57" s="35">
        <f t="shared" si="0"/>
        <v>1071.8981012070981</v>
      </c>
    </row>
    <row r="58" spans="1:16" x14ac:dyDescent="0.25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 t="s">
        <v>51</v>
      </c>
      <c r="G58" s="17">
        <f>G57+(2*'BPV Calcs'!B8/12)</f>
        <v>3.6996134140387036</v>
      </c>
      <c r="H58" s="17"/>
      <c r="I58" s="17"/>
      <c r="J58" s="17"/>
      <c r="K58" s="36">
        <f>C58*$Q$3*$Q$2</f>
        <v>172.71903852401377</v>
      </c>
      <c r="L58" s="35">
        <f>B58+(C58*$Q$3*$Q$2)</f>
        <v>1010.7761597440137</v>
      </c>
      <c r="M58" s="37">
        <f>C58*$Q$3*$Q$1</f>
        <v>68.723853941903997</v>
      </c>
      <c r="N58" s="35">
        <f t="shared" si="0"/>
        <v>1079.5000136859178</v>
      </c>
    </row>
    <row r="59" spans="1:16" x14ac:dyDescent="0.25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17"/>
      <c r="H59" s="17"/>
      <c r="I59" s="17"/>
      <c r="J59" s="17"/>
      <c r="K59" s="36">
        <f>C59*$Q$3*$Q$2</f>
        <v>171.53854323337595</v>
      </c>
      <c r="L59" s="35">
        <f>B59+(C59*$Q$3*$Q$2)</f>
        <v>1018.8867987333758</v>
      </c>
      <c r="M59" s="37">
        <f>C59*$Q$3*$Q$1</f>
        <v>68.254142052432002</v>
      </c>
      <c r="N59" s="35">
        <f t="shared" si="0"/>
        <v>1087.1409407858077</v>
      </c>
    </row>
    <row r="60" spans="1:16" x14ac:dyDescent="0.25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89"/>
      <c r="G60" s="89"/>
      <c r="H60" s="17"/>
      <c r="I60" s="17"/>
      <c r="J60" s="17"/>
      <c r="K60" s="36">
        <f>C60*$Q$3*$Q$2</f>
        <v>170.32318894373279</v>
      </c>
      <c r="L60" s="35">
        <f>B60+(C60*$Q$3*$Q$2)</f>
        <v>1027.0467007637328</v>
      </c>
      <c r="M60" s="37">
        <f>C60*$Q$3*$Q$1</f>
        <v>67.770559979471997</v>
      </c>
      <c r="N60" s="35">
        <f t="shared" si="0"/>
        <v>1094.8172607432048</v>
      </c>
    </row>
    <row r="61" spans="1:16" x14ac:dyDescent="0.25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17"/>
      <c r="H61" s="17"/>
      <c r="I61" s="17"/>
      <c r="J61" s="17"/>
      <c r="K61" s="36">
        <f>C61*$Q$3*$Q$2</f>
        <v>169.06944264842846</v>
      </c>
      <c r="L61" s="35">
        <f>B61+(C61*$Q$3*$Q$2)</f>
        <v>1035.2552335884284</v>
      </c>
      <c r="M61" s="37">
        <f>C61*$Q$3*$Q$1</f>
        <v>67.271701961183993</v>
      </c>
      <c r="N61" s="35">
        <f t="shared" si="0"/>
        <v>1102.5269355496123</v>
      </c>
    </row>
    <row r="62" spans="1:16" x14ac:dyDescent="0.25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17"/>
      <c r="H62" s="17"/>
      <c r="I62" s="17"/>
      <c r="J62" s="17"/>
      <c r="K62" s="36">
        <f>C62*$Q$3*$Q$2</f>
        <v>167.77400687458405</v>
      </c>
      <c r="L62" s="35">
        <f>B62+(C62*$Q$3*$Q$2)</f>
        <v>1043.5076493545841</v>
      </c>
      <c r="M62" s="37">
        <f>C62*$Q$3*$Q$1</f>
        <v>66.756255953183995</v>
      </c>
      <c r="N62" s="35">
        <f t="shared" si="0"/>
        <v>1110.2639053077683</v>
      </c>
    </row>
    <row r="63" spans="1:16" x14ac:dyDescent="0.25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17"/>
      <c r="H63" s="17"/>
      <c r="I63" s="17"/>
      <c r="J63" s="17"/>
      <c r="K63" s="36">
        <f>C63*$Q$3*$Q$2</f>
        <v>166.43217094665832</v>
      </c>
      <c r="L63" s="35">
        <f>B63+(C63*$Q$3*$Q$2)</f>
        <v>1051.8035885266584</v>
      </c>
      <c r="M63" s="37">
        <f>C63*$Q$3*$Q$1</f>
        <v>66.222347606352002</v>
      </c>
      <c r="N63" s="35">
        <f t="shared" si="0"/>
        <v>1118.0259361330104</v>
      </c>
    </row>
    <row r="64" spans="1:16" x14ac:dyDescent="0.25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17"/>
      <c r="H64" s="17"/>
      <c r="I64" s="17"/>
      <c r="J64" s="17"/>
      <c r="K64" s="36">
        <f>C64*$Q$3*$Q$2</f>
        <v>165.03875312155583</v>
      </c>
      <c r="L64" s="35">
        <f>B64+(C64*$Q$3*$Q$2)</f>
        <v>1060.1393197415559</v>
      </c>
      <c r="M64" s="37">
        <f>C64*$Q$3*$Q$1</f>
        <v>65.667915136656006</v>
      </c>
      <c r="N64" s="35">
        <f t="shared" si="0"/>
        <v>1125.8072348782121</v>
      </c>
    </row>
    <row r="65" spans="1:16" x14ac:dyDescent="0.25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17"/>
      <c r="H65" s="17"/>
      <c r="I65" s="17"/>
      <c r="J65" s="17"/>
      <c r="K65" s="36">
        <f>C65*$Q$3*$Q$2</f>
        <v>163.58786505485011</v>
      </c>
      <c r="L65" s="35">
        <f>B65+(C65*$Q$3*$Q$2)</f>
        <v>1068.5075042748501</v>
      </c>
      <c r="M65" s="37">
        <f>C65*$Q$3*$Q$1</f>
        <v>65.090615607696009</v>
      </c>
      <c r="N65" s="35">
        <f t="shared" si="0"/>
        <v>1133.5981198825461</v>
      </c>
    </row>
    <row r="66" spans="1:16" x14ac:dyDescent="0.25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17"/>
      <c r="H66" s="17"/>
      <c r="I66" s="17"/>
      <c r="J66" s="17"/>
      <c r="K66" s="36">
        <f>C66*$Q$3*$Q$2</f>
        <v>162.07220519945213</v>
      </c>
      <c r="L66" s="35">
        <f>B66+(C66*$Q$3*$Q$2)</f>
        <v>1076.9066420994523</v>
      </c>
      <c r="M66" s="37">
        <f>C66*$Q$3*$Q$1</f>
        <v>64.487543778336004</v>
      </c>
      <c r="N66" s="35">
        <f t="shared" si="0"/>
        <v>1141.3941858777882</v>
      </c>
    </row>
    <row r="67" spans="1:16" x14ac:dyDescent="0.25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17"/>
      <c r="H67" s="17"/>
      <c r="I67" s="17"/>
      <c r="J67" s="17"/>
      <c r="K67" s="36">
        <f>C67*$Q$3*$Q$2</f>
        <v>160.48258773805651</v>
      </c>
      <c r="L67" s="35">
        <f>B67+(C67*$Q$3*$Q$2)</f>
        <v>1085.3260970180565</v>
      </c>
      <c r="M67" s="37">
        <f>C67*$Q$3*$Q$1</f>
        <v>63.855044667792001</v>
      </c>
      <c r="N67" s="35">
        <f t="shared" si="0"/>
        <v>1149.1811416858486</v>
      </c>
    </row>
    <row r="68" spans="1:16" x14ac:dyDescent="0.25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17"/>
      <c r="H68" s="17"/>
      <c r="I68" s="17"/>
      <c r="J68" s="17"/>
      <c r="K68" s="36">
        <f>C68*$Q$3*$Q$2</f>
        <v>158.80817811691833</v>
      </c>
      <c r="L68" s="35">
        <f>B68+(C68*$Q$3*$Q$2)</f>
        <v>1093.7593856169185</v>
      </c>
      <c r="M68" s="37">
        <f>C68*$Q$3*$Q$1</f>
        <v>63.18880727308801</v>
      </c>
      <c r="N68" s="35">
        <f t="shared" ref="N68:N79" si="5">L68+M68</f>
        <v>1156.9481928900066</v>
      </c>
    </row>
    <row r="69" spans="1:16" x14ac:dyDescent="0.25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17"/>
      <c r="H69" s="17"/>
      <c r="I69" s="17"/>
      <c r="J69" s="17"/>
      <c r="K69" s="36">
        <f>C69*$Q$3*$Q$2</f>
        <v>157.0346087756368</v>
      </c>
      <c r="L69" s="35">
        <f>B69+(C69*$Q$3*$Q$2)</f>
        <v>1102.1950410956367</v>
      </c>
      <c r="M69" s="37">
        <f>C69*$Q$3*$Q$1</f>
        <v>62.483114829408009</v>
      </c>
      <c r="N69" s="35">
        <f t="shared" si="5"/>
        <v>1164.6781559250448</v>
      </c>
    </row>
    <row r="70" spans="1:16" x14ac:dyDescent="0.25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17"/>
      <c r="H70" s="17"/>
      <c r="I70" s="17"/>
      <c r="J70" s="17"/>
      <c r="K70" s="36">
        <f>C70*$Q$3*$Q$2</f>
        <v>155.14374361337809</v>
      </c>
      <c r="L70" s="35">
        <f>B70+(C70*$Q$3*$Q$2)</f>
        <v>1110.6149273533783</v>
      </c>
      <c r="M70" s="37">
        <f>C70*$Q$3*$Q$1</f>
        <v>61.730751092640013</v>
      </c>
      <c r="N70" s="35">
        <f t="shared" si="5"/>
        <v>1172.3456784460184</v>
      </c>
    </row>
    <row r="71" spans="1:16" x14ac:dyDescent="0.25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17"/>
      <c r="H71" s="17"/>
      <c r="I71" s="17"/>
      <c r="J71" s="17"/>
      <c r="K71" s="36">
        <f>C71*$Q$3*$Q$2</f>
        <v>153.11179371865882</v>
      </c>
      <c r="L71" s="35">
        <f>B71+(C71*$Q$3*$Q$2)</f>
        <v>1118.9996066186588</v>
      </c>
      <c r="M71" s="37">
        <f>C71*$Q$3*$Q$1</f>
        <v>60.922250599728002</v>
      </c>
      <c r="N71" s="35">
        <f t="shared" si="5"/>
        <v>1179.9218572183868</v>
      </c>
    </row>
    <row r="72" spans="1:16" x14ac:dyDescent="0.25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17"/>
      <c r="H72" s="17"/>
      <c r="I72" s="17"/>
      <c r="J72" s="17"/>
      <c r="K72" s="36">
        <f>C72*$Q$3*$Q$2</f>
        <v>150.90507776135911</v>
      </c>
      <c r="L72" s="35">
        <f>B72+(C72*$Q$3*$Q$2)</f>
        <v>1127.3211990813591</v>
      </c>
      <c r="M72" s="37">
        <f>C72*$Q$3*$Q$1</f>
        <v>60.044211754464001</v>
      </c>
      <c r="N72" s="35">
        <f t="shared" si="5"/>
        <v>1187.365410835823</v>
      </c>
    </row>
    <row r="73" spans="1:16" x14ac:dyDescent="0.25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17"/>
      <c r="H73" s="17"/>
      <c r="I73" s="17"/>
      <c r="J73" s="17"/>
      <c r="K73" s="36">
        <f>C73*$Q$3*$Q$2</f>
        <v>148.47625345228937</v>
      </c>
      <c r="L73" s="35">
        <f>B73+(C73*$Q$3*$Q$2)</f>
        <v>1135.5323624522894</v>
      </c>
      <c r="M73" s="37">
        <f>C73*$Q$3*$Q$1</f>
        <v>59.077797348192007</v>
      </c>
      <c r="N73" s="35">
        <f t="shared" si="5"/>
        <v>1194.6101598004814</v>
      </c>
    </row>
    <row r="74" spans="1:16" x14ac:dyDescent="0.25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17"/>
      <c r="H74" s="17"/>
      <c r="I74" s="17"/>
      <c r="J74" s="17"/>
      <c r="K74" s="36">
        <f>C74*$Q$3*$Q$2</f>
        <v>145.7532474556684</v>
      </c>
      <c r="L74" s="35">
        <f>B74+(C74*$Q$3*$Q$2)</f>
        <v>1143.5711760556683</v>
      </c>
      <c r="M74" s="37">
        <f>C74*$Q$3*$Q$1</f>
        <v>57.994329839376007</v>
      </c>
      <c r="N74" s="35">
        <f t="shared" si="5"/>
        <v>1201.5655058950442</v>
      </c>
    </row>
    <row r="75" spans="1:16" x14ac:dyDescent="0.25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17"/>
      <c r="H75" s="17"/>
      <c r="I75" s="17"/>
      <c r="J75" s="17"/>
      <c r="K75" s="36">
        <f>C75*$Q$3*$Q$2</f>
        <v>142.61782181541079</v>
      </c>
      <c r="L75" s="35">
        <f>B75+(C75*$Q$3*$Q$2)</f>
        <v>1151.3223026954108</v>
      </c>
      <c r="M75" s="37">
        <f>C75*$Q$3*$Q$1</f>
        <v>56.746763065104005</v>
      </c>
      <c r="N75" s="35">
        <f t="shared" si="5"/>
        <v>1208.0690657605148</v>
      </c>
    </row>
    <row r="76" spans="1:16" x14ac:dyDescent="0.25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17"/>
      <c r="H76" s="17"/>
      <c r="I76" s="17"/>
      <c r="J76" s="17"/>
      <c r="K76" s="36">
        <f>C76*$Q$3*$Q$2</f>
        <v>138.85304992284185</v>
      </c>
      <c r="L76" s="35">
        <f>B76+(C76*$Q$3*$Q$2)</f>
        <v>1158.5789684228419</v>
      </c>
      <c r="M76" s="37">
        <f>C76*$Q$3*$Q$1</f>
        <v>55.248783248400002</v>
      </c>
      <c r="N76" s="35">
        <f t="shared" si="5"/>
        <v>1213.8277516712419</v>
      </c>
    </row>
    <row r="77" spans="1:16" x14ac:dyDescent="0.25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17"/>
      <c r="H77" s="17"/>
      <c r="I77" s="17"/>
      <c r="J77" s="17"/>
      <c r="K77" s="36">
        <f>C77*$Q$3*$Q$2</f>
        <v>133.97867840653092</v>
      </c>
      <c r="L77" s="35">
        <f>B77+(C77*$Q$3*$Q$2)</f>
        <v>1164.872522906531</v>
      </c>
      <c r="M77" s="37">
        <f>C77*$Q$3*$Q$1</f>
        <v>53.309300496480006</v>
      </c>
      <c r="N77" s="35">
        <f t="shared" si="5"/>
        <v>1218.1818234030111</v>
      </c>
    </row>
    <row r="78" spans="1:16" x14ac:dyDescent="0.25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17"/>
      <c r="H78" s="17"/>
      <c r="I78" s="17"/>
      <c r="J78" s="17"/>
      <c r="K78" s="36">
        <f>C78*$Q$3*$Q$2</f>
        <v>126.43076298678214</v>
      </c>
      <c r="L78" s="35">
        <f>B78+(C78*$Q$3*$Q$2)</f>
        <v>1168.6622279467822</v>
      </c>
      <c r="M78" s="37">
        <f>C78*$Q$3*$Q$1</f>
        <v>50.306030901504002</v>
      </c>
      <c r="N78" s="35">
        <f t="shared" si="5"/>
        <v>1218.9682588482863</v>
      </c>
    </row>
    <row r="79" spans="1:16" x14ac:dyDescent="0.25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7"/>
      <c r="G79" s="17"/>
      <c r="H79" s="17"/>
      <c r="I79" s="17"/>
      <c r="J79" s="18"/>
      <c r="K79" s="40">
        <f>C79*$Q$3*$Q$2</f>
        <v>106.46385810385254</v>
      </c>
      <c r="L79" s="38">
        <f>B79+(C79*$Q$3*$Q$2)</f>
        <v>1157.2641681038526</v>
      </c>
      <c r="M79" s="39">
        <f>C79*$Q$3*$Q$1</f>
        <v>42.361321004016006</v>
      </c>
      <c r="N79" s="38">
        <f t="shared" si="5"/>
        <v>1199.6254891078686</v>
      </c>
      <c r="O79" s="52"/>
      <c r="P79" s="22"/>
    </row>
    <row r="80" spans="1:16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7">
    <mergeCell ref="F60:G60"/>
    <mergeCell ref="M2:N2"/>
    <mergeCell ref="K2:L2"/>
    <mergeCell ref="K1:N1"/>
    <mergeCell ref="A1:D1"/>
    <mergeCell ref="F1:F3"/>
    <mergeCell ref="G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BPV Calcs</vt:lpstr>
      <vt:lpstr>N2O Pressure Calcs</vt:lpstr>
      <vt:lpstr>N2O Ullage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2018-10-09T21:36:42Z</dcterms:modified>
</cp:coreProperties>
</file>