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DD Documents\Propulsion Github\Propulsion\"/>
    </mc:Choice>
  </mc:AlternateContent>
  <xr:revisionPtr revIDLastSave="0" documentId="13_ncr:1_{8F7F2C78-F569-4BC9-BC16-C6344FD25C05}" xr6:coauthVersionLast="37" xr6:coauthVersionMax="37" xr10:uidLastSave="{00000000-0000-0000-0000-000000000000}"/>
  <bookViews>
    <workbookView xWindow="0" yWindow="465" windowWidth="23640" windowHeight="20535" activeTab="1" xr2:uid="{838B0196-D158-479E-A7C6-911A07F6EFB7}"/>
  </bookViews>
  <sheets>
    <sheet name="BPV Calcs" sheetId="1" r:id="rId1"/>
    <sheet name="N2O Pressure Calcs" sheetId="2" r:id="rId2"/>
    <sheet name="N2O Ullage Calc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5" i="3" l="1"/>
  <c r="K46" i="3"/>
  <c r="K47" i="3"/>
  <c r="K48" i="3"/>
  <c r="K49" i="3"/>
  <c r="K50" i="3"/>
  <c r="K51" i="3"/>
  <c r="K52" i="3"/>
  <c r="K53" i="3"/>
  <c r="L53" i="3"/>
  <c r="P2" i="2"/>
  <c r="X3" i="3" l="1"/>
  <c r="U2" i="3" s="1"/>
  <c r="U7" i="3"/>
  <c r="G55" i="3"/>
  <c r="D53" i="3"/>
  <c r="C53" i="3"/>
  <c r="F45" i="3" s="1"/>
  <c r="B53" i="3"/>
  <c r="D47" i="3"/>
  <c r="C47" i="3"/>
  <c r="B47" i="3"/>
  <c r="M7" i="2"/>
  <c r="N7" i="3" l="1"/>
  <c r="N19" i="3"/>
  <c r="N31" i="3"/>
  <c r="N43" i="3"/>
  <c r="N8" i="3"/>
  <c r="N32" i="3"/>
  <c r="N44" i="3"/>
  <c r="O44" i="3" s="1"/>
  <c r="N20" i="3"/>
  <c r="O20" i="3" s="1"/>
  <c r="N9" i="3"/>
  <c r="O9" i="3" s="1"/>
  <c r="N21" i="3"/>
  <c r="O21" i="3" s="1"/>
  <c r="N33" i="3"/>
  <c r="O33" i="3" s="1"/>
  <c r="N45" i="3"/>
  <c r="O45" i="3" s="1"/>
  <c r="N36" i="3"/>
  <c r="N13" i="3"/>
  <c r="N38" i="3"/>
  <c r="N15" i="3"/>
  <c r="N40" i="3"/>
  <c r="N17" i="3"/>
  <c r="O17" i="3" s="1"/>
  <c r="N18" i="3"/>
  <c r="O18" i="3" s="1"/>
  <c r="N10" i="3"/>
  <c r="N22" i="3"/>
  <c r="O22" i="3" s="1"/>
  <c r="N34" i="3"/>
  <c r="O34" i="3" s="1"/>
  <c r="N46" i="3"/>
  <c r="O46" i="3" s="1"/>
  <c r="N37" i="3"/>
  <c r="O37" i="3" s="1"/>
  <c r="N26" i="3"/>
  <c r="N27" i="3"/>
  <c r="N28" i="3"/>
  <c r="N29" i="3"/>
  <c r="O29" i="3" s="1"/>
  <c r="N42" i="3"/>
  <c r="N11" i="3"/>
  <c r="N23" i="3"/>
  <c r="N35" i="3"/>
  <c r="O35" i="3" s="1"/>
  <c r="N47" i="3"/>
  <c r="N12" i="3"/>
  <c r="O12" i="3" s="1"/>
  <c r="N4" i="3"/>
  <c r="O4" i="3" s="1"/>
  <c r="P4" i="3" s="1"/>
  <c r="N25" i="3"/>
  <c r="O25" i="3" s="1"/>
  <c r="N14" i="3"/>
  <c r="N39" i="3"/>
  <c r="N16" i="3"/>
  <c r="N5" i="3"/>
  <c r="O5" i="3" s="1"/>
  <c r="N41" i="3"/>
  <c r="N30" i="3"/>
  <c r="N24" i="3"/>
  <c r="O24" i="3" s="1"/>
  <c r="N6" i="3"/>
  <c r="O6" i="3" s="1"/>
  <c r="O15" i="3"/>
  <c r="O27" i="3"/>
  <c r="O39" i="3"/>
  <c r="O40" i="3"/>
  <c r="O16" i="3"/>
  <c r="O28" i="3"/>
  <c r="O41" i="3"/>
  <c r="O23" i="3"/>
  <c r="O14" i="3"/>
  <c r="O30" i="3"/>
  <c r="O42" i="3"/>
  <c r="O38" i="3"/>
  <c r="O7" i="3"/>
  <c r="O19" i="3"/>
  <c r="O31" i="3"/>
  <c r="O43" i="3"/>
  <c r="O32" i="3"/>
  <c r="O10" i="3"/>
  <c r="O11" i="3"/>
  <c r="O47" i="3"/>
  <c r="O36" i="3"/>
  <c r="O13" i="3"/>
  <c r="O26" i="3"/>
  <c r="O8" i="3"/>
  <c r="F31" i="3"/>
  <c r="G31" i="3" s="1"/>
  <c r="H31" i="3" s="1"/>
  <c r="I31" i="3" s="1"/>
  <c r="F43" i="3"/>
  <c r="G43" i="3" s="1"/>
  <c r="H43" i="3" s="1"/>
  <c r="I43" i="3" s="1"/>
  <c r="F4" i="3"/>
  <c r="G4" i="3" s="1"/>
  <c r="F49" i="3"/>
  <c r="G49" i="3" s="1"/>
  <c r="H49" i="3" s="1"/>
  <c r="F46" i="3"/>
  <c r="G46" i="3" s="1"/>
  <c r="H46" i="3" s="1"/>
  <c r="F6" i="3"/>
  <c r="G6" i="3" s="1"/>
  <c r="H6" i="3" s="1"/>
  <c r="I6" i="3" s="1"/>
  <c r="F7" i="3"/>
  <c r="G7" i="3" s="1"/>
  <c r="H7" i="3" s="1"/>
  <c r="I7" i="3" s="1"/>
  <c r="F48" i="3"/>
  <c r="G48" i="3" s="1"/>
  <c r="H48" i="3" s="1"/>
  <c r="F50" i="3"/>
  <c r="G50" i="3" s="1"/>
  <c r="H50" i="3" s="1"/>
  <c r="F5" i="3"/>
  <c r="G5" i="3" s="1"/>
  <c r="H5" i="3" s="1"/>
  <c r="I5" i="3" s="1"/>
  <c r="F10" i="3"/>
  <c r="G10" i="3" s="1"/>
  <c r="H10" i="3" s="1"/>
  <c r="I10" i="3" s="1"/>
  <c r="F8" i="3"/>
  <c r="G8" i="3" s="1"/>
  <c r="H8" i="3" s="1"/>
  <c r="I8" i="3" s="1"/>
  <c r="F18" i="3"/>
  <c r="G18" i="3" s="1"/>
  <c r="H18" i="3" s="1"/>
  <c r="I18" i="3" s="1"/>
  <c r="F9" i="3"/>
  <c r="G9" i="3" s="1"/>
  <c r="H9" i="3" s="1"/>
  <c r="I9" i="3" s="1"/>
  <c r="F16" i="3"/>
  <c r="G16" i="3" s="1"/>
  <c r="H16" i="3" s="1"/>
  <c r="I16" i="3" s="1"/>
  <c r="F17" i="3"/>
  <c r="G17" i="3" s="1"/>
  <c r="H17" i="3" s="1"/>
  <c r="I17" i="3" s="1"/>
  <c r="F19" i="3"/>
  <c r="G19" i="3" s="1"/>
  <c r="H19" i="3" s="1"/>
  <c r="I19" i="3" s="1"/>
  <c r="F21" i="3"/>
  <c r="G21" i="3" s="1"/>
  <c r="H21" i="3" s="1"/>
  <c r="I21" i="3" s="1"/>
  <c r="F22" i="3"/>
  <c r="G22" i="3" s="1"/>
  <c r="H22" i="3" s="1"/>
  <c r="I22" i="3" s="1"/>
  <c r="F20" i="3"/>
  <c r="G20" i="3" s="1"/>
  <c r="H20" i="3" s="1"/>
  <c r="I20" i="3" s="1"/>
  <c r="F23" i="3"/>
  <c r="G23" i="3" s="1"/>
  <c r="H23" i="3" s="1"/>
  <c r="I23" i="3" s="1"/>
  <c r="F25" i="3"/>
  <c r="G25" i="3" s="1"/>
  <c r="H25" i="3" s="1"/>
  <c r="I25" i="3" s="1"/>
  <c r="F51" i="3"/>
  <c r="G51" i="3" s="1"/>
  <c r="H51" i="3" s="1"/>
  <c r="F27" i="3"/>
  <c r="G27" i="3" s="1"/>
  <c r="H27" i="3" s="1"/>
  <c r="I27" i="3" s="1"/>
  <c r="F33" i="3"/>
  <c r="G33" i="3" s="1"/>
  <c r="H33" i="3" s="1"/>
  <c r="I33" i="3" s="1"/>
  <c r="F12" i="3"/>
  <c r="G12" i="3" s="1"/>
  <c r="H12" i="3" s="1"/>
  <c r="I12" i="3" s="1"/>
  <c r="F35" i="3"/>
  <c r="G35" i="3" s="1"/>
  <c r="H35" i="3" s="1"/>
  <c r="I35" i="3" s="1"/>
  <c r="F13" i="3"/>
  <c r="G13" i="3" s="1"/>
  <c r="H13" i="3" s="1"/>
  <c r="I13" i="3" s="1"/>
  <c r="F37" i="3"/>
  <c r="G37" i="3" s="1"/>
  <c r="H37" i="3" s="1"/>
  <c r="I37" i="3" s="1"/>
  <c r="F14" i="3"/>
  <c r="G14" i="3" s="1"/>
  <c r="H14" i="3" s="1"/>
  <c r="I14" i="3" s="1"/>
  <c r="F39" i="3"/>
  <c r="G39" i="3" s="1"/>
  <c r="H39" i="3" s="1"/>
  <c r="I39" i="3" s="1"/>
  <c r="F11" i="3"/>
  <c r="G11" i="3" s="1"/>
  <c r="H11" i="3" s="1"/>
  <c r="I11" i="3" s="1"/>
  <c r="F15" i="3"/>
  <c r="G15" i="3" s="1"/>
  <c r="H15" i="3" s="1"/>
  <c r="I15" i="3" s="1"/>
  <c r="F41" i="3"/>
  <c r="G41" i="3" s="1"/>
  <c r="H41" i="3" s="1"/>
  <c r="I41" i="3" s="1"/>
  <c r="F47" i="3"/>
  <c r="G47" i="3" s="1"/>
  <c r="H47" i="3" s="1"/>
  <c r="F29" i="3"/>
  <c r="G29" i="3" s="1"/>
  <c r="H29" i="3" s="1"/>
  <c r="I29" i="3" s="1"/>
  <c r="F52" i="3"/>
  <c r="G52" i="3" s="1"/>
  <c r="H52" i="3" s="1"/>
  <c r="G45" i="3"/>
  <c r="H45" i="3" s="1"/>
  <c r="F53" i="3"/>
  <c r="G53" i="3" s="1"/>
  <c r="H53" i="3" s="1"/>
  <c r="F24" i="3"/>
  <c r="G24" i="3" s="1"/>
  <c r="H24" i="3" s="1"/>
  <c r="I24" i="3" s="1"/>
  <c r="F26" i="3"/>
  <c r="G26" i="3" s="1"/>
  <c r="H26" i="3" s="1"/>
  <c r="I26" i="3" s="1"/>
  <c r="F28" i="3"/>
  <c r="G28" i="3" s="1"/>
  <c r="H28" i="3" s="1"/>
  <c r="I28" i="3" s="1"/>
  <c r="F30" i="3"/>
  <c r="G30" i="3" s="1"/>
  <c r="H30" i="3" s="1"/>
  <c r="I30" i="3" s="1"/>
  <c r="F32" i="3"/>
  <c r="G32" i="3" s="1"/>
  <c r="H32" i="3" s="1"/>
  <c r="I32" i="3" s="1"/>
  <c r="F34" i="3"/>
  <c r="G34" i="3" s="1"/>
  <c r="H34" i="3" s="1"/>
  <c r="I34" i="3" s="1"/>
  <c r="F36" i="3"/>
  <c r="G36" i="3" s="1"/>
  <c r="H36" i="3" s="1"/>
  <c r="I36" i="3" s="1"/>
  <c r="F38" i="3"/>
  <c r="G38" i="3" s="1"/>
  <c r="H38" i="3" s="1"/>
  <c r="I38" i="3" s="1"/>
  <c r="F40" i="3"/>
  <c r="G40" i="3" s="1"/>
  <c r="H40" i="3" s="1"/>
  <c r="I40" i="3" s="1"/>
  <c r="F42" i="3"/>
  <c r="G42" i="3" s="1"/>
  <c r="H42" i="3" s="1"/>
  <c r="I42" i="3" s="1"/>
  <c r="F44" i="3"/>
  <c r="G44" i="3" s="1"/>
  <c r="H44" i="3" s="1"/>
  <c r="I44" i="3" s="1"/>
  <c r="D47" i="2"/>
  <c r="C47" i="2"/>
  <c r="B47" i="2"/>
  <c r="P3" i="2"/>
  <c r="C53" i="2"/>
  <c r="D53" i="2"/>
  <c r="B53" i="2"/>
  <c r="J42" i="3" l="1"/>
  <c r="J44" i="3"/>
  <c r="K44" i="3" s="1"/>
  <c r="P44" i="3"/>
  <c r="J33" i="3"/>
  <c r="K33" i="3" s="1"/>
  <c r="P33" i="3"/>
  <c r="Q33" i="3" s="1"/>
  <c r="R33" i="3" s="1"/>
  <c r="J29" i="3"/>
  <c r="K29" i="3" s="1"/>
  <c r="P29" i="3"/>
  <c r="Q29" i="3" s="1"/>
  <c r="R29" i="3" s="1"/>
  <c r="J10" i="3"/>
  <c r="J41" i="3"/>
  <c r="K41" i="3" s="1"/>
  <c r="P41" i="3"/>
  <c r="J23" i="3"/>
  <c r="K23" i="3" s="1"/>
  <c r="P23" i="3"/>
  <c r="Q23" i="3" s="1"/>
  <c r="R23" i="3" s="1"/>
  <c r="J32" i="3"/>
  <c r="K32" i="3" s="1"/>
  <c r="P32" i="3"/>
  <c r="Q32" i="3" s="1"/>
  <c r="R32" i="3" s="1"/>
  <c r="J30" i="3"/>
  <c r="J39" i="3"/>
  <c r="J22" i="3"/>
  <c r="K22" i="3" s="1"/>
  <c r="P22" i="3"/>
  <c r="Q22" i="3" s="1"/>
  <c r="R22" i="3" s="1"/>
  <c r="J7" i="3"/>
  <c r="K7" i="3" s="1"/>
  <c r="P7" i="3"/>
  <c r="Q7" i="3" s="1"/>
  <c r="R7" i="3" s="1"/>
  <c r="J40" i="3"/>
  <c r="K40" i="3" s="1"/>
  <c r="P40" i="3"/>
  <c r="J8" i="3"/>
  <c r="K8" i="3" s="1"/>
  <c r="P8" i="3"/>
  <c r="Q8" i="3" s="1"/>
  <c r="R8" i="3" s="1"/>
  <c r="J38" i="3"/>
  <c r="K38" i="3" s="1"/>
  <c r="P38" i="3"/>
  <c r="J36" i="3"/>
  <c r="K36" i="3" s="1"/>
  <c r="P36" i="3"/>
  <c r="Q36" i="3" s="1"/>
  <c r="R36" i="3" s="1"/>
  <c r="J34" i="3"/>
  <c r="K34" i="3" s="1"/>
  <c r="P34" i="3"/>
  <c r="Q34" i="3" s="1"/>
  <c r="R34" i="3" s="1"/>
  <c r="J11" i="3"/>
  <c r="K11" i="3" s="1"/>
  <c r="P11" i="3"/>
  <c r="Q11" i="3" s="1"/>
  <c r="R11" i="3" s="1"/>
  <c r="J28" i="3"/>
  <c r="K28" i="3" s="1"/>
  <c r="P28" i="3"/>
  <c r="Q28" i="3" s="1"/>
  <c r="R28" i="3" s="1"/>
  <c r="J14" i="3"/>
  <c r="K14" i="3" s="1"/>
  <c r="P14" i="3"/>
  <c r="Q14" i="3" s="1"/>
  <c r="R14" i="3" s="1"/>
  <c r="J21" i="3"/>
  <c r="K21" i="3" s="1"/>
  <c r="P21" i="3"/>
  <c r="Q21" i="3" s="1"/>
  <c r="R21" i="3" s="1"/>
  <c r="J6" i="3"/>
  <c r="J35" i="3"/>
  <c r="K35" i="3" s="1"/>
  <c r="P35" i="3"/>
  <c r="Q35" i="3" s="1"/>
  <c r="R35" i="3" s="1"/>
  <c r="J9" i="3"/>
  <c r="K9" i="3" s="1"/>
  <c r="P9" i="3"/>
  <c r="Q9" i="3" s="1"/>
  <c r="R9" i="3" s="1"/>
  <c r="J18" i="3"/>
  <c r="K18" i="3" s="1"/>
  <c r="P18" i="3"/>
  <c r="Q18" i="3" s="1"/>
  <c r="R18" i="3" s="1"/>
  <c r="J27" i="3"/>
  <c r="K27" i="3" s="1"/>
  <c r="P27" i="3"/>
  <c r="Q27" i="3" s="1"/>
  <c r="R27" i="3" s="1"/>
  <c r="J5" i="3"/>
  <c r="K5" i="3" s="1"/>
  <c r="P5" i="3"/>
  <c r="Q5" i="3" s="1"/>
  <c r="R5" i="3" s="1"/>
  <c r="J15" i="3"/>
  <c r="K15" i="3" s="1"/>
  <c r="P15" i="3"/>
  <c r="Q15" i="3" s="1"/>
  <c r="R15" i="3" s="1"/>
  <c r="J20" i="3"/>
  <c r="K20" i="3" s="1"/>
  <c r="P20" i="3"/>
  <c r="Q20" i="3" s="1"/>
  <c r="R20" i="3" s="1"/>
  <c r="J26" i="3"/>
  <c r="K26" i="3" s="1"/>
  <c r="P26" i="3"/>
  <c r="Q26" i="3" s="1"/>
  <c r="R26" i="3" s="1"/>
  <c r="J37" i="3"/>
  <c r="K37" i="3" s="1"/>
  <c r="P37" i="3"/>
  <c r="Q37" i="3" s="1"/>
  <c r="R37" i="3" s="1"/>
  <c r="J19" i="3"/>
  <c r="K19" i="3" s="1"/>
  <c r="P19" i="3"/>
  <c r="Q19" i="3" s="1"/>
  <c r="R19" i="3" s="1"/>
  <c r="J16" i="3"/>
  <c r="K16" i="3" s="1"/>
  <c r="P16" i="3"/>
  <c r="Q16" i="3" s="1"/>
  <c r="R16" i="3" s="1"/>
  <c r="J12" i="3"/>
  <c r="K12" i="3" s="1"/>
  <c r="P12" i="3"/>
  <c r="Q12" i="3" s="1"/>
  <c r="R12" i="3" s="1"/>
  <c r="J43" i="3"/>
  <c r="K43" i="3" s="1"/>
  <c r="P43" i="3"/>
  <c r="J31" i="3"/>
  <c r="K31" i="3" s="1"/>
  <c r="P31" i="3"/>
  <c r="Q31" i="3" s="1"/>
  <c r="R31" i="3" s="1"/>
  <c r="J25" i="3"/>
  <c r="K25" i="3" s="1"/>
  <c r="P25" i="3"/>
  <c r="Q25" i="3" s="1"/>
  <c r="R25" i="3" s="1"/>
  <c r="J24" i="3"/>
  <c r="K24" i="3" s="1"/>
  <c r="P24" i="3"/>
  <c r="Q24" i="3" s="1"/>
  <c r="R24" i="3" s="1"/>
  <c r="J13" i="3"/>
  <c r="K13" i="3" s="1"/>
  <c r="P13" i="3"/>
  <c r="Q13" i="3" s="1"/>
  <c r="R13" i="3" s="1"/>
  <c r="J17" i="3"/>
  <c r="K17" i="3" s="1"/>
  <c r="P17" i="3"/>
  <c r="Q17" i="3" s="1"/>
  <c r="R17" i="3" s="1"/>
  <c r="I48" i="3"/>
  <c r="L48" i="3"/>
  <c r="I51" i="3"/>
  <c r="L51" i="3"/>
  <c r="I46" i="3"/>
  <c r="L46" i="3"/>
  <c r="I49" i="3"/>
  <c r="L49" i="3"/>
  <c r="I53" i="3"/>
  <c r="I50" i="3"/>
  <c r="L50" i="3"/>
  <c r="I45" i="3"/>
  <c r="L45" i="3"/>
  <c r="I52" i="3"/>
  <c r="L52" i="3"/>
  <c r="I47" i="3"/>
  <c r="L47" i="3"/>
  <c r="H4" i="3"/>
  <c r="I4" i="3" s="1"/>
  <c r="G56" i="3"/>
  <c r="I33" i="2"/>
  <c r="I34" i="2"/>
  <c r="I35" i="2"/>
  <c r="I46" i="2"/>
  <c r="I61" i="2"/>
  <c r="I64" i="2"/>
  <c r="I68" i="2"/>
  <c r="I69" i="2"/>
  <c r="I71" i="2"/>
  <c r="I79" i="2"/>
  <c r="I78" i="2"/>
  <c r="I67" i="2"/>
  <c r="I66" i="2"/>
  <c r="I59" i="2"/>
  <c r="I58" i="2"/>
  <c r="I57" i="2"/>
  <c r="I56" i="2"/>
  <c r="I55" i="2"/>
  <c r="I54" i="2"/>
  <c r="I45" i="2"/>
  <c r="I42" i="2"/>
  <c r="I41" i="2"/>
  <c r="I40" i="2"/>
  <c r="I29" i="2"/>
  <c r="I28" i="2"/>
  <c r="I18" i="2"/>
  <c r="I17" i="2"/>
  <c r="I16" i="2"/>
  <c r="I9" i="2"/>
  <c r="I8" i="2"/>
  <c r="P39" i="3" l="1"/>
  <c r="K39" i="3"/>
  <c r="P30" i="3"/>
  <c r="Q30" i="3" s="1"/>
  <c r="R30" i="3" s="1"/>
  <c r="K30" i="3"/>
  <c r="P10" i="3"/>
  <c r="K10" i="3"/>
  <c r="P6" i="3"/>
  <c r="K6" i="3"/>
  <c r="P42" i="3"/>
  <c r="K42" i="3"/>
  <c r="Q6" i="3"/>
  <c r="R6" i="3" s="1"/>
  <c r="Q10" i="3"/>
  <c r="R10" i="3" s="1"/>
  <c r="S39" i="3"/>
  <c r="Q39" i="3"/>
  <c r="Q38" i="3"/>
  <c r="S38" i="3"/>
  <c r="S44" i="3"/>
  <c r="Q44" i="3"/>
  <c r="Q40" i="3"/>
  <c r="S40" i="3"/>
  <c r="S41" i="3"/>
  <c r="Q41" i="3"/>
  <c r="S42" i="3"/>
  <c r="Q42" i="3"/>
  <c r="P45" i="3"/>
  <c r="S43" i="3"/>
  <c r="Q43" i="3"/>
  <c r="P46" i="3"/>
  <c r="P47" i="3"/>
  <c r="G57" i="3"/>
  <c r="P1" i="2" s="1"/>
  <c r="M2" i="2" s="1"/>
  <c r="J4" i="3"/>
  <c r="I32" i="2"/>
  <c r="I23" i="2"/>
  <c r="I22" i="2"/>
  <c r="I21" i="2"/>
  <c r="I48" i="2"/>
  <c r="I47" i="2" s="1"/>
  <c r="I19" i="2"/>
  <c r="I73" i="2"/>
  <c r="I11" i="2"/>
  <c r="I72" i="2"/>
  <c r="I44" i="2"/>
  <c r="I10" i="2"/>
  <c r="I43" i="2"/>
  <c r="I31" i="2"/>
  <c r="I7" i="2"/>
  <c r="I30" i="2"/>
  <c r="I6" i="2"/>
  <c r="I60" i="2"/>
  <c r="I5" i="2"/>
  <c r="I20" i="2"/>
  <c r="I4" i="2"/>
  <c r="I77" i="2"/>
  <c r="I65" i="2"/>
  <c r="I52" i="2"/>
  <c r="I53" i="2" s="1"/>
  <c r="I39" i="2"/>
  <c r="I27" i="2"/>
  <c r="I15" i="2"/>
  <c r="I70" i="2"/>
  <c r="I76" i="2"/>
  <c r="I51" i="2"/>
  <c r="I38" i="2"/>
  <c r="I26" i="2"/>
  <c r="I14" i="2"/>
  <c r="I75" i="2"/>
  <c r="I63" i="2"/>
  <c r="I50" i="2"/>
  <c r="I37" i="2"/>
  <c r="I25" i="2"/>
  <c r="I13" i="2"/>
  <c r="I74" i="2"/>
  <c r="I62" i="2"/>
  <c r="I49" i="2"/>
  <c r="I36" i="2"/>
  <c r="I24" i="2"/>
  <c r="I12" i="2"/>
  <c r="H16" i="2" l="1"/>
  <c r="J16" i="2" s="1"/>
  <c r="G55" i="2"/>
  <c r="G71" i="2"/>
  <c r="G52" i="2"/>
  <c r="G41" i="2"/>
  <c r="G21" i="2"/>
  <c r="G63" i="2"/>
  <c r="G15" i="2"/>
  <c r="G10" i="2"/>
  <c r="G17" i="2"/>
  <c r="G40" i="2"/>
  <c r="G56" i="2"/>
  <c r="G72" i="2"/>
  <c r="G26" i="2"/>
  <c r="G42" i="2"/>
  <c r="G22" i="2"/>
  <c r="G45" i="2"/>
  <c r="G46" i="2"/>
  <c r="G61" i="2"/>
  <c r="G5" i="2"/>
  <c r="G12" i="2"/>
  <c r="G64" i="2"/>
  <c r="G66" i="2"/>
  <c r="G49" i="2"/>
  <c r="G20" i="2"/>
  <c r="G57" i="2"/>
  <c r="G73" i="2"/>
  <c r="G27" i="2"/>
  <c r="G43" i="2"/>
  <c r="G23" i="2"/>
  <c r="G29" i="2"/>
  <c r="G76" i="2"/>
  <c r="G31" i="2"/>
  <c r="G6" i="2"/>
  <c r="G33" i="2"/>
  <c r="G14" i="2"/>
  <c r="G16" i="2"/>
  <c r="G37" i="2"/>
  <c r="G50" i="2"/>
  <c r="G58" i="2"/>
  <c r="G74" i="2"/>
  <c r="G28" i="2"/>
  <c r="G44" i="2"/>
  <c r="G24" i="2"/>
  <c r="G75" i="2"/>
  <c r="G25" i="2"/>
  <c r="G30" i="2"/>
  <c r="G4" i="2"/>
  <c r="G77" i="2"/>
  <c r="G11" i="2"/>
  <c r="G32" i="2"/>
  <c r="G79" i="2"/>
  <c r="G7" i="2"/>
  <c r="G65" i="2"/>
  <c r="G68" i="2"/>
  <c r="G39" i="2"/>
  <c r="G59" i="2"/>
  <c r="G62" i="2"/>
  <c r="G13" i="2"/>
  <c r="G34" i="2"/>
  <c r="G9" i="2"/>
  <c r="G36" i="2"/>
  <c r="G48" i="2"/>
  <c r="G18" i="2"/>
  <c r="G70" i="2"/>
  <c r="G60" i="2"/>
  <c r="G78" i="2"/>
  <c r="G8" i="2"/>
  <c r="G67" i="2"/>
  <c r="G69" i="2"/>
  <c r="G19" i="2"/>
  <c r="G54" i="2"/>
  <c r="G35" i="2"/>
  <c r="G51" i="2"/>
  <c r="G38" i="2"/>
  <c r="Q4" i="3"/>
  <c r="R4" i="3" s="1"/>
  <c r="K4" i="3"/>
  <c r="H25" i="2"/>
  <c r="H10" i="2"/>
  <c r="J10" i="2" s="1"/>
  <c r="H14" i="2"/>
  <c r="J14" i="2" s="1"/>
  <c r="H35" i="2"/>
  <c r="J35" i="2" s="1"/>
  <c r="H30" i="2"/>
  <c r="J30" i="2" s="1"/>
  <c r="H66" i="2"/>
  <c r="J66" i="2" s="1"/>
  <c r="H76" i="2"/>
  <c r="J76" i="2" s="1"/>
  <c r="H43" i="2"/>
  <c r="J43" i="2" s="1"/>
  <c r="H5" i="2"/>
  <c r="J5" i="2" s="1"/>
  <c r="H62" i="2"/>
  <c r="J62" i="2" s="1"/>
  <c r="H19" i="2"/>
  <c r="H31" i="2"/>
  <c r="J31" i="2" s="1"/>
  <c r="H21" i="2"/>
  <c r="J21" i="2" s="1"/>
  <c r="S47" i="3"/>
  <c r="Q47" i="3"/>
  <c r="Q45" i="3"/>
  <c r="S45" i="3"/>
  <c r="H69" i="2"/>
  <c r="J69" i="2" s="1"/>
  <c r="H67" i="2"/>
  <c r="J67" i="2" s="1"/>
  <c r="H24" i="2"/>
  <c r="J24" i="2" s="1"/>
  <c r="H55" i="2"/>
  <c r="J55" i="2" s="1"/>
  <c r="H32" i="2"/>
  <c r="J32" i="2" s="1"/>
  <c r="H15" i="2"/>
  <c r="J15" i="2" s="1"/>
  <c r="H23" i="2"/>
  <c r="H26" i="2"/>
  <c r="J26" i="2" s="1"/>
  <c r="H63" i="2"/>
  <c r="J63" i="2" s="1"/>
  <c r="H50" i="2"/>
  <c r="J50" i="2" s="1"/>
  <c r="H57" i="2"/>
  <c r="J57" i="2" s="1"/>
  <c r="H22" i="2"/>
  <c r="J22" i="2" s="1"/>
  <c r="H49" i="2"/>
  <c r="J49" i="2" s="1"/>
  <c r="G58" i="3"/>
  <c r="H34" i="2"/>
  <c r="J34" i="2" s="1"/>
  <c r="H8" i="2"/>
  <c r="J8" i="2" s="1"/>
  <c r="H46" i="2"/>
  <c r="J46" i="2" s="1"/>
  <c r="H52" i="2"/>
  <c r="J52" i="2" s="1"/>
  <c r="J53" i="2" s="1"/>
  <c r="B19" i="1" s="1"/>
  <c r="H20" i="2"/>
  <c r="J20" i="2" s="1"/>
  <c r="H36" i="2"/>
  <c r="J36" i="2" s="1"/>
  <c r="H72" i="2"/>
  <c r="J72" i="2" s="1"/>
  <c r="H4" i="2"/>
  <c r="J4" i="2" s="1"/>
  <c r="H13" i="2"/>
  <c r="J13" i="2" s="1"/>
  <c r="H74" i="2"/>
  <c r="J74" i="2" s="1"/>
  <c r="H37" i="2"/>
  <c r="J37" i="2" s="1"/>
  <c r="H39" i="2"/>
  <c r="J39" i="2" s="1"/>
  <c r="H12" i="2"/>
  <c r="J12" i="2" s="1"/>
  <c r="H42" i="2"/>
  <c r="J42" i="2" s="1"/>
  <c r="H44" i="2"/>
  <c r="J44" i="2" s="1"/>
  <c r="H64" i="2"/>
  <c r="J64" i="2" s="1"/>
  <c r="H75" i="2"/>
  <c r="J75" i="2" s="1"/>
  <c r="H51" i="2"/>
  <c r="J51" i="2" s="1"/>
  <c r="H28" i="2"/>
  <c r="J28" i="2" s="1"/>
  <c r="H56" i="2"/>
  <c r="J56" i="2" s="1"/>
  <c r="H58" i="2"/>
  <c r="J58" i="2" s="1"/>
  <c r="H79" i="2"/>
  <c r="J79" i="2" s="1"/>
  <c r="H27" i="2"/>
  <c r="J27" i="2" s="1"/>
  <c r="H45" i="2"/>
  <c r="J45" i="2" s="1"/>
  <c r="H29" i="2"/>
  <c r="J29" i="2" s="1"/>
  <c r="H38" i="2"/>
  <c r="J38" i="2" s="1"/>
  <c r="H41" i="2"/>
  <c r="J41" i="2" s="1"/>
  <c r="H59" i="2"/>
  <c r="J59" i="2" s="1"/>
  <c r="H61" i="2"/>
  <c r="J61" i="2" s="1"/>
  <c r="H65" i="2"/>
  <c r="J65" i="2" s="1"/>
  <c r="H77" i="2"/>
  <c r="J77" i="2" s="1"/>
  <c r="H71" i="2"/>
  <c r="J71" i="2" s="1"/>
  <c r="H78" i="2"/>
  <c r="J78" i="2" s="1"/>
  <c r="J23" i="2"/>
  <c r="H6" i="2"/>
  <c r="J6" i="2" s="1"/>
  <c r="S46" i="3"/>
  <c r="Q46" i="3"/>
  <c r="H18" i="2"/>
  <c r="J18" i="2" s="1"/>
  <c r="H68" i="2"/>
  <c r="J68" i="2" s="1"/>
  <c r="H48" i="2"/>
  <c r="J48" i="2" s="1"/>
  <c r="H60" i="2"/>
  <c r="J60" i="2" s="1"/>
  <c r="H33" i="2"/>
  <c r="J33" i="2" s="1"/>
  <c r="H17" i="2"/>
  <c r="J17" i="2" s="1"/>
  <c r="H40" i="2"/>
  <c r="J40" i="2" s="1"/>
  <c r="H70" i="2"/>
  <c r="J70" i="2" s="1"/>
  <c r="H54" i="2"/>
  <c r="J54" i="2" s="1"/>
  <c r="H7" i="2"/>
  <c r="J7" i="2" s="1"/>
  <c r="H9" i="2"/>
  <c r="J9" i="2" s="1"/>
  <c r="H11" i="2"/>
  <c r="J11" i="2" s="1"/>
  <c r="H73" i="2"/>
  <c r="J73" i="2" s="1"/>
  <c r="J19" i="2"/>
  <c r="J25" i="2"/>
  <c r="E6" i="1"/>
  <c r="G53" i="2" l="1"/>
  <c r="G47" i="2"/>
  <c r="H53" i="2"/>
  <c r="B16" i="1" s="1"/>
  <c r="B17" i="1" s="1"/>
  <c r="H47" i="2"/>
  <c r="J47" i="2"/>
  <c r="E9" i="1" l="1"/>
  <c r="E12" i="1"/>
  <c r="E13" i="1" s="1"/>
  <c r="E8" i="1"/>
  <c r="E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indexed="81"/>
            <rFont val="Tahoma"/>
            <family val="2"/>
          </rPr>
          <t>Dan:</t>
        </r>
        <r>
          <rPr>
            <sz val="9"/>
            <color indexed="81"/>
            <rFont val="Tahoma"/>
            <family val="2"/>
          </rPr>
          <t xml:space="preserve">
Makes sense because mass continuity, with Ullage taking into account density variations</t>
        </r>
      </text>
    </comment>
    <comment ref="O2" authorId="0" shapeId="0" xr:uid="{29AF3AB7-AD20-0648-B8C8-C4301C6CF42C}">
      <text>
        <r>
          <rPr>
            <b/>
            <sz val="9"/>
            <color indexed="81"/>
            <rFont val="Tahoma"/>
            <family val="2"/>
          </rPr>
          <t>Dan:</t>
        </r>
        <r>
          <rPr>
            <sz val="9"/>
            <color indexed="81"/>
            <rFont val="Tahoma"/>
            <family val="2"/>
          </rPr>
          <t xml:space="preserve">
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<sst xmlns="http://schemas.openxmlformats.org/spreadsheetml/2006/main" count="95" uniqueCount="63">
  <si>
    <t>Inner Radius (in)</t>
  </si>
  <si>
    <t>Outer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</si>
  <si>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</si>
  <si>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</si>
  <si>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</si>
  <si>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</si>
  <si>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</si>
  <si>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</si>
  <si>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</si>
  <si>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</si>
  <si>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</si>
  <si>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</si>
  <si>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</si>
  <si>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</si>
  <si>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</si>
  <si>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</si>
  <si>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</si>
  <si>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</si>
  <si>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</si>
  <si>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</si>
  <si>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</si>
  <si>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</si>
  <si>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</si>
  <si>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</si>
  <si>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</si>
  <si>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</si>
  <si>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</si>
  <si>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</si>
  <si>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</si>
  <si>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</si>
  <si>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</si>
  <si>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</si>
  <si>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</si>
  <si>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</si>
  <si>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</si>
  <si>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</si>
  <si>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</si>
  <si>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</si>
  <si>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</si>
  <si>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</si>
  <si>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</si>
  <si>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</si>
  <si>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</si>
  <si>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</si>
  <si>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</si>
  <si>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</si>
  <si>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</si>
  <si>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</si>
  <si>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</si>
  <si>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Ullage Volume Required in shell</t>
  </si>
  <si>
    <t>Height from top of storage volume required</t>
  </si>
  <si>
    <r>
      <t xml:space="preserve">Volumetric Ullage % req to not vent  as temp rises to </t>
    </r>
    <r>
      <rPr>
        <b/>
        <sz val="10"/>
        <rFont val="Arial"/>
        <family val="2"/>
      </rPr>
      <t>70F</t>
    </r>
    <r>
      <rPr>
        <sz val="10"/>
        <rFont val="Arial"/>
        <family val="2"/>
      </rPr>
      <t xml:space="preserve"> (with only liq at</t>
    </r>
    <r>
      <rPr>
        <b/>
        <sz val="10"/>
        <rFont val="Arial"/>
        <family val="2"/>
      </rPr>
      <t xml:space="preserve"> 70F</t>
    </r>
    <r>
      <rPr>
        <sz val="10"/>
        <rFont val="Arial"/>
        <family val="2"/>
      </rPr>
      <t>)</t>
    </r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</si>
  <si>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only liq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</si>
  <si>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</si>
  <si>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</si>
  <si>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</si>
  <si>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</si>
  <si>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</si>
  <si>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</si>
  <si>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</si>
  <si>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Not used^ just a check to see what happens in this case</t>
  </si>
  <si>
    <t>Plumbing Length [RT to Inj] (ft)</t>
  </si>
  <si>
    <t>Plumbing Length [RT top to highest pt]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</si>
</sst>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E+00"/>
    <numFmt numFmtId="166" formatCode="0.0000"/>
    <numFmt numFmtId="167" formatCode="0.0000000"/>
    <numFmt numFmtId="168" formatCode="0.0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0" fillId="0" borderId="10" xfId="0" applyBorder="1"/>
    <xf numFmtId="0" fontId="1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167" fontId="9" fillId="0" borderId="0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68" fontId="9" fillId="0" borderId="0" xfId="0" applyNumberFormat="1" applyFont="1" applyBorder="1" applyAlignment="1">
      <alignment horizontal="center"/>
    </xf>
    <xf numFmtId="168" fontId="7" fillId="0" borderId="0" xfId="0" applyNumberFormat="1" applyFont="1" applyBorder="1" applyAlignment="1">
      <alignment horizontal="center"/>
    </xf>
    <xf numFmtId="168" fontId="9" fillId="0" borderId="0" xfId="0" applyNumberFormat="1" applyFont="1" applyAlignment="1">
      <alignment horizontal="center"/>
    </xf>
    <xf numFmtId="168" fontId="0" fillId="0" borderId="0" xfId="0" applyNumberFormat="1"/>
    <xf numFmtId="164" fontId="7" fillId="0" borderId="5" xfId="0" applyNumberFormat="1" applyFont="1" applyBorder="1" applyAlignment="1"/>
    <xf numFmtId="0" fontId="4" fillId="0" borderId="0" xfId="0" applyFont="1"/>
    <xf numFmtId="2" fontId="7" fillId="2" borderId="5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166" fontId="7" fillId="2" borderId="6" xfId="0" applyNumberFormat="1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center"/>
    </xf>
    <xf numFmtId="166" fontId="9" fillId="2" borderId="5" xfId="0" applyNumberFormat="1" applyFont="1" applyFill="1" applyBorder="1" applyAlignment="1">
      <alignment horizontal="center"/>
    </xf>
    <xf numFmtId="166" fontId="9" fillId="4" borderId="5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166" fontId="7" fillId="4" borderId="5" xfId="0" applyNumberFormat="1" applyFont="1" applyFill="1" applyBorder="1" applyAlignment="1">
      <alignment horizontal="center"/>
    </xf>
    <xf numFmtId="166" fontId="7" fillId="4" borderId="0" xfId="0" applyNumberFormat="1" applyFont="1" applyFill="1" applyBorder="1" applyAlignment="1">
      <alignment horizontal="center"/>
    </xf>
    <xf numFmtId="166" fontId="9" fillId="5" borderId="0" xfId="0" applyNumberFormat="1" applyFont="1" applyFill="1" applyBorder="1" applyAlignment="1">
      <alignment horizontal="center" vertical="center" wrapText="1"/>
    </xf>
    <xf numFmtId="167" fontId="9" fillId="5" borderId="0" xfId="0" applyNumberFormat="1" applyFont="1" applyFill="1" applyBorder="1" applyAlignment="1">
      <alignment horizontal="center"/>
    </xf>
    <xf numFmtId="166" fontId="9" fillId="5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4" borderId="13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/>
    </xf>
    <xf numFmtId="166" fontId="9" fillId="4" borderId="15" xfId="0" applyNumberFormat="1" applyFont="1" applyFill="1" applyBorder="1" applyAlignment="1">
      <alignment horizontal="center"/>
    </xf>
    <xf numFmtId="166" fontId="18" fillId="4" borderId="15" xfId="0" applyNumberFormat="1" applyFont="1" applyFill="1" applyBorder="1" applyAlignment="1">
      <alignment horizontal="center"/>
    </xf>
    <xf numFmtId="166" fontId="7" fillId="4" borderId="14" xfId="0" applyNumberFormat="1" applyFont="1" applyFill="1" applyBorder="1" applyAlignment="1">
      <alignment horizontal="center"/>
    </xf>
    <xf numFmtId="166" fontId="7" fillId="4" borderId="16" xfId="0" applyNumberFormat="1" applyFont="1" applyFill="1" applyBorder="1" applyAlignment="1">
      <alignment horizontal="center"/>
    </xf>
    <xf numFmtId="166" fontId="7" fillId="4" borderId="20" xfId="0" applyNumberFormat="1" applyFont="1" applyFill="1" applyBorder="1" applyAlignment="1">
      <alignment horizontal="center"/>
    </xf>
    <xf numFmtId="166" fontId="18" fillId="4" borderId="17" xfId="0" applyNumberFormat="1" applyFont="1" applyFill="1" applyBorder="1" applyAlignment="1">
      <alignment horizontal="center"/>
    </xf>
    <xf numFmtId="2" fontId="9" fillId="3" borderId="14" xfId="0" applyNumberFormat="1" applyFont="1" applyFill="1" applyBorder="1" applyAlignment="1">
      <alignment horizontal="center"/>
    </xf>
    <xf numFmtId="0" fontId="0" fillId="3" borderId="0" xfId="0" applyFill="1" applyBorder="1"/>
    <xf numFmtId="166" fontId="9" fillId="3" borderId="0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2" fontId="9" fillId="3" borderId="0" xfId="0" applyNumberFormat="1" applyFont="1" applyFill="1" applyBorder="1" applyAlignment="1">
      <alignment horizontal="center"/>
    </xf>
    <xf numFmtId="2" fontId="7" fillId="3" borderId="14" xfId="0" applyNumberFormat="1" applyFont="1" applyFill="1" applyBorder="1" applyAlignment="1">
      <alignment horizontal="center"/>
    </xf>
    <xf numFmtId="2" fontId="7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7" fillId="3" borderId="15" xfId="0" applyNumberFormat="1" applyFont="1" applyFill="1" applyBorder="1" applyAlignment="1">
      <alignment horizontal="center"/>
    </xf>
    <xf numFmtId="2" fontId="10" fillId="3" borderId="16" xfId="0" applyNumberFormat="1" applyFont="1" applyFill="1" applyBorder="1" applyAlignment="1">
      <alignment horizontal="center"/>
    </xf>
    <xf numFmtId="2" fontId="10" fillId="3" borderId="20" xfId="0" applyNumberFormat="1" applyFont="1" applyFill="1" applyBorder="1" applyAlignment="1">
      <alignment horizontal="center"/>
    </xf>
    <xf numFmtId="166" fontId="10" fillId="3" borderId="20" xfId="0" applyNumberFormat="1" applyFont="1" applyFill="1" applyBorder="1" applyAlignment="1">
      <alignment horizontal="center"/>
    </xf>
    <xf numFmtId="166" fontId="10" fillId="3" borderId="17" xfId="0" applyNumberFormat="1" applyFont="1" applyFill="1" applyBorder="1" applyAlignment="1">
      <alignment horizontal="center"/>
    </xf>
    <xf numFmtId="166" fontId="9" fillId="4" borderId="20" xfId="0" applyNumberFormat="1" applyFont="1" applyFill="1" applyBorder="1" applyAlignment="1">
      <alignment horizontal="center" vertical="center" wrapText="1"/>
    </xf>
    <xf numFmtId="166" fontId="9" fillId="4" borderId="17" xfId="0" applyNumberFormat="1" applyFont="1" applyFill="1" applyBorder="1" applyAlignment="1">
      <alignment horizontal="center" vertical="center" wrapText="1"/>
    </xf>
    <xf numFmtId="2" fontId="9" fillId="3" borderId="16" xfId="0" applyNumberFormat="1" applyFont="1" applyFill="1" applyBorder="1" applyAlignment="1">
      <alignment horizontal="center"/>
    </xf>
    <xf numFmtId="165" fontId="9" fillId="3" borderId="20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/>
    </xf>
    <xf numFmtId="166" fontId="9" fillId="3" borderId="17" xfId="0" applyNumberFormat="1" applyFont="1" applyFill="1" applyBorder="1" applyAlignment="1">
      <alignment horizontal="center"/>
    </xf>
    <xf numFmtId="166" fontId="9" fillId="5" borderId="18" xfId="0" applyNumberFormat="1" applyFont="1" applyFill="1" applyBorder="1" applyAlignment="1">
      <alignment horizontal="center" vertical="center" wrapText="1"/>
    </xf>
    <xf numFmtId="166" fontId="9" fillId="5" borderId="14" xfId="0" applyNumberFormat="1" applyFont="1" applyFill="1" applyBorder="1" applyAlignment="1">
      <alignment horizontal="center"/>
    </xf>
    <xf numFmtId="168" fontId="9" fillId="5" borderId="15" xfId="0" applyNumberFormat="1" applyFont="1" applyFill="1" applyBorder="1" applyAlignment="1">
      <alignment horizontal="center"/>
    </xf>
    <xf numFmtId="166" fontId="9" fillId="5" borderId="16" xfId="0" applyNumberFormat="1" applyFont="1" applyFill="1" applyBorder="1" applyAlignment="1">
      <alignment horizontal="center"/>
    </xf>
    <xf numFmtId="167" fontId="9" fillId="5" borderId="20" xfId="0" applyNumberFormat="1" applyFont="1" applyFill="1" applyBorder="1" applyAlignment="1">
      <alignment horizontal="center"/>
    </xf>
    <xf numFmtId="166" fontId="9" fillId="5" borderId="20" xfId="0" applyNumberFormat="1" applyFont="1" applyFill="1" applyBorder="1" applyAlignment="1">
      <alignment horizontal="center"/>
    </xf>
    <xf numFmtId="168" fontId="9" fillId="5" borderId="17" xfId="0" applyNumberFormat="1" applyFont="1" applyFill="1" applyBorder="1" applyAlignment="1">
      <alignment horizontal="center"/>
    </xf>
    <xf numFmtId="166" fontId="9" fillId="5" borderId="20" xfId="0" applyNumberFormat="1" applyFont="1" applyFill="1" applyBorder="1" applyAlignment="1">
      <alignment horizontal="center" vertical="center" wrapText="1"/>
    </xf>
    <xf numFmtId="168" fontId="9" fillId="5" borderId="17" xfId="0" applyNumberFormat="1" applyFont="1" applyFill="1" applyBorder="1" applyAlignment="1">
      <alignment horizontal="center" vertical="center" wrapText="1"/>
    </xf>
    <xf numFmtId="166" fontId="9" fillId="4" borderId="21" xfId="0" applyNumberFormat="1" applyFont="1" applyFill="1" applyBorder="1" applyAlignment="1">
      <alignment horizontal="center" vertical="center" wrapText="1"/>
    </xf>
    <xf numFmtId="166" fontId="9" fillId="4" borderId="22" xfId="0" applyNumberFormat="1" applyFont="1" applyFill="1" applyBorder="1" applyAlignment="1">
      <alignment horizontal="center" vertical="center" wrapText="1"/>
    </xf>
    <xf numFmtId="166" fontId="18" fillId="4" borderId="5" xfId="0" applyNumberFormat="1" applyFont="1" applyFill="1" applyBorder="1" applyAlignment="1">
      <alignment horizontal="center"/>
    </xf>
    <xf numFmtId="166" fontId="19" fillId="4" borderId="5" xfId="0" applyNumberFormat="1" applyFont="1" applyFill="1" applyBorder="1" applyAlignment="1">
      <alignment horizontal="center"/>
    </xf>
    <xf numFmtId="166" fontId="19" fillId="4" borderId="22" xfId="0" applyNumberFormat="1" applyFont="1" applyFill="1" applyBorder="1" applyAlignment="1">
      <alignment horizontal="center"/>
    </xf>
    <xf numFmtId="166" fontId="9" fillId="4" borderId="5" xfId="0" applyNumberFormat="1" applyFont="1" applyFill="1" applyBorder="1" applyAlignment="1">
      <alignment horizontal="center" vertical="center" wrapText="1"/>
    </xf>
    <xf numFmtId="166" fontId="7" fillId="4" borderId="22" xfId="0" applyNumberFormat="1" applyFont="1" applyFill="1" applyBorder="1" applyAlignment="1">
      <alignment horizontal="center"/>
    </xf>
    <xf numFmtId="167" fontId="9" fillId="4" borderId="5" xfId="0" applyNumberFormat="1" applyFont="1" applyFill="1" applyBorder="1" applyAlignment="1">
      <alignment horizontal="center"/>
    </xf>
    <xf numFmtId="167" fontId="7" fillId="4" borderId="5" xfId="0" applyNumberFormat="1" applyFont="1" applyFill="1" applyBorder="1" applyAlignment="1">
      <alignment horizontal="center"/>
    </xf>
    <xf numFmtId="167" fontId="7" fillId="4" borderId="22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4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167" fontId="9" fillId="0" borderId="0" xfId="0" applyNumberFormat="1" applyFont="1" applyBorder="1" applyAlignment="1">
      <alignment horizontal="left"/>
    </xf>
    <xf numFmtId="0" fontId="0" fillId="0" borderId="1" xfId="0" applyFont="1" applyBorder="1"/>
    <xf numFmtId="0" fontId="1" fillId="0" borderId="1" xfId="0" applyFont="1" applyBorder="1"/>
    <xf numFmtId="0" fontId="0" fillId="0" borderId="11" xfId="0" applyBorder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20" fillId="0" borderId="5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64" fontId="20" fillId="0" borderId="6" xfId="0" applyNumberFormat="1" applyFont="1" applyBorder="1" applyAlignment="1">
      <alignment horizontal="center"/>
    </xf>
    <xf numFmtId="166" fontId="9" fillId="5" borderId="18" xfId="0" applyNumberFormat="1" applyFont="1" applyFill="1" applyBorder="1" applyAlignment="1">
      <alignment horizontal="center" vertical="center" wrapText="1"/>
    </xf>
    <xf numFmtId="168" fontId="7" fillId="5" borderId="13" xfId="0" applyNumberFormat="1" applyFont="1" applyFill="1" applyBorder="1" applyAlignment="1">
      <alignment horizontal="center" vertical="center" wrapText="1"/>
    </xf>
    <xf numFmtId="168" fontId="7" fillId="5" borderId="15" xfId="0" applyNumberFormat="1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horizontal="center"/>
    </xf>
    <xf numFmtId="166" fontId="7" fillId="4" borderId="5" xfId="0" applyNumberFormat="1" applyFont="1" applyFill="1" applyBorder="1" applyAlignment="1">
      <alignment horizontal="center" vertical="center" wrapText="1"/>
    </xf>
    <xf numFmtId="166" fontId="7" fillId="4" borderId="15" xfId="0" applyNumberFormat="1" applyFont="1" applyFill="1" applyBorder="1" applyAlignment="1">
      <alignment horizontal="center" vertical="center" wrapText="1"/>
    </xf>
    <xf numFmtId="166" fontId="9" fillId="0" borderId="14" xfId="0" applyNumberFormat="1" applyFont="1" applyBorder="1" applyAlignment="1">
      <alignment horizontal="center" wrapText="1"/>
    </xf>
    <xf numFmtId="164" fontId="7" fillId="3" borderId="12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>
      <alignment horizontal="center"/>
    </xf>
    <xf numFmtId="164" fontId="7" fillId="3" borderId="13" xfId="0" applyNumberFormat="1" applyFont="1" applyFill="1" applyBorder="1" applyAlignment="1">
      <alignment horizontal="center"/>
    </xf>
    <xf numFmtId="166" fontId="9" fillId="4" borderId="12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 vertical="center" wrapText="1"/>
    </xf>
    <xf numFmtId="166" fontId="9" fillId="4" borderId="16" xfId="0" applyNumberFormat="1" applyFont="1" applyFill="1" applyBorder="1" applyAlignment="1">
      <alignment horizontal="center" vertical="center" wrapText="1"/>
    </xf>
    <xf numFmtId="166" fontId="9" fillId="4" borderId="19" xfId="0" applyNumberFormat="1" applyFont="1" applyFill="1" applyBorder="1" applyAlignment="1">
      <alignment horizontal="center" vertical="center" wrapText="1"/>
    </xf>
    <xf numFmtId="166" fontId="9" fillId="4" borderId="6" xfId="0" applyNumberFormat="1" applyFont="1" applyFill="1" applyBorder="1" applyAlignment="1">
      <alignment horizontal="center" vertical="center" wrapText="1"/>
    </xf>
    <xf numFmtId="166" fontId="9" fillId="5" borderId="12" xfId="0" applyNumberFormat="1" applyFont="1" applyFill="1" applyBorder="1" applyAlignment="1">
      <alignment horizontal="center" vertical="center" wrapText="1"/>
    </xf>
    <xf numFmtId="166" fontId="9" fillId="5" borderId="14" xfId="0" applyNumberFormat="1" applyFont="1" applyFill="1" applyBorder="1" applyAlignment="1">
      <alignment horizontal="center" vertical="center" wrapText="1"/>
    </xf>
    <xf numFmtId="166" fontId="9" fillId="5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238.00026166501797</c:v>
                </c:pt>
                <c:pt idx="1">
                  <c:v>237.33091823520419</c:v>
                </c:pt>
                <c:pt idx="2">
                  <c:v>236.65658949564269</c:v>
                </c:pt>
                <c:pt idx="3">
                  <c:v>235.97780021578055</c:v>
                </c:pt>
                <c:pt idx="4">
                  <c:v>235.29428801089432</c:v>
                </c:pt>
                <c:pt idx="5">
                  <c:v>234.60579049626034</c:v>
                </c:pt>
                <c:pt idx="6">
                  <c:v>233.91204528715502</c:v>
                </c:pt>
                <c:pt idx="7">
                  <c:v>233.21357715302554</c:v>
                </c:pt>
                <c:pt idx="8">
                  <c:v>232.50933655497764</c:v>
                </c:pt>
                <c:pt idx="9">
                  <c:v>231.80011064718204</c:v>
                </c:pt>
                <c:pt idx="10">
                  <c:v>231.08511227546799</c:v>
                </c:pt>
                <c:pt idx="11">
                  <c:v>230.36460382455908</c:v>
                </c:pt>
                <c:pt idx="12">
                  <c:v>229.6380605250082</c:v>
                </c:pt>
                <c:pt idx="13">
                  <c:v>228.90548237681529</c:v>
                </c:pt>
                <c:pt idx="14">
                  <c:v>228.16686937998043</c:v>
                </c:pt>
                <c:pt idx="15">
                  <c:v>227.42195914977995</c:v>
                </c:pt>
                <c:pt idx="16">
                  <c:v>226.67048930149042</c:v>
                </c:pt>
                <c:pt idx="17">
                  <c:v>225.91245983511175</c:v>
                </c:pt>
                <c:pt idx="18">
                  <c:v>225.14734598119685</c:v>
                </c:pt>
                <c:pt idx="19">
                  <c:v>224.3751477397457</c:v>
                </c:pt>
                <c:pt idx="20">
                  <c:v>223.59560272603466</c:v>
                </c:pt>
                <c:pt idx="21">
                  <c:v>222.80871094006389</c:v>
                </c:pt>
                <c:pt idx="22">
                  <c:v>222.01394761238618</c:v>
                </c:pt>
                <c:pt idx="23">
                  <c:v>221.21105035827787</c:v>
                </c:pt>
                <c:pt idx="24">
                  <c:v>220.40001917773915</c:v>
                </c:pt>
                <c:pt idx="25">
                  <c:v>219.58006691659915</c:v>
                </c:pt>
                <c:pt idx="26">
                  <c:v>218.75145595958156</c:v>
                </c:pt>
                <c:pt idx="27">
                  <c:v>217.91366153723919</c:v>
                </c:pt>
                <c:pt idx="28">
                  <c:v>217.06642126484849</c:v>
                </c:pt>
                <c:pt idx="29">
                  <c:v>216.2092103729623</c:v>
                </c:pt>
                <c:pt idx="30">
                  <c:v>215.34176647685715</c:v>
                </c:pt>
                <c:pt idx="31">
                  <c:v>214.46356480708582</c:v>
                </c:pt>
                <c:pt idx="32">
                  <c:v>213.57434297892473</c:v>
                </c:pt>
                <c:pt idx="33">
                  <c:v>212.67357622292684</c:v>
                </c:pt>
                <c:pt idx="34">
                  <c:v>211.76073976964491</c:v>
                </c:pt>
                <c:pt idx="35">
                  <c:v>210.8353088496319</c:v>
                </c:pt>
                <c:pt idx="36">
                  <c:v>209.89702107816422</c:v>
                </c:pt>
                <c:pt idx="37">
                  <c:v>208.94482691634764</c:v>
                </c:pt>
                <c:pt idx="38">
                  <c:v>207.97820159473491</c:v>
                </c:pt>
                <c:pt idx="39">
                  <c:v>206.99662034387904</c:v>
                </c:pt>
                <c:pt idx="40">
                  <c:v>205.99929600960931</c:v>
                </c:pt>
                <c:pt idx="41">
                  <c:v>204.9851790530314</c:v>
                </c:pt>
                <c:pt idx="42">
                  <c:v>203.95374470469821</c:v>
                </c:pt>
                <c:pt idx="43">
                  <c:v>203.72045553159094</c:v>
                </c:pt>
                <c:pt idx="44">
                  <c:v>202.90394342571548</c:v>
                </c:pt>
                <c:pt idx="45">
                  <c:v>201.83446329246541</c:v>
                </c:pt>
                <c:pt idx="46">
                  <c:v>200.74425476605376</c:v>
                </c:pt>
                <c:pt idx="47">
                  <c:v>199.63226830758614</c:v>
                </c:pt>
                <c:pt idx="48">
                  <c:v>198.49692960872133</c:v>
                </c:pt>
                <c:pt idx="49">
                  <c:v>197.59450108280751</c:v>
                </c:pt>
                <c:pt idx="50">
                  <c:v>197.33666436111784</c:v>
                </c:pt>
                <c:pt idx="51">
                  <c:v>196.14963587171076</c:v>
                </c:pt>
                <c:pt idx="52">
                  <c:v>194.93426983215863</c:v>
                </c:pt>
                <c:pt idx="53">
                  <c:v>193.68820477994944</c:v>
                </c:pt>
                <c:pt idx="54">
                  <c:v>192.40907925257108</c:v>
                </c:pt>
                <c:pt idx="55">
                  <c:v>191.09400701806442</c:v>
                </c:pt>
                <c:pt idx="56">
                  <c:v>189.74010184447008</c:v>
                </c:pt>
                <c:pt idx="57">
                  <c:v>188.34342796093469</c:v>
                </c:pt>
                <c:pt idx="58">
                  <c:v>186.90031198132837</c:v>
                </c:pt>
                <c:pt idx="59">
                  <c:v>185.40550621117978</c:v>
                </c:pt>
                <c:pt idx="60">
                  <c:v>183.85323818657048</c:v>
                </c:pt>
                <c:pt idx="61">
                  <c:v>182.23694828941143</c:v>
                </c:pt>
                <c:pt idx="62">
                  <c:v>180.54850259327202</c:v>
                </c:pt>
                <c:pt idx="63">
                  <c:v>178.77766809393324</c:v>
                </c:pt>
                <c:pt idx="64">
                  <c:v>176.91237509411118</c:v>
                </c:pt>
                <c:pt idx="65">
                  <c:v>174.9366181256683</c:v>
                </c:pt>
                <c:pt idx="66">
                  <c:v>172.83019356489021</c:v>
                </c:pt>
                <c:pt idx="67">
                  <c:v>170.56660055469678</c:v>
                </c:pt>
                <c:pt idx="68">
                  <c:v>168.10831807961827</c:v>
                </c:pt>
                <c:pt idx="69">
                  <c:v>165.40260681021817</c:v>
                </c:pt>
                <c:pt idx="70">
                  <c:v>162.36917702108568</c:v>
                </c:pt>
                <c:pt idx="71">
                  <c:v>158.87631158099123</c:v>
                </c:pt>
                <c:pt idx="72">
                  <c:v>154.68235415953163</c:v>
                </c:pt>
                <c:pt idx="73">
                  <c:v>149.25230230535834</c:v>
                </c:pt>
                <c:pt idx="74">
                  <c:v>140.84392145400116</c:v>
                </c:pt>
                <c:pt idx="75">
                  <c:v>118.60078128324339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General</c:formatCode>
                <c:ptCount val="76"/>
                <c:pt idx="0">
                  <c:v>662.48452805698594</c:v>
                </c:pt>
                <c:pt idx="1">
                  <c:v>667.72830406392427</c:v>
                </c:pt>
                <c:pt idx="2">
                  <c:v>673.0242531250027</c:v>
                </c:pt>
                <c:pt idx="3">
                  <c:v>678.36993677136456</c:v>
                </c:pt>
                <c:pt idx="4">
                  <c:v>683.76657423743836</c:v>
                </c:pt>
                <c:pt idx="5">
                  <c:v>689.21538475765237</c:v>
                </c:pt>
                <c:pt idx="6">
                  <c:v>694.714686806435</c:v>
                </c:pt>
                <c:pt idx="7">
                  <c:v>700.26784343492955</c:v>
                </c:pt>
                <c:pt idx="8">
                  <c:v>705.87247968084966</c:v>
                </c:pt>
                <c:pt idx="9">
                  <c:v>711.52928898091011</c:v>
                </c:pt>
                <c:pt idx="10">
                  <c:v>717.240478658396</c:v>
                </c:pt>
                <c:pt idx="11">
                  <c:v>723.00337909887901</c:v>
                </c:pt>
                <c:pt idx="12">
                  <c:v>728.81897839121621</c:v>
                </c:pt>
                <c:pt idx="13">
                  <c:v>734.68872691540741</c:v>
                </c:pt>
                <c:pt idx="14">
                  <c:v>740.61262467145252</c:v>
                </c:pt>
                <c:pt idx="15">
                  <c:v>746.59189089378003</c:v>
                </c:pt>
                <c:pt idx="16">
                  <c:v>752.62339367681852</c:v>
                </c:pt>
                <c:pt idx="17">
                  <c:v>758.71003378056776</c:v>
                </c:pt>
                <c:pt idx="18">
                  <c:v>764.8527992938848</c:v>
                </c:pt>
                <c:pt idx="19">
                  <c:v>771.04878945676967</c:v>
                </c:pt>
                <c:pt idx="20">
                  <c:v>777.30067388365069</c:v>
                </c:pt>
                <c:pt idx="21">
                  <c:v>783.60845257452797</c:v>
                </c:pt>
                <c:pt idx="22">
                  <c:v>789.97166323825809</c:v>
                </c:pt>
                <c:pt idx="23">
                  <c:v>796.39152510926999</c:v>
                </c:pt>
                <c:pt idx="24">
                  <c:v>802.86658780756318</c:v>
                </c:pt>
                <c:pt idx="25">
                  <c:v>809.39905865642322</c:v>
                </c:pt>
                <c:pt idx="26">
                  <c:v>815.9877184214215</c:v>
                </c:pt>
                <c:pt idx="27">
                  <c:v>822.63355519141521</c:v>
                </c:pt>
                <c:pt idx="28">
                  <c:v>829.33633782083257</c:v>
                </c:pt>
                <c:pt idx="29">
                  <c:v>836.09560401853037</c:v>
                </c:pt>
                <c:pt idx="30">
                  <c:v>842.91402339893716</c:v>
                </c:pt>
                <c:pt idx="31">
                  <c:v>849.78823291090987</c:v>
                </c:pt>
                <c:pt idx="32">
                  <c:v>856.72235254887687</c:v>
                </c:pt>
                <c:pt idx="33">
                  <c:v>863.71301926169485</c:v>
                </c:pt>
                <c:pt idx="34">
                  <c:v>870.76122113822089</c:v>
                </c:pt>
                <c:pt idx="35">
                  <c:v>877.86794626731194</c:v>
                </c:pt>
                <c:pt idx="36">
                  <c:v>885.03441388339627</c:v>
                </c:pt>
                <c:pt idx="37">
                  <c:v>892.25679864418771</c:v>
                </c:pt>
                <c:pt idx="38">
                  <c:v>899.53898939854287</c:v>
                </c:pt>
                <c:pt idx="39">
                  <c:v>906.8805238553191</c:v>
                </c:pt>
                <c:pt idx="40">
                  <c:v>914.27925819780137</c:v>
                </c:pt>
                <c:pt idx="41">
                  <c:v>921.73716860370348</c:v>
                </c:pt>
                <c:pt idx="42">
                  <c:v>929.25234240188217</c:v>
                </c:pt>
                <c:pt idx="43" formatCode="0.0000">
                  <c:v>930.93554537258649</c:v>
                </c:pt>
                <c:pt idx="44">
                  <c:v>936.82675577005148</c:v>
                </c:pt>
                <c:pt idx="45">
                  <c:v>944.45925298035331</c:v>
                </c:pt>
                <c:pt idx="46">
                  <c:v>952.14890945050183</c:v>
                </c:pt>
                <c:pt idx="47">
                  <c:v>959.89625097821022</c:v>
                </c:pt>
                <c:pt idx="48">
                  <c:v>967.69989069004941</c:v>
                </c:pt>
                <c:pt idx="49" formatCode="0.0000">
                  <c:v>973.81435318758076</c:v>
                </c:pt>
                <c:pt idx="50">
                  <c:v>975.56134247258979</c:v>
                </c:pt>
                <c:pt idx="51">
                  <c:v>983.47898830683084</c:v>
                </c:pt>
                <c:pt idx="52">
                  <c:v>991.45144131934262</c:v>
                </c:pt>
                <c:pt idx="53">
                  <c:v>999.47807157998159</c:v>
                </c:pt>
                <c:pt idx="54">
                  <c:v>1007.5582491586031</c:v>
                </c:pt>
                <c:pt idx="55">
                  <c:v>1015.6908818339203</c:v>
                </c:pt>
                <c:pt idx="56">
                  <c:v>1023.8734270046461</c:v>
                </c:pt>
                <c:pt idx="57">
                  <c:v>1032.1053182472067</c:v>
                </c:pt>
                <c:pt idx="58">
                  <c:v>1040.3818691436004</c:v>
                </c:pt>
                <c:pt idx="59">
                  <c:v>1048.7028079223958</c:v>
                </c:pt>
                <c:pt idx="60">
                  <c:v>1057.0644997610184</c:v>
                </c:pt>
                <c:pt idx="61">
                  <c:v>1065.4597156401794</c:v>
                </c:pt>
                <c:pt idx="62">
                  <c:v>1073.88709156716</c:v>
                </c:pt>
                <c:pt idx="63">
                  <c:v>1082.3361624846693</c:v>
                </c:pt>
                <c:pt idx="64">
                  <c:v>1090.8006468364154</c:v>
                </c:pt>
                <c:pt idx="65">
                  <c:v>1099.2693455025324</c:v>
                </c:pt>
                <c:pt idx="66">
                  <c:v>1107.7244602740104</c:v>
                </c:pt>
                <c:pt idx="67">
                  <c:v>1116.1469965881208</c:v>
                </c:pt>
                <c:pt idx="68">
                  <c:v>1124.5097021481304</c:v>
                </c:pt>
                <c:pt idx="69">
                  <c:v>1132.7661166941543</c:v>
                </c:pt>
                <c:pt idx="70">
                  <c:v>1140.8556623412937</c:v>
                </c:pt>
                <c:pt idx="71">
                  <c:v>1148.6652047726232</c:v>
                </c:pt>
                <c:pt idx="72">
                  <c:v>1155.9920115767318</c:v>
                </c:pt>
                <c:pt idx="73">
                  <c:v>1162.3763799731985</c:v>
                </c:pt>
                <c:pt idx="74">
                  <c:v>1166.3067094468331</c:v>
                </c:pt>
                <c:pt idx="75">
                  <c:v>1155.2806509485715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F31"/>
  <sheetViews>
    <sheetView topLeftCell="A4" zoomScale="130" zoomScaleNormal="130" workbookViewId="0">
      <selection activeCell="B9" sqref="B9"/>
    </sheetView>
  </sheetViews>
  <sheetFormatPr defaultColWidth="8.85546875" defaultRowHeight="15" x14ac:dyDescent="0.25"/>
  <cols>
    <col min="1" max="1" width="32.140625" customWidth="1"/>
    <col min="3" max="3" width="3.7109375" customWidth="1"/>
    <col min="4" max="4" width="35.28515625" bestFit="1" customWidth="1"/>
    <col min="5" max="5" width="21.85546875" customWidth="1"/>
  </cols>
  <sheetData>
    <row r="1" spans="1:6" ht="15.75" x14ac:dyDescent="0.25">
      <c r="A1" s="151" t="s">
        <v>7</v>
      </c>
      <c r="B1" s="151"/>
      <c r="C1" s="151"/>
      <c r="D1" s="151"/>
      <c r="E1" s="151"/>
      <c r="F1" s="151"/>
    </row>
    <row r="2" spans="1:6" ht="15.75" x14ac:dyDescent="0.25">
      <c r="A2" s="152" t="s">
        <v>12</v>
      </c>
      <c r="B2" s="152"/>
      <c r="C2" s="152"/>
      <c r="D2" s="152"/>
      <c r="E2" s="152"/>
      <c r="F2" s="152"/>
    </row>
    <row r="3" spans="1:6" x14ac:dyDescent="0.25">
      <c r="A3" s="154" t="s">
        <v>13</v>
      </c>
      <c r="B3" s="154"/>
      <c r="C3" s="154"/>
      <c r="D3" s="154"/>
      <c r="E3" s="154"/>
      <c r="F3" s="154"/>
    </row>
    <row r="5" spans="1:6" x14ac:dyDescent="0.25">
      <c r="A5" s="153" t="s">
        <v>5</v>
      </c>
      <c r="B5" s="153"/>
      <c r="D5" s="153" t="s">
        <v>4</v>
      </c>
      <c r="E5" s="153"/>
    </row>
    <row r="6" spans="1:6" x14ac:dyDescent="0.25">
      <c r="A6" t="s">
        <v>2</v>
      </c>
      <c r="B6">
        <v>825</v>
      </c>
      <c r="D6" s="1" t="s">
        <v>1</v>
      </c>
      <c r="E6" s="2">
        <f>B8+B9</f>
        <v>4.125</v>
      </c>
    </row>
    <row r="7" spans="1:6" x14ac:dyDescent="0.25">
      <c r="A7" s="3" t="s">
        <v>3</v>
      </c>
      <c r="B7" s="3">
        <v>0</v>
      </c>
    </row>
    <row r="8" spans="1:6" x14ac:dyDescent="0.25">
      <c r="A8" t="s">
        <v>0</v>
      </c>
      <c r="B8">
        <v>3.125</v>
      </c>
      <c r="D8" s="8" t="s">
        <v>9</v>
      </c>
      <c r="E8" s="9">
        <f>B17*B8/((B11*B9)-(0.6*B17))</f>
        <v>0.19120539318078697</v>
      </c>
    </row>
    <row r="9" spans="1:6" x14ac:dyDescent="0.25">
      <c r="A9" t="s">
        <v>10</v>
      </c>
      <c r="B9" s="3">
        <v>1</v>
      </c>
      <c r="D9" s="10" t="s">
        <v>11</v>
      </c>
      <c r="E9" s="11">
        <f>B17*B8/((2*B11*B9)+(0.4*B17))</f>
        <v>9.1141451881999139E-2</v>
      </c>
    </row>
    <row r="10" spans="1:6" x14ac:dyDescent="0.25">
      <c r="A10" s="4" t="s">
        <v>6</v>
      </c>
      <c r="B10">
        <v>2</v>
      </c>
      <c r="D10" s="12" t="s">
        <v>16</v>
      </c>
      <c r="E10" s="13">
        <f>MAX(E8:E9)</f>
        <v>0.19120539318078697</v>
      </c>
    </row>
    <row r="11" spans="1:6" x14ac:dyDescent="0.25">
      <c r="A11" t="s">
        <v>8</v>
      </c>
      <c r="B11">
        <v>33000</v>
      </c>
      <c r="D11" s="7"/>
      <c r="E11" s="6"/>
    </row>
    <row r="12" spans="1:6" x14ac:dyDescent="0.25">
      <c r="D12" s="143" t="s">
        <v>58</v>
      </c>
      <c r="E12" s="144">
        <f>(B17*B8)/((2*B11*B9)-(0.2*B17))</f>
        <v>9.2764757093841771E-2</v>
      </c>
    </row>
    <row r="13" spans="1:6" x14ac:dyDescent="0.25">
      <c r="D13" s="145" t="s">
        <v>59</v>
      </c>
      <c r="E13" s="146">
        <f>E12</f>
        <v>9.2764757093841771E-2</v>
      </c>
    </row>
    <row r="14" spans="1:6" x14ac:dyDescent="0.25">
      <c r="D14" s="5"/>
      <c r="E14" s="5"/>
    </row>
    <row r="15" spans="1:6" x14ac:dyDescent="0.25">
      <c r="D15" s="5"/>
      <c r="E15" s="5"/>
    </row>
    <row r="16" spans="1:6" ht="30" x14ac:dyDescent="0.25">
      <c r="A16" s="60" t="s">
        <v>42</v>
      </c>
      <c r="B16" s="61">
        <f>'N2O Pressure Calcs'!H53</f>
        <v>973.81435318758076</v>
      </c>
      <c r="D16" s="5"/>
      <c r="E16" s="5"/>
    </row>
    <row r="17" spans="1:5" x14ac:dyDescent="0.25">
      <c r="A17" s="58" t="s">
        <v>43</v>
      </c>
      <c r="B17" s="59">
        <f>B10*B16</f>
        <v>1947.6287063751615</v>
      </c>
      <c r="D17" s="5"/>
      <c r="E17" s="5"/>
    </row>
    <row r="18" spans="1:5" x14ac:dyDescent="0.25">
      <c r="A18" s="64"/>
      <c r="B18" s="62"/>
      <c r="C18" s="63"/>
      <c r="D18" s="5"/>
      <c r="E18" s="5"/>
    </row>
    <row r="19" spans="1:5" ht="30" x14ac:dyDescent="0.25">
      <c r="A19" s="60" t="s">
        <v>42</v>
      </c>
      <c r="B19" s="61">
        <f>'N2O Pressure Calcs'!J53</f>
        <v>1044.3903139732606</v>
      </c>
      <c r="D19" s="5"/>
      <c r="E19" s="5"/>
    </row>
    <row r="24" spans="1:5" ht="33.75" customHeight="1" x14ac:dyDescent="0.25">
      <c r="A24" s="55"/>
      <c r="B24" s="21"/>
    </row>
    <row r="25" spans="1:5" ht="15" customHeight="1" x14ac:dyDescent="0.25">
      <c r="A25" s="56"/>
      <c r="B25" s="22"/>
    </row>
    <row r="26" spans="1:5" x14ac:dyDescent="0.25">
      <c r="A26" s="22"/>
      <c r="B26" s="22"/>
    </row>
    <row r="27" spans="1:5" x14ac:dyDescent="0.25">
      <c r="A27" s="54"/>
      <c r="B27" s="22"/>
    </row>
    <row r="28" spans="1:5" ht="15" customHeight="1" x14ac:dyDescent="0.25">
      <c r="A28" s="57"/>
      <c r="B28" s="21"/>
    </row>
    <row r="29" spans="1:5" x14ac:dyDescent="0.25">
      <c r="A29" s="57"/>
      <c r="B29" s="22"/>
    </row>
    <row r="30" spans="1:5" x14ac:dyDescent="0.25">
      <c r="A30" s="57"/>
      <c r="B30" s="21"/>
    </row>
    <row r="31" spans="1:5" x14ac:dyDescent="0.25">
      <c r="A31" s="54"/>
    </row>
  </sheetData>
  <mergeCells count="5">
    <mergeCell ref="A1:F1"/>
    <mergeCell ref="A2:F2"/>
    <mergeCell ref="D5:E5"/>
    <mergeCell ref="A5:B5"/>
    <mergeCell ref="A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tabSelected="1" zoomScale="70" zoomScaleNormal="70" workbookViewId="0">
      <pane xSplit="1" topLeftCell="I1" activePane="topRight" state="frozen"/>
      <selection pane="topRight" activeCell="P1" sqref="P1"/>
    </sheetView>
  </sheetViews>
  <sheetFormatPr defaultColWidth="11.42578125" defaultRowHeight="15" x14ac:dyDescent="0.25"/>
  <cols>
    <col min="1" max="1" width="10.85546875" style="24"/>
    <col min="2" max="2" width="12.5703125" bestFit="1" customWidth="1"/>
    <col min="3" max="3" width="12.7109375" bestFit="1" customWidth="1"/>
    <col min="4" max="4" width="11" style="23" bestFit="1" customWidth="1"/>
    <col min="5" max="6" width="4.42578125" customWidth="1"/>
    <col min="7" max="7" width="14" style="36" customWidth="1"/>
    <col min="8" max="8" width="16" style="35" customWidth="1"/>
    <col min="9" max="9" width="22" style="37" bestFit="1" customWidth="1"/>
    <col min="10" max="10" width="15.28515625" style="35" customWidth="1"/>
    <col min="11" max="11" width="11" style="48" bestFit="1" customWidth="1"/>
    <col min="12" max="12" width="30.85546875" bestFit="1" customWidth="1"/>
    <col min="15" max="15" width="25" customWidth="1"/>
  </cols>
  <sheetData>
    <row r="1" spans="1:16" ht="23.25" customHeight="1" x14ac:dyDescent="0.25">
      <c r="A1" s="76"/>
      <c r="B1" s="161" t="s">
        <v>18</v>
      </c>
      <c r="C1" s="162"/>
      <c r="D1" s="163"/>
      <c r="E1" s="14"/>
      <c r="F1" s="14"/>
      <c r="G1" s="158" t="s">
        <v>35</v>
      </c>
      <c r="H1" s="159"/>
      <c r="I1" s="159"/>
      <c r="J1" s="160"/>
      <c r="K1" s="46"/>
      <c r="L1" t="s">
        <v>27</v>
      </c>
      <c r="M1">
        <v>1.5</v>
      </c>
      <c r="O1" t="s">
        <v>31</v>
      </c>
      <c r="P1">
        <f>'N2O Ullage Calcs'!G57</f>
        <v>3.1787800807053701</v>
      </c>
    </row>
    <row r="2" spans="1:16" x14ac:dyDescent="0.25">
      <c r="A2" s="27" t="s">
        <v>19</v>
      </c>
      <c r="B2" t="s">
        <v>21</v>
      </c>
      <c r="C2" s="17" t="s">
        <v>22</v>
      </c>
      <c r="D2" s="25" t="s">
        <v>23</v>
      </c>
      <c r="E2" s="17"/>
      <c r="F2" s="17"/>
      <c r="G2" s="155" t="s">
        <v>25</v>
      </c>
      <c r="H2" s="156"/>
      <c r="I2" s="156" t="s">
        <v>26</v>
      </c>
      <c r="J2" s="157"/>
      <c r="K2" s="45"/>
      <c r="L2" s="62" t="s">
        <v>15</v>
      </c>
      <c r="M2" s="62">
        <f>P1+(2*P3)</f>
        <v>3.6996134140387036</v>
      </c>
      <c r="O2" t="s">
        <v>32</v>
      </c>
      <c r="P2">
        <f>'BPV Calcs'!B8</f>
        <v>3.125</v>
      </c>
    </row>
    <row r="3" spans="1:16" x14ac:dyDescent="0.25">
      <c r="A3" s="30" t="s">
        <v>17</v>
      </c>
      <c r="B3" s="19" t="s">
        <v>20</v>
      </c>
      <c r="C3" s="20" t="s">
        <v>24</v>
      </c>
      <c r="D3" s="31" t="s">
        <v>24</v>
      </c>
      <c r="E3" s="17"/>
      <c r="F3" s="17"/>
      <c r="G3" s="32" t="s">
        <v>29</v>
      </c>
      <c r="H3" s="34" t="s">
        <v>28</v>
      </c>
      <c r="I3" s="33" t="s">
        <v>30</v>
      </c>
      <c r="J3" s="34" t="s">
        <v>28</v>
      </c>
      <c r="K3" s="47"/>
      <c r="L3" s="150" t="s">
        <v>14</v>
      </c>
      <c r="M3" s="150">
        <v>32.200000000000003</v>
      </c>
      <c r="O3" t="s">
        <v>33</v>
      </c>
      <c r="P3">
        <f>P2/12</f>
        <v>0.26041666666666669</v>
      </c>
    </row>
    <row r="4" spans="1:16" x14ac:dyDescent="0.25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C4*$M$3*($M$2+$M$4)</f>
        <v>238.00026166501797</v>
      </c>
      <c r="H4" s="35">
        <f t="shared" ref="H4:H46" si="0">B4+(C4*$M$3*$M$2)</f>
        <v>662.48452805698594</v>
      </c>
      <c r="I4" s="37">
        <f t="shared" ref="I4:I46" si="1">C4*$M$3*$M$1</f>
        <v>85.007917944096008</v>
      </c>
      <c r="J4" s="35">
        <f t="shared" ref="J4:J33" si="2">H4+I4</f>
        <v>747.49244600108193</v>
      </c>
      <c r="L4" s="148" t="s">
        <v>62</v>
      </c>
      <c r="M4" s="148">
        <v>0.5</v>
      </c>
    </row>
    <row r="5" spans="1:16" x14ac:dyDescent="0.25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3">C5*$M$3*($M$2+$M$4)</f>
        <v>237.33091823520419</v>
      </c>
      <c r="H5" s="35">
        <f t="shared" si="0"/>
        <v>667.72830406392427</v>
      </c>
      <c r="I5" s="37">
        <f t="shared" si="1"/>
        <v>84.768844713840011</v>
      </c>
      <c r="J5" s="35">
        <f t="shared" si="2"/>
        <v>752.49714877776432</v>
      </c>
      <c r="L5" t="s">
        <v>37</v>
      </c>
      <c r="M5">
        <v>0.87815195180003003</v>
      </c>
    </row>
    <row r="6" spans="1:16" x14ac:dyDescent="0.25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3"/>
        <v>236.65658949564269</v>
      </c>
      <c r="H6" s="35">
        <f t="shared" si="0"/>
        <v>673.0242531250027</v>
      </c>
      <c r="I6" s="37">
        <f t="shared" si="1"/>
        <v>84.527990851920009</v>
      </c>
      <c r="J6" s="35">
        <f t="shared" si="2"/>
        <v>757.55224397692268</v>
      </c>
      <c r="L6" t="s">
        <v>38</v>
      </c>
      <c r="M6">
        <v>1.25</v>
      </c>
    </row>
    <row r="7" spans="1:16" x14ac:dyDescent="0.25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3"/>
        <v>235.97780021578055</v>
      </c>
      <c r="H7" s="35">
        <f t="shared" si="0"/>
        <v>678.36993677136456</v>
      </c>
      <c r="I7" s="37">
        <f t="shared" si="1"/>
        <v>84.285543793247996</v>
      </c>
      <c r="J7" s="35">
        <f t="shared" si="2"/>
        <v>762.65548056461262</v>
      </c>
      <c r="L7" s="149" t="s">
        <v>39</v>
      </c>
      <c r="M7" s="149">
        <f>M5*M6</f>
        <v>1.0976899397500375</v>
      </c>
    </row>
    <row r="8" spans="1:16" x14ac:dyDescent="0.25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3"/>
        <v>235.29428801089432</v>
      </c>
      <c r="H8" s="35">
        <f t="shared" si="0"/>
        <v>683.76657423743836</v>
      </c>
      <c r="I8" s="37">
        <f t="shared" si="1"/>
        <v>84.041409820368003</v>
      </c>
      <c r="J8" s="35">
        <f t="shared" si="2"/>
        <v>767.80798405780638</v>
      </c>
    </row>
    <row r="9" spans="1:16" x14ac:dyDescent="0.25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3"/>
        <v>234.60579049626034</v>
      </c>
      <c r="H9" s="35">
        <f t="shared" si="0"/>
        <v>689.21538475765237</v>
      </c>
      <c r="I9" s="37">
        <f t="shared" si="1"/>
        <v>83.795495215824019</v>
      </c>
      <c r="J9" s="35">
        <f t="shared" si="2"/>
        <v>773.01087997347645</v>
      </c>
    </row>
    <row r="10" spans="1:16" x14ac:dyDescent="0.25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3"/>
        <v>233.91204528715502</v>
      </c>
      <c r="H10" s="35">
        <f t="shared" si="0"/>
        <v>694.714686806435</v>
      </c>
      <c r="I10" s="37">
        <f t="shared" si="1"/>
        <v>83.547706262160006</v>
      </c>
      <c r="J10" s="35">
        <f t="shared" si="2"/>
        <v>778.26239306859497</v>
      </c>
    </row>
    <row r="11" spans="1:16" x14ac:dyDescent="0.25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3"/>
        <v>233.21357715302554</v>
      </c>
      <c r="H11" s="35">
        <f t="shared" si="0"/>
        <v>700.26784343492955</v>
      </c>
      <c r="I11" s="37">
        <f t="shared" si="1"/>
        <v>83.298230394287998</v>
      </c>
      <c r="J11" s="35">
        <f t="shared" si="2"/>
        <v>783.56607382921754</v>
      </c>
    </row>
    <row r="12" spans="1:16" x14ac:dyDescent="0.25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3"/>
        <v>232.50933655497764</v>
      </c>
      <c r="H12" s="35">
        <f t="shared" si="0"/>
        <v>705.87247968084966</v>
      </c>
      <c r="I12" s="37">
        <f t="shared" si="1"/>
        <v>83.046692742383996</v>
      </c>
      <c r="J12" s="35">
        <f t="shared" si="2"/>
        <v>788.9191724232337</v>
      </c>
    </row>
    <row r="13" spans="1:16" x14ac:dyDescent="0.25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3"/>
        <v>231.80011064718204</v>
      </c>
      <c r="H13" s="35">
        <f t="shared" si="0"/>
        <v>711.52928898091011</v>
      </c>
      <c r="I13" s="37">
        <f t="shared" si="1"/>
        <v>82.793374458816004</v>
      </c>
      <c r="J13" s="35">
        <f t="shared" si="2"/>
        <v>794.32266343972606</v>
      </c>
    </row>
    <row r="14" spans="1:16" x14ac:dyDescent="0.25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3"/>
        <v>231.08511227546799</v>
      </c>
      <c r="H14" s="35">
        <f t="shared" si="0"/>
        <v>717.240478658396</v>
      </c>
      <c r="I14" s="37">
        <f t="shared" si="1"/>
        <v>82.537994391216003</v>
      </c>
      <c r="J14" s="35">
        <f t="shared" si="2"/>
        <v>799.77847304961199</v>
      </c>
    </row>
    <row r="15" spans="1:16" x14ac:dyDescent="0.25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3"/>
        <v>230.36460382455908</v>
      </c>
      <c r="H15" s="35">
        <f t="shared" si="0"/>
        <v>723.00337909887901</v>
      </c>
      <c r="I15" s="37">
        <f t="shared" si="1"/>
        <v>82.280646257040004</v>
      </c>
      <c r="J15" s="35">
        <f t="shared" si="2"/>
        <v>805.28402535591897</v>
      </c>
    </row>
    <row r="16" spans="1:16" x14ac:dyDescent="0.25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3"/>
        <v>229.6380605250082</v>
      </c>
      <c r="H16" s="35">
        <f t="shared" si="0"/>
        <v>728.81897839121621</v>
      </c>
      <c r="I16" s="37">
        <f t="shared" si="1"/>
        <v>82.021142621376015</v>
      </c>
      <c r="J16" s="35">
        <f t="shared" si="2"/>
        <v>810.84012101259225</v>
      </c>
    </row>
    <row r="17" spans="1:10" x14ac:dyDescent="0.25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3"/>
        <v>228.90548237681529</v>
      </c>
      <c r="H17" s="35">
        <f t="shared" si="0"/>
        <v>734.68872691540741</v>
      </c>
      <c r="I17" s="37">
        <f t="shared" si="1"/>
        <v>81.759483484224006</v>
      </c>
      <c r="J17" s="35">
        <f t="shared" si="2"/>
        <v>816.44821039963142</v>
      </c>
    </row>
    <row r="18" spans="1:10" x14ac:dyDescent="0.25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3"/>
        <v>228.16686937998043</v>
      </c>
      <c r="H18" s="35">
        <f t="shared" si="0"/>
        <v>740.61262467145252</v>
      </c>
      <c r="I18" s="37">
        <f t="shared" si="1"/>
        <v>81.495668845584021</v>
      </c>
      <c r="J18" s="35">
        <f t="shared" si="2"/>
        <v>822.1082935170366</v>
      </c>
    </row>
    <row r="19" spans="1:10" x14ac:dyDescent="0.25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3"/>
        <v>227.42195914977995</v>
      </c>
      <c r="H19" s="35">
        <f t="shared" si="0"/>
        <v>746.59189089378003</v>
      </c>
      <c r="I19" s="37">
        <f t="shared" si="1"/>
        <v>81.229604988000006</v>
      </c>
      <c r="J19" s="35">
        <f t="shared" si="2"/>
        <v>827.82149588178004</v>
      </c>
    </row>
    <row r="20" spans="1:10" x14ac:dyDescent="0.25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3"/>
        <v>226.67048930149042</v>
      </c>
      <c r="H20" s="35">
        <f t="shared" si="0"/>
        <v>752.62339367681852</v>
      </c>
      <c r="I20" s="37">
        <f t="shared" si="1"/>
        <v>80.961198194015992</v>
      </c>
      <c r="J20" s="35">
        <f t="shared" si="2"/>
        <v>833.58459187083452</v>
      </c>
    </row>
    <row r="21" spans="1:10" x14ac:dyDescent="0.25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3"/>
        <v>225.91245983511175</v>
      </c>
      <c r="H21" s="35">
        <f t="shared" si="0"/>
        <v>758.71003378056776</v>
      </c>
      <c r="I21" s="37">
        <f t="shared" si="1"/>
        <v>80.690448463632009</v>
      </c>
      <c r="J21" s="35">
        <f t="shared" si="2"/>
        <v>839.40048224419979</v>
      </c>
    </row>
    <row r="22" spans="1:10" x14ac:dyDescent="0.25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3"/>
        <v>225.14734598119685</v>
      </c>
      <c r="H22" s="35">
        <f t="shared" si="0"/>
        <v>764.8527992938848</v>
      </c>
      <c r="I22" s="37">
        <f t="shared" si="1"/>
        <v>80.417168361936007</v>
      </c>
      <c r="J22" s="35">
        <f t="shared" si="2"/>
        <v>845.26996765582078</v>
      </c>
    </row>
    <row r="23" spans="1:10" x14ac:dyDescent="0.25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3"/>
        <v>224.3751477397457</v>
      </c>
      <c r="H23" s="35">
        <f t="shared" si="0"/>
        <v>771.04878945676967</v>
      </c>
      <c r="I23" s="37">
        <f t="shared" si="1"/>
        <v>80.141357888928013</v>
      </c>
      <c r="J23" s="35">
        <f t="shared" si="2"/>
        <v>851.19014734569771</v>
      </c>
    </row>
    <row r="24" spans="1:10" x14ac:dyDescent="0.25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3"/>
        <v>223.59560272603466</v>
      </c>
      <c r="H24" s="35">
        <f t="shared" si="0"/>
        <v>777.30067388365069</v>
      </c>
      <c r="I24" s="37">
        <f t="shared" si="1"/>
        <v>79.862923327152004</v>
      </c>
      <c r="J24" s="35">
        <f t="shared" si="2"/>
        <v>857.16359721080266</v>
      </c>
    </row>
    <row r="25" spans="1:10" x14ac:dyDescent="0.25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3"/>
        <v>222.80871094006389</v>
      </c>
      <c r="H25" s="35">
        <f t="shared" si="0"/>
        <v>783.60845257452797</v>
      </c>
      <c r="I25" s="37">
        <f t="shared" si="1"/>
        <v>79.581864676608006</v>
      </c>
      <c r="J25" s="35">
        <f t="shared" si="2"/>
        <v>863.19031725113598</v>
      </c>
    </row>
    <row r="26" spans="1:10" x14ac:dyDescent="0.25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>C26*$M$3*($M$2+$M$4)</f>
        <v>222.01394761238618</v>
      </c>
      <c r="H26" s="35">
        <f t="shared" si="0"/>
        <v>789.97166323825809</v>
      </c>
      <c r="I26" s="37">
        <f t="shared" si="1"/>
        <v>79.297994502384014</v>
      </c>
      <c r="J26" s="35">
        <f t="shared" si="2"/>
        <v>869.26965774064206</v>
      </c>
    </row>
    <row r="27" spans="1:10" x14ac:dyDescent="0.25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3"/>
        <v>221.21105035827787</v>
      </c>
      <c r="H27" s="35">
        <f t="shared" si="0"/>
        <v>796.39152510926999</v>
      </c>
      <c r="I27" s="37">
        <f t="shared" si="1"/>
        <v>79.011219087024003</v>
      </c>
      <c r="J27" s="35">
        <f t="shared" si="2"/>
        <v>875.40274419629395</v>
      </c>
    </row>
    <row r="28" spans="1:10" x14ac:dyDescent="0.25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3"/>
        <v>220.40001917773915</v>
      </c>
      <c r="H28" s="35">
        <f t="shared" si="0"/>
        <v>802.86658780756318</v>
      </c>
      <c r="I28" s="37">
        <f t="shared" si="1"/>
        <v>78.721538430528014</v>
      </c>
      <c r="J28" s="35">
        <f t="shared" si="2"/>
        <v>881.58812623809115</v>
      </c>
    </row>
    <row r="29" spans="1:10" x14ac:dyDescent="0.25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3"/>
        <v>219.58006691659915</v>
      </c>
      <c r="H29" s="35">
        <f t="shared" si="0"/>
        <v>809.39905865642322</v>
      </c>
      <c r="I29" s="37">
        <f t="shared" si="1"/>
        <v>78.428671380528002</v>
      </c>
      <c r="J29" s="35">
        <f t="shared" si="2"/>
        <v>887.82773003695127</v>
      </c>
    </row>
    <row r="30" spans="1:10" x14ac:dyDescent="0.25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3"/>
        <v>218.75145595958156</v>
      </c>
      <c r="H30" s="35">
        <f t="shared" si="0"/>
        <v>815.9877184214215</v>
      </c>
      <c r="I30" s="37">
        <f t="shared" si="1"/>
        <v>78.132711654480005</v>
      </c>
      <c r="J30" s="35">
        <f t="shared" si="2"/>
        <v>894.12043007590148</v>
      </c>
    </row>
    <row r="31" spans="1:10" x14ac:dyDescent="0.25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3"/>
        <v>217.91366153723919</v>
      </c>
      <c r="H31" s="35">
        <f t="shared" si="0"/>
        <v>822.63355519141521</v>
      </c>
      <c r="I31" s="37">
        <f t="shared" si="1"/>
        <v>77.833471817472002</v>
      </c>
      <c r="J31" s="35">
        <f t="shared" si="2"/>
        <v>900.46702700888727</v>
      </c>
    </row>
    <row r="32" spans="1:10" x14ac:dyDescent="0.25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3"/>
        <v>217.06642126484849</v>
      </c>
      <c r="H32" s="35">
        <f t="shared" si="0"/>
        <v>829.33633782083257</v>
      </c>
      <c r="I32" s="37">
        <f t="shared" si="1"/>
        <v>77.530858152048012</v>
      </c>
      <c r="J32" s="35">
        <f t="shared" si="2"/>
        <v>906.86719597288061</v>
      </c>
    </row>
    <row r="33" spans="1:12" x14ac:dyDescent="0.25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3"/>
        <v>216.2092103729623</v>
      </c>
      <c r="H33" s="35">
        <f t="shared" si="0"/>
        <v>836.09560401853037</v>
      </c>
      <c r="I33" s="37">
        <f t="shared" si="1"/>
        <v>77.224683223295997</v>
      </c>
      <c r="J33" s="35">
        <f t="shared" si="2"/>
        <v>913.32028724182635</v>
      </c>
    </row>
    <row r="34" spans="1:12" x14ac:dyDescent="0.25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3"/>
        <v>215.34176647685715</v>
      </c>
      <c r="H34" s="35">
        <f t="shared" si="0"/>
        <v>842.91402339893716</v>
      </c>
      <c r="I34" s="37">
        <f t="shared" si="1"/>
        <v>76.914853313760005</v>
      </c>
      <c r="J34" s="35">
        <f t="shared" ref="J34:J79" si="4">H34+I34</f>
        <v>919.82887671269714</v>
      </c>
    </row>
    <row r="35" spans="1:12" x14ac:dyDescent="0.25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3"/>
        <v>214.46356480708582</v>
      </c>
      <c r="H35" s="35">
        <f t="shared" si="0"/>
        <v>849.78823291090987</v>
      </c>
      <c r="I35" s="37">
        <f t="shared" si="1"/>
        <v>76.601180988528014</v>
      </c>
      <c r="J35" s="35">
        <f t="shared" si="4"/>
        <v>926.38941389943784</v>
      </c>
    </row>
    <row r="36" spans="1:12" x14ac:dyDescent="0.25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3"/>
        <v>213.57434297892473</v>
      </c>
      <c r="H36" s="35">
        <f t="shared" si="0"/>
        <v>856.72235254887687</v>
      </c>
      <c r="I36" s="37">
        <f t="shared" si="1"/>
        <v>76.283572530144014</v>
      </c>
      <c r="J36" s="35">
        <f t="shared" si="4"/>
        <v>933.00592507902093</v>
      </c>
    </row>
    <row r="37" spans="1:12" x14ac:dyDescent="0.25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3"/>
        <v>212.67357622292684</v>
      </c>
      <c r="H37" s="35">
        <f t="shared" si="0"/>
        <v>863.71301926169485</v>
      </c>
      <c r="I37" s="37">
        <f t="shared" si="1"/>
        <v>75.96184050369601</v>
      </c>
      <c r="J37" s="35">
        <f t="shared" si="4"/>
        <v>939.67485976539092</v>
      </c>
    </row>
    <row r="38" spans="1:12" x14ac:dyDescent="0.25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3"/>
        <v>211.76073976964491</v>
      </c>
      <c r="H38" s="35">
        <f t="shared" si="0"/>
        <v>870.76122113822089</v>
      </c>
      <c r="I38" s="37">
        <f t="shared" si="1"/>
        <v>75.63579747427201</v>
      </c>
      <c r="J38" s="35">
        <f t="shared" si="4"/>
        <v>946.39701861249296</v>
      </c>
    </row>
    <row r="39" spans="1:12" x14ac:dyDescent="0.25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3"/>
        <v>210.8353088496319</v>
      </c>
      <c r="H39" s="35">
        <f t="shared" si="0"/>
        <v>877.86794626731194</v>
      </c>
      <c r="I39" s="37">
        <f t="shared" si="1"/>
        <v>75.305256006960008</v>
      </c>
      <c r="J39" s="35">
        <f t="shared" si="4"/>
        <v>953.17320227427194</v>
      </c>
    </row>
    <row r="40" spans="1:12" x14ac:dyDescent="0.25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3"/>
        <v>209.89702107816422</v>
      </c>
      <c r="H40" s="35">
        <f t="shared" si="0"/>
        <v>885.03441388339627</v>
      </c>
      <c r="I40" s="37">
        <f t="shared" si="1"/>
        <v>74.970122384304005</v>
      </c>
      <c r="J40" s="35">
        <f t="shared" si="4"/>
        <v>960.00453626770025</v>
      </c>
    </row>
    <row r="41" spans="1:12" x14ac:dyDescent="0.25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3"/>
        <v>208.94482691634764</v>
      </c>
      <c r="H41" s="35">
        <f t="shared" si="0"/>
        <v>892.25679864418771</v>
      </c>
      <c r="I41" s="37">
        <f t="shared" si="1"/>
        <v>74.630021736480018</v>
      </c>
      <c r="J41" s="35">
        <f t="shared" si="4"/>
        <v>966.8868203806677</v>
      </c>
    </row>
    <row r="42" spans="1:12" x14ac:dyDescent="0.25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3"/>
        <v>207.97820159473491</v>
      </c>
      <c r="H42" s="35">
        <f t="shared" si="0"/>
        <v>899.53898939854287</v>
      </c>
      <c r="I42" s="37">
        <f t="shared" si="1"/>
        <v>74.284766628575994</v>
      </c>
      <c r="J42" s="35">
        <f t="shared" si="4"/>
        <v>973.82375602711886</v>
      </c>
    </row>
    <row r="43" spans="1:12" x14ac:dyDescent="0.25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3"/>
        <v>206.99662034387904</v>
      </c>
      <c r="H43" s="35">
        <f t="shared" si="0"/>
        <v>906.8805238553191</v>
      </c>
      <c r="I43" s="37">
        <f t="shared" si="1"/>
        <v>73.934169625679999</v>
      </c>
      <c r="J43" s="35">
        <f t="shared" si="4"/>
        <v>980.81469348099904</v>
      </c>
    </row>
    <row r="44" spans="1:12" x14ac:dyDescent="0.25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3"/>
        <v>205.99929600960931</v>
      </c>
      <c r="H44" s="35">
        <f t="shared" si="0"/>
        <v>914.27925819780137</v>
      </c>
      <c r="I44" s="37">
        <f t="shared" si="1"/>
        <v>73.577949575424014</v>
      </c>
      <c r="J44" s="35">
        <f t="shared" si="4"/>
        <v>987.85720777322535</v>
      </c>
    </row>
    <row r="45" spans="1:12" x14ac:dyDescent="0.25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3"/>
        <v>204.9851790530314</v>
      </c>
      <c r="H45" s="35">
        <f t="shared" si="0"/>
        <v>921.73716860370348</v>
      </c>
      <c r="I45" s="37">
        <f t="shared" si="1"/>
        <v>73.215731607984011</v>
      </c>
      <c r="J45" s="35">
        <f t="shared" si="4"/>
        <v>994.95290021168751</v>
      </c>
    </row>
    <row r="46" spans="1:12" x14ac:dyDescent="0.25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3"/>
        <v>203.95374470469821</v>
      </c>
      <c r="H46" s="35">
        <f t="shared" si="0"/>
        <v>929.25234240188217</v>
      </c>
      <c r="I46" s="37">
        <f t="shared" si="1"/>
        <v>72.847328288447997</v>
      </c>
      <c r="J46" s="35">
        <f t="shared" si="4"/>
        <v>1002.0996706903302</v>
      </c>
    </row>
    <row r="47" spans="1:12" x14ac:dyDescent="0.25">
      <c r="A47" s="66">
        <v>70</v>
      </c>
      <c r="B47" s="67">
        <f>B46+(((B48-B46)/($A$48-$A$46))*($A$47-$A$46))</f>
        <v>751.46975752666663</v>
      </c>
      <c r="C47" s="43">
        <f>C46+(((C48-C46)/($A$48-$A$46))*($A$47-$A$46))</f>
        <v>1.5065010984888887</v>
      </c>
      <c r="D47" s="44">
        <f>D46+(((D48-D46)/($A$48-$A$46))*($A$47-$A$46))</f>
        <v>0.31840613902737774</v>
      </c>
      <c r="E47" s="17"/>
      <c r="F47" s="17"/>
      <c r="G47" s="36">
        <f>G46+(((G48-G46)/($A$48-$A$46))*($A$47-$A$46))</f>
        <v>203.72045553159094</v>
      </c>
      <c r="H47" s="43">
        <f t="shared" ref="H47:J47" si="5">H46+(((H48-H46)/($A$48-$A$46))*($A$47-$A$46))</f>
        <v>930.93554537258649</v>
      </c>
      <c r="I47" s="40">
        <f t="shared" si="5"/>
        <v>72.764003057013326</v>
      </c>
      <c r="J47" s="43">
        <f t="shared" si="5"/>
        <v>1003.6995484295998</v>
      </c>
      <c r="K47" s="41" t="s">
        <v>34</v>
      </c>
      <c r="L47" s="51"/>
    </row>
    <row r="48" spans="1:12" x14ac:dyDescent="0.25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3"/>
        <v>202.90394342571548</v>
      </c>
      <c r="H48" s="35">
        <f>B48+(C48*$M$3*$M$2)</f>
        <v>936.82675577005148</v>
      </c>
      <c r="I48" s="37">
        <f>C48*$M$3*$M$1</f>
        <v>72.472364746992</v>
      </c>
      <c r="J48" s="35">
        <f t="shared" si="4"/>
        <v>1009.2991205170434</v>
      </c>
    </row>
    <row r="49" spans="1:12" x14ac:dyDescent="0.25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3"/>
        <v>201.83446329246541</v>
      </c>
      <c r="H49" s="35">
        <f>B49+(C49*$M$3*$M$2)</f>
        <v>944.45925298035331</v>
      </c>
      <c r="I49" s="37">
        <f>C49*$M$3*$M$1</f>
        <v>72.090372396335994</v>
      </c>
      <c r="J49" s="35">
        <f t="shared" si="4"/>
        <v>1016.5496253766893</v>
      </c>
    </row>
    <row r="50" spans="1:12" x14ac:dyDescent="0.25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3"/>
        <v>200.74425476605376</v>
      </c>
      <c r="H50" s="35">
        <f>B50+(C50*$M$3*$M$2)</f>
        <v>952.14890945050183</v>
      </c>
      <c r="I50" s="37">
        <f>C50*$M$3*$M$1</f>
        <v>71.700976366656008</v>
      </c>
      <c r="J50" s="35">
        <f t="shared" si="4"/>
        <v>1023.8498858171579</v>
      </c>
    </row>
    <row r="51" spans="1:12" x14ac:dyDescent="0.25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3"/>
        <v>199.63226830758614</v>
      </c>
      <c r="H51" s="35">
        <f>B51+(C51*$M$3*$M$2)</f>
        <v>959.89625097821022</v>
      </c>
      <c r="I51" s="37">
        <f>C51*$M$3*$M$1</f>
        <v>71.303801788127998</v>
      </c>
      <c r="J51" s="35">
        <f t="shared" si="4"/>
        <v>1031.2000527663381</v>
      </c>
    </row>
    <row r="52" spans="1:12" x14ac:dyDescent="0.25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3"/>
        <v>198.49692960872133</v>
      </c>
      <c r="H52" s="35">
        <f>B52+(C52*$M$3*$M$2)</f>
        <v>967.69989069004941</v>
      </c>
      <c r="I52" s="36">
        <f>C52*$M$3*$M$1</f>
        <v>70.898286356016001</v>
      </c>
      <c r="J52" s="35">
        <f t="shared" si="4"/>
        <v>1038.5981770460653</v>
      </c>
    </row>
    <row r="53" spans="1:12" x14ac:dyDescent="0.25">
      <c r="A53" s="78">
        <v>75</v>
      </c>
      <c r="B53" s="79">
        <f>B52+(((B54-B52)/($A$54-$A$52))*($A$53-$A$52))</f>
        <v>799.74517236666668</v>
      </c>
      <c r="C53" s="80">
        <f t="shared" ref="C53:D53" si="6">C52+(((C54-C52)/($A$54-$A$52))*($A$53-$A$52))</f>
        <v>1.4612000162666667</v>
      </c>
      <c r="D53" s="81">
        <f t="shared" si="6"/>
        <v>0.35142632153493331</v>
      </c>
      <c r="E53" s="82"/>
      <c r="F53" s="82"/>
      <c r="G53" s="36">
        <f>G52+(((G54-G52)/($A$54-$A$52))*($A$53-$A$52))</f>
        <v>197.59450108280751</v>
      </c>
      <c r="H53" s="81">
        <f t="shared" ref="H53" si="7">H52+(((H54-H52)/($A$54-$A$52))*($A$53-$A$52))</f>
        <v>973.81435318758076</v>
      </c>
      <c r="I53" s="83">
        <f t="shared" ref="I53" si="8">I52+(((I54-I52)/($A$54-$A$52))*($A$53-$A$52))</f>
        <v>70.57596078568001</v>
      </c>
      <c r="J53" s="81">
        <f t="shared" ref="J53" si="9">J52+(((J54-J52)/($A$54-$A$52))*($A$53-$A$52))</f>
        <v>1044.3903139732606</v>
      </c>
      <c r="K53" s="42" t="s">
        <v>34</v>
      </c>
      <c r="L53" s="77" t="s">
        <v>55</v>
      </c>
    </row>
    <row r="54" spans="1:12" x14ac:dyDescent="0.25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3"/>
        <v>197.33666436111784</v>
      </c>
      <c r="H54" s="35">
        <f t="shared" ref="H54:H79" si="10">B54+(C54*$M$3*$M$2)</f>
        <v>975.56134247258979</v>
      </c>
      <c r="I54" s="37">
        <f t="shared" ref="I54:I79" si="11">C54*$M$3*$M$1</f>
        <v>70.483867765584009</v>
      </c>
      <c r="J54" s="35">
        <f t="shared" si="4"/>
        <v>1046.0452102381737</v>
      </c>
    </row>
    <row r="55" spans="1:12" x14ac:dyDescent="0.25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3"/>
        <v>196.14963587171076</v>
      </c>
      <c r="H55" s="35">
        <f t="shared" si="10"/>
        <v>983.47898830683084</v>
      </c>
      <c r="I55" s="37">
        <f t="shared" si="11"/>
        <v>70.059889994640017</v>
      </c>
      <c r="J55" s="35">
        <f t="shared" si="4"/>
        <v>1053.538878301471</v>
      </c>
    </row>
    <row r="56" spans="1:12" x14ac:dyDescent="0.25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3"/>
        <v>194.93426983215863</v>
      </c>
      <c r="H56" s="35">
        <f t="shared" si="10"/>
        <v>991.45144131934262</v>
      </c>
      <c r="I56" s="37">
        <f t="shared" si="11"/>
        <v>69.625790738448003</v>
      </c>
      <c r="J56" s="35">
        <f t="shared" si="4"/>
        <v>1061.0772320577905</v>
      </c>
    </row>
    <row r="57" spans="1:12" x14ac:dyDescent="0.25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3"/>
        <v>193.68820477994944</v>
      </c>
      <c r="H57" s="35">
        <f t="shared" si="10"/>
        <v>999.47807157998159</v>
      </c>
      <c r="I57" s="37">
        <f t="shared" si="11"/>
        <v>69.180726539904001</v>
      </c>
      <c r="J57" s="35">
        <f t="shared" si="4"/>
        <v>1068.6587981198857</v>
      </c>
    </row>
    <row r="58" spans="1:12" x14ac:dyDescent="0.25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3"/>
        <v>192.40907925257108</v>
      </c>
      <c r="H58" s="35">
        <f t="shared" si="10"/>
        <v>1007.5582491586031</v>
      </c>
      <c r="I58" s="37">
        <f t="shared" si="11"/>
        <v>68.723853941903997</v>
      </c>
      <c r="J58" s="35">
        <f t="shared" si="4"/>
        <v>1076.2821031005071</v>
      </c>
    </row>
    <row r="59" spans="1:12" x14ac:dyDescent="0.25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3"/>
        <v>191.09400701806442</v>
      </c>
      <c r="H59" s="35">
        <f t="shared" si="10"/>
        <v>1015.6908818339203</v>
      </c>
      <c r="I59" s="37">
        <f t="shared" si="11"/>
        <v>68.254142052432002</v>
      </c>
      <c r="J59" s="35">
        <f t="shared" si="4"/>
        <v>1083.9450238863524</v>
      </c>
    </row>
    <row r="60" spans="1:12" x14ac:dyDescent="0.25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3"/>
        <v>189.74010184447008</v>
      </c>
      <c r="H60" s="35">
        <f t="shared" si="10"/>
        <v>1023.8734270046461</v>
      </c>
      <c r="I60" s="37">
        <f t="shared" si="11"/>
        <v>67.770559979471997</v>
      </c>
      <c r="J60" s="35">
        <f t="shared" si="4"/>
        <v>1091.6439869841181</v>
      </c>
    </row>
    <row r="61" spans="1:12" x14ac:dyDescent="0.25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3"/>
        <v>188.34342796093469</v>
      </c>
      <c r="H61" s="35">
        <f t="shared" si="10"/>
        <v>1032.1053182472067</v>
      </c>
      <c r="I61" s="37">
        <f t="shared" si="11"/>
        <v>67.271701961183993</v>
      </c>
      <c r="J61" s="35">
        <f t="shared" si="4"/>
        <v>1099.3770202083906</v>
      </c>
    </row>
    <row r="62" spans="1:12" x14ac:dyDescent="0.25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3"/>
        <v>186.90031198132837</v>
      </c>
      <c r="H62" s="35">
        <f t="shared" si="10"/>
        <v>1040.3818691436004</v>
      </c>
      <c r="I62" s="37">
        <f t="shared" si="11"/>
        <v>66.756255953183995</v>
      </c>
      <c r="J62" s="35">
        <f t="shared" si="4"/>
        <v>1107.1381250967843</v>
      </c>
    </row>
    <row r="63" spans="1:12" x14ac:dyDescent="0.25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3"/>
        <v>185.40550621117978</v>
      </c>
      <c r="H63" s="35">
        <f t="shared" si="10"/>
        <v>1048.7028079223958</v>
      </c>
      <c r="I63" s="37">
        <f t="shared" si="11"/>
        <v>66.222347606352002</v>
      </c>
      <c r="J63" s="35">
        <f t="shared" si="4"/>
        <v>1114.9251555287478</v>
      </c>
    </row>
    <row r="64" spans="1:12" x14ac:dyDescent="0.25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3"/>
        <v>183.85323818657048</v>
      </c>
      <c r="H64" s="35">
        <f t="shared" si="10"/>
        <v>1057.0644997610184</v>
      </c>
      <c r="I64" s="37">
        <f t="shared" si="11"/>
        <v>65.667915136656006</v>
      </c>
      <c r="J64" s="35">
        <f t="shared" si="4"/>
        <v>1122.7324148976745</v>
      </c>
    </row>
    <row r="65" spans="1:12" x14ac:dyDescent="0.25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3"/>
        <v>182.23694828941143</v>
      </c>
      <c r="H65" s="35">
        <f t="shared" si="10"/>
        <v>1065.4597156401794</v>
      </c>
      <c r="I65" s="37">
        <f t="shared" si="11"/>
        <v>65.090615607696009</v>
      </c>
      <c r="J65" s="35">
        <f t="shared" si="4"/>
        <v>1130.5503312478754</v>
      </c>
    </row>
    <row r="66" spans="1:12" x14ac:dyDescent="0.25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3"/>
        <v>180.54850259327202</v>
      </c>
      <c r="H66" s="35">
        <f t="shared" si="10"/>
        <v>1073.88709156716</v>
      </c>
      <c r="I66" s="37">
        <f t="shared" si="11"/>
        <v>64.487543778336004</v>
      </c>
      <c r="J66" s="35">
        <f t="shared" si="4"/>
        <v>1138.374635345496</v>
      </c>
    </row>
    <row r="67" spans="1:12" x14ac:dyDescent="0.25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3"/>
        <v>178.77766809393324</v>
      </c>
      <c r="H67" s="35">
        <f t="shared" si="10"/>
        <v>1082.3361624846693</v>
      </c>
      <c r="I67" s="37">
        <f t="shared" si="11"/>
        <v>63.855044667792001</v>
      </c>
      <c r="J67" s="35">
        <f t="shared" si="4"/>
        <v>1146.1912071524614</v>
      </c>
    </row>
    <row r="68" spans="1:12" x14ac:dyDescent="0.25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3"/>
        <v>176.91237509411118</v>
      </c>
      <c r="H68" s="35">
        <f t="shared" si="10"/>
        <v>1090.8006468364154</v>
      </c>
      <c r="I68" s="37">
        <f t="shared" si="11"/>
        <v>63.18880727308801</v>
      </c>
      <c r="J68" s="35">
        <f t="shared" si="4"/>
        <v>1153.9894541095034</v>
      </c>
    </row>
    <row r="69" spans="1:12" x14ac:dyDescent="0.25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9" si="12">C69*$M$3*($M$2+$M$4)</f>
        <v>174.9366181256683</v>
      </c>
      <c r="H69" s="35">
        <f t="shared" si="10"/>
        <v>1099.2693455025324</v>
      </c>
      <c r="I69" s="37">
        <f t="shared" si="11"/>
        <v>62.483114829408009</v>
      </c>
      <c r="J69" s="35">
        <f t="shared" si="4"/>
        <v>1161.7524603319403</v>
      </c>
    </row>
    <row r="70" spans="1:12" x14ac:dyDescent="0.25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12"/>
        <v>172.83019356489021</v>
      </c>
      <c r="H70" s="35">
        <f t="shared" si="10"/>
        <v>1107.7244602740104</v>
      </c>
      <c r="I70" s="37">
        <f t="shared" si="11"/>
        <v>61.730751092640013</v>
      </c>
      <c r="J70" s="35">
        <f t="shared" si="4"/>
        <v>1169.4552113666505</v>
      </c>
    </row>
    <row r="71" spans="1:12" x14ac:dyDescent="0.25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12"/>
        <v>170.56660055469678</v>
      </c>
      <c r="H71" s="35">
        <f t="shared" si="10"/>
        <v>1116.1469965881208</v>
      </c>
      <c r="I71" s="37">
        <f t="shared" si="11"/>
        <v>60.922250599728002</v>
      </c>
      <c r="J71" s="35">
        <f t="shared" si="4"/>
        <v>1177.0692471878488</v>
      </c>
    </row>
    <row r="72" spans="1:12" x14ac:dyDescent="0.25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 t="shared" si="12"/>
        <v>168.10831807961827</v>
      </c>
      <c r="H72" s="35">
        <f t="shared" si="10"/>
        <v>1124.5097021481304</v>
      </c>
      <c r="I72" s="37">
        <f t="shared" si="11"/>
        <v>60.044211754464001</v>
      </c>
      <c r="J72" s="35">
        <f t="shared" si="4"/>
        <v>1184.5539139025943</v>
      </c>
    </row>
    <row r="73" spans="1:12" x14ac:dyDescent="0.25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si="12"/>
        <v>165.40260681021817</v>
      </c>
      <c r="H73" s="35">
        <f t="shared" si="10"/>
        <v>1132.7661166941543</v>
      </c>
      <c r="I73" s="37">
        <f t="shared" si="11"/>
        <v>59.077797348192007</v>
      </c>
      <c r="J73" s="35">
        <f t="shared" si="4"/>
        <v>1191.8439140423463</v>
      </c>
    </row>
    <row r="74" spans="1:12" x14ac:dyDescent="0.25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12"/>
        <v>162.36917702108568</v>
      </c>
      <c r="H74" s="35">
        <f t="shared" si="10"/>
        <v>1140.8556623412937</v>
      </c>
      <c r="I74" s="37">
        <f t="shared" si="11"/>
        <v>57.994329839376007</v>
      </c>
      <c r="J74" s="35">
        <f t="shared" si="4"/>
        <v>1198.8499921806697</v>
      </c>
    </row>
    <row r="75" spans="1:12" x14ac:dyDescent="0.25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12"/>
        <v>158.87631158099123</v>
      </c>
      <c r="H75" s="35">
        <f t="shared" si="10"/>
        <v>1148.6652047726232</v>
      </c>
      <c r="I75" s="37">
        <f t="shared" si="11"/>
        <v>56.746763065104005</v>
      </c>
      <c r="J75" s="35">
        <f t="shared" si="4"/>
        <v>1205.4119678377272</v>
      </c>
    </row>
    <row r="76" spans="1:12" x14ac:dyDescent="0.25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12"/>
        <v>154.68235415953163</v>
      </c>
      <c r="H76" s="35">
        <f t="shared" si="10"/>
        <v>1155.9920115767318</v>
      </c>
      <c r="I76" s="37">
        <f t="shared" si="11"/>
        <v>55.248783248400002</v>
      </c>
      <c r="J76" s="35">
        <f t="shared" si="4"/>
        <v>1211.2407948251318</v>
      </c>
    </row>
    <row r="77" spans="1:12" x14ac:dyDescent="0.25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12"/>
        <v>149.25230230535834</v>
      </c>
      <c r="H77" s="35">
        <f t="shared" si="10"/>
        <v>1162.3763799731985</v>
      </c>
      <c r="I77" s="37">
        <f t="shared" si="11"/>
        <v>53.309300496480006</v>
      </c>
      <c r="J77" s="35">
        <f t="shared" si="4"/>
        <v>1215.6856804696786</v>
      </c>
    </row>
    <row r="78" spans="1:12" x14ac:dyDescent="0.25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12"/>
        <v>140.84392145400116</v>
      </c>
      <c r="H78" s="35">
        <f t="shared" si="10"/>
        <v>1166.3067094468331</v>
      </c>
      <c r="I78" s="37">
        <f t="shared" si="11"/>
        <v>50.306030901504002</v>
      </c>
      <c r="J78" s="35">
        <f t="shared" si="4"/>
        <v>1216.6127403483372</v>
      </c>
    </row>
    <row r="79" spans="1:12" x14ac:dyDescent="0.25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12"/>
        <v>118.60078128324339</v>
      </c>
      <c r="H79" s="38">
        <f t="shared" si="10"/>
        <v>1155.2806509485715</v>
      </c>
      <c r="I79" s="39">
        <f t="shared" si="11"/>
        <v>42.361321004016006</v>
      </c>
      <c r="J79" s="38">
        <f t="shared" si="4"/>
        <v>1197.6419719525875</v>
      </c>
      <c r="K79" s="50"/>
      <c r="L79" s="22"/>
    </row>
    <row r="80" spans="1:12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ignoredErrors>
    <ignoredError sqref="H53:J53 H47:J4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X819"/>
  <sheetViews>
    <sheetView zoomScale="70" zoomScaleNormal="70" workbookViewId="0">
      <pane xSplit="1" topLeftCell="L1" activePane="topRight" state="frozen"/>
      <selection pane="topRight" activeCell="T4" sqref="T4:U4"/>
    </sheetView>
  </sheetViews>
  <sheetFormatPr defaultColWidth="11.42578125" defaultRowHeight="15" x14ac:dyDescent="0.25"/>
  <cols>
    <col min="1" max="1" width="11.42578125" style="24"/>
    <col min="3" max="3" width="11.85546875" customWidth="1"/>
    <col min="4" max="4" width="11.42578125" style="23"/>
    <col min="5" max="5" width="11.42578125" style="63"/>
    <col min="6" max="6" width="19.85546875" customWidth="1"/>
    <col min="7" max="7" width="13" style="24" customWidth="1"/>
    <col min="8" max="8" width="11" style="24" customWidth="1"/>
    <col min="9" max="9" width="12.140625" customWidth="1"/>
    <col min="10" max="10" width="9.85546875" customWidth="1"/>
    <col min="11" max="11" width="12.42578125" customWidth="1"/>
    <col min="12" max="12" width="13" customWidth="1"/>
    <col min="13" max="13" width="3" customWidth="1"/>
    <col min="14" max="14" width="13.42578125" customWidth="1"/>
    <col min="15" max="15" width="9.7109375" customWidth="1"/>
    <col min="16" max="16" width="8.28515625" customWidth="1"/>
    <col min="17" max="17" width="15.28515625" customWidth="1"/>
    <col min="18" max="18" width="16.42578125" style="75" customWidth="1"/>
    <col min="19" max="19" width="10.85546875" bestFit="1" customWidth="1"/>
    <col min="20" max="20" width="40.7109375" bestFit="1" customWidth="1"/>
    <col min="23" max="23" width="23.42578125" bestFit="1" customWidth="1"/>
  </cols>
  <sheetData>
    <row r="1" spans="1:24" ht="23.25" customHeight="1" x14ac:dyDescent="0.25">
      <c r="A1" s="171" t="s">
        <v>18</v>
      </c>
      <c r="B1" s="172"/>
      <c r="C1" s="172"/>
      <c r="D1" s="173"/>
      <c r="E1" s="68"/>
      <c r="F1" s="174" t="s">
        <v>52</v>
      </c>
      <c r="G1" s="142"/>
      <c r="H1" s="142"/>
      <c r="I1" s="177" t="s">
        <v>53</v>
      </c>
      <c r="J1" s="130"/>
      <c r="K1" s="94"/>
      <c r="L1" s="14"/>
      <c r="M1" s="14"/>
      <c r="N1" s="179" t="s">
        <v>51</v>
      </c>
      <c r="O1" s="164"/>
      <c r="P1" s="164"/>
      <c r="Q1" s="121"/>
      <c r="R1" s="165" t="s">
        <v>50</v>
      </c>
      <c r="S1" s="53"/>
      <c r="T1" t="s">
        <v>61</v>
      </c>
      <c r="U1">
        <v>1.5</v>
      </c>
      <c r="W1" t="s">
        <v>31</v>
      </c>
      <c r="X1">
        <v>3.2490157499999999</v>
      </c>
    </row>
    <row r="2" spans="1:24" ht="27.95" customHeight="1" x14ac:dyDescent="0.25">
      <c r="A2" s="102" t="s">
        <v>19</v>
      </c>
      <c r="B2" s="103" t="s">
        <v>21</v>
      </c>
      <c r="C2" s="104" t="s">
        <v>22</v>
      </c>
      <c r="D2" s="105" t="s">
        <v>23</v>
      </c>
      <c r="E2" s="52"/>
      <c r="F2" s="175"/>
      <c r="G2" s="135" t="s">
        <v>40</v>
      </c>
      <c r="H2" s="135" t="s">
        <v>36</v>
      </c>
      <c r="I2" s="178"/>
      <c r="J2" s="168" t="s">
        <v>50</v>
      </c>
      <c r="K2" s="169"/>
      <c r="L2" s="69"/>
      <c r="M2" s="69"/>
      <c r="N2" s="180"/>
      <c r="O2" s="88" t="s">
        <v>40</v>
      </c>
      <c r="P2" s="88" t="s">
        <v>36</v>
      </c>
      <c r="Q2" s="88" t="s">
        <v>49</v>
      </c>
      <c r="R2" s="166"/>
      <c r="S2" s="71"/>
      <c r="T2" t="s">
        <v>15</v>
      </c>
      <c r="U2">
        <f>X1+(2*X3)</f>
        <v>3.7698490833333334</v>
      </c>
      <c r="W2" t="s">
        <v>32</v>
      </c>
      <c r="X2">
        <v>3.125</v>
      </c>
    </row>
    <row r="3" spans="1:24" ht="15.75" thickBot="1" x14ac:dyDescent="0.3">
      <c r="A3" s="117" t="s">
        <v>17</v>
      </c>
      <c r="B3" s="118" t="s">
        <v>20</v>
      </c>
      <c r="C3" s="119" t="s">
        <v>24</v>
      </c>
      <c r="D3" s="120" t="s">
        <v>24</v>
      </c>
      <c r="E3" s="20"/>
      <c r="F3" s="176"/>
      <c r="G3" s="131" t="s">
        <v>41</v>
      </c>
      <c r="H3" s="131" t="s">
        <v>41</v>
      </c>
      <c r="I3" s="115" t="s">
        <v>41</v>
      </c>
      <c r="J3" s="131" t="s">
        <v>48</v>
      </c>
      <c r="K3" s="116" t="s">
        <v>56</v>
      </c>
      <c r="L3" s="17"/>
      <c r="M3" s="17"/>
      <c r="N3" s="181"/>
      <c r="O3" s="128" t="s">
        <v>41</v>
      </c>
      <c r="P3" s="128" t="s">
        <v>41</v>
      </c>
      <c r="Q3" s="128" t="s">
        <v>41</v>
      </c>
      <c r="R3" s="129" t="s">
        <v>48</v>
      </c>
      <c r="S3" s="53"/>
      <c r="T3" t="s">
        <v>14</v>
      </c>
      <c r="U3">
        <v>32.200000000000003</v>
      </c>
      <c r="W3" t="s">
        <v>33</v>
      </c>
      <c r="X3">
        <f>X2/12</f>
        <v>0.26041666666666669</v>
      </c>
    </row>
    <row r="4" spans="1:24" x14ac:dyDescent="0.25">
      <c r="A4" s="102">
        <v>32</v>
      </c>
      <c r="B4" s="106">
        <v>452.82023903999999</v>
      </c>
      <c r="C4" s="104">
        <v>1.75999830112</v>
      </c>
      <c r="D4" s="105">
        <v>0.16525852904319999</v>
      </c>
      <c r="E4" s="52"/>
      <c r="F4" s="95">
        <f t="shared" ref="F4:F35" si="0">($C$53-C4)/(D4-C4)</f>
        <v>0.18736491688811011</v>
      </c>
      <c r="G4" s="137">
        <f t="shared" ref="G4:G35" si="1">$U$7/((C4*(1-F4))+(D4*F4))</f>
        <v>0.75122497093492424</v>
      </c>
      <c r="H4" s="84">
        <f>G4*F4</f>
        <v>0.14075320424349502</v>
      </c>
      <c r="I4" s="85">
        <f>H4-$G$55</f>
        <v>0.10376485577017228</v>
      </c>
      <c r="J4" s="84">
        <f>IF(I4&gt;0, ('BPV Calcs'!$B$8/12)+(I4/(PI()*(('BPV Calcs'!$B$8/12)^2))), "Need to Use Goal Seek tool")</f>
        <v>0.7474546839908689</v>
      </c>
      <c r="K4" s="96">
        <f>J4*12</f>
        <v>8.9694562078904276</v>
      </c>
      <c r="L4" s="17"/>
      <c r="M4" s="17"/>
      <c r="N4" s="122">
        <f>($C$47-C4)/(D4-C4)</f>
        <v>0.15895834986355586</v>
      </c>
      <c r="O4" s="89">
        <f t="shared" ref="O4:O47" si="2">$U$7/((C4*(1-N4))+(D4*N4))</f>
        <v>0.72863533976250439</v>
      </c>
      <c r="P4" s="90">
        <f>O4*N4</f>
        <v>0.11582267126091907</v>
      </c>
      <c r="Q4" s="90">
        <f t="shared" ref="Q4:Q47" si="3">P4-$G$55</f>
        <v>7.8834322787596306E-2</v>
      </c>
      <c r="R4" s="123">
        <f>IF(Q4&gt;0, ('BPV Calcs'!$B$8/12)+(Q4/(PI()*(('BPV Calcs'!$B$8/12)^2))), "SEE EQN in Notes")</f>
        <v>0.63043898282165145</v>
      </c>
      <c r="S4" s="52"/>
      <c r="T4" t="s">
        <v>62</v>
      </c>
      <c r="U4">
        <v>0.5</v>
      </c>
    </row>
    <row r="5" spans="1:24" x14ac:dyDescent="0.25">
      <c r="A5" s="102">
        <v>32.9</v>
      </c>
      <c r="B5" s="106">
        <v>458.65366740000002</v>
      </c>
      <c r="C5" s="104">
        <v>1.7550485447999999</v>
      </c>
      <c r="D5" s="105">
        <v>0.16772615040639999</v>
      </c>
      <c r="E5" s="52"/>
      <c r="F5" s="95">
        <f t="shared" si="0"/>
        <v>0.18512214630827489</v>
      </c>
      <c r="G5" s="137">
        <f t="shared" si="1"/>
        <v>0.75122497093492424</v>
      </c>
      <c r="H5" s="84">
        <f t="shared" ref="H5:H53" si="4">G5*F5</f>
        <v>0.13906837897984459</v>
      </c>
      <c r="I5" s="85">
        <f t="shared" ref="I5:I53" si="5">H5-$G$55</f>
        <v>0.10208003050652184</v>
      </c>
      <c r="J5" s="84">
        <f>IF(I5&gt;0, ('BPV Calcs'!$B$8/12)+(I5/(PI()*(('BPV Calcs'!$B$8/12)^2))), "Need to Use Goal Seek tool")</f>
        <v>0.73954666976143157</v>
      </c>
      <c r="K5" s="96">
        <f t="shared" ref="K5:K53" si="6">J5*12</f>
        <v>8.8745600371371793</v>
      </c>
      <c r="L5" s="17"/>
      <c r="M5" s="17"/>
      <c r="N5" s="122">
        <f t="shared" ref="N5:N47" si="7">($C$47-C5)/(D5-C5)</f>
        <v>0.15658283861487579</v>
      </c>
      <c r="O5" s="89">
        <f t="shared" si="2"/>
        <v>0.72863533976250439</v>
      </c>
      <c r="P5" s="90">
        <f t="shared" ref="P5:P45" si="8">O5*N5</f>
        <v>0.11409178981512741</v>
      </c>
      <c r="Q5" s="90">
        <f t="shared" si="3"/>
        <v>7.7103441341804663E-2</v>
      </c>
      <c r="R5" s="123">
        <f>IF(Q5&gt;0, ('BPV Calcs'!$B$8/12)+(Q5/(PI()*(('BPV Calcs'!$B$8/12)^2))), "SEE EQN in Notes")</f>
        <v>0.62231479605991424</v>
      </c>
      <c r="S5" s="52"/>
      <c r="T5" t="s">
        <v>37</v>
      </c>
      <c r="U5">
        <v>0.87815195180003003</v>
      </c>
    </row>
    <row r="6" spans="1:24" x14ac:dyDescent="0.25">
      <c r="A6" s="102">
        <v>33.799999999999997</v>
      </c>
      <c r="B6" s="106">
        <v>464.54366057999999</v>
      </c>
      <c r="C6" s="104">
        <v>1.7500619224</v>
      </c>
      <c r="D6" s="105">
        <v>0.1702317244288</v>
      </c>
      <c r="E6" s="52"/>
      <c r="F6" s="95">
        <f t="shared" si="0"/>
        <v>0.18284364136366457</v>
      </c>
      <c r="G6" s="137">
        <f t="shared" si="1"/>
        <v>0.75122497093492424</v>
      </c>
      <c r="H6" s="84">
        <f t="shared" si="4"/>
        <v>0.13735670916905462</v>
      </c>
      <c r="I6" s="85">
        <f t="shared" si="5"/>
        <v>0.10036836069573188</v>
      </c>
      <c r="J6" s="84">
        <f>IF(I6&gt;0, ('BPV Calcs'!$B$8/12)+(I6/(PI()*(('BPV Calcs'!$B$8/12)^2))), "Need to Use Goal Seek tool")</f>
        <v>0.73151265607950378</v>
      </c>
      <c r="K6" s="96">
        <f t="shared" si="6"/>
        <v>8.7781518729540444</v>
      </c>
      <c r="L6" s="17"/>
      <c r="M6" s="17"/>
      <c r="N6" s="122">
        <f t="shared" si="7"/>
        <v>0.1541689886823846</v>
      </c>
      <c r="O6" s="89">
        <f t="shared" si="2"/>
        <v>0.72863533976250439</v>
      </c>
      <c r="P6" s="90">
        <f t="shared" si="8"/>
        <v>0.112332973449431</v>
      </c>
      <c r="Q6" s="90">
        <f t="shared" si="3"/>
        <v>7.5344624976108249E-2</v>
      </c>
      <c r="R6" s="123">
        <f>IF(Q6&gt;0, ('BPV Calcs'!$B$8/12)+(Q6/(PI()*(('BPV Calcs'!$B$8/12)^2))), "SEE EQN in Notes")</f>
        <v>0.61405949199546828</v>
      </c>
      <c r="S6" s="52"/>
      <c r="T6" t="s">
        <v>38</v>
      </c>
      <c r="U6">
        <v>1.25</v>
      </c>
    </row>
    <row r="7" spans="1:24" x14ac:dyDescent="0.25">
      <c r="A7" s="102">
        <v>34.700000000000003</v>
      </c>
      <c r="B7" s="106">
        <v>470.48731781999993</v>
      </c>
      <c r="C7" s="104">
        <v>1.7450423145599998</v>
      </c>
      <c r="D7" s="105">
        <v>0.17277604664159998</v>
      </c>
      <c r="E7" s="52"/>
      <c r="F7" s="95">
        <f t="shared" si="0"/>
        <v>0.18053067987595114</v>
      </c>
      <c r="G7" s="137">
        <f t="shared" si="1"/>
        <v>0.75122497093492424</v>
      </c>
      <c r="H7" s="84">
        <f t="shared" si="4"/>
        <v>0.1356191547426735</v>
      </c>
      <c r="I7" s="85">
        <f t="shared" si="5"/>
        <v>9.8630806269350751E-2</v>
      </c>
      <c r="J7" s="84">
        <f>IF(I7&gt;0, ('BPV Calcs'!$B$8/12)+(I7/(PI()*(('BPV Calcs'!$B$8/12)^2))), "Need to Use Goal Seek tool")</f>
        <v>0.72335714854724331</v>
      </c>
      <c r="K7" s="96">
        <f t="shared" si="6"/>
        <v>8.6802857825669193</v>
      </c>
      <c r="L7" s="17"/>
      <c r="M7" s="17"/>
      <c r="N7" s="122">
        <f t="shared" si="7"/>
        <v>0.15171807787171285</v>
      </c>
      <c r="O7" s="89">
        <f t="shared" si="2"/>
        <v>0.72863533976250439</v>
      </c>
      <c r="P7" s="90">
        <f t="shared" si="8"/>
        <v>0.11054715321816959</v>
      </c>
      <c r="Q7" s="90">
        <f t="shared" si="3"/>
        <v>7.3558804744846829E-2</v>
      </c>
      <c r="R7" s="123">
        <f>IF(Q7&gt;0, ('BPV Calcs'!$B$8/12)+(Q7/(PI()*(('BPV Calcs'!$B$8/12)^2))), "SEE EQN in Notes")</f>
        <v>0.60567744069037677</v>
      </c>
      <c r="S7" s="52"/>
      <c r="T7" s="42" t="s">
        <v>39</v>
      </c>
      <c r="U7" s="42">
        <f>U5*U6</f>
        <v>1.0976899397500375</v>
      </c>
    </row>
    <row r="8" spans="1:24" x14ac:dyDescent="0.25">
      <c r="A8" s="102">
        <v>35.6</v>
      </c>
      <c r="B8" s="106">
        <v>476.48608949999999</v>
      </c>
      <c r="C8" s="104">
        <v>1.73998778096</v>
      </c>
      <c r="D8" s="105">
        <v>0.17536002899519998</v>
      </c>
      <c r="E8" s="52"/>
      <c r="F8" s="95">
        <f t="shared" si="0"/>
        <v>0.17818152870115089</v>
      </c>
      <c r="G8" s="137">
        <f t="shared" si="1"/>
        <v>0.75122497093492424</v>
      </c>
      <c r="H8" s="84">
        <f t="shared" si="4"/>
        <v>0.13385441371966245</v>
      </c>
      <c r="I8" s="85">
        <f t="shared" si="5"/>
        <v>9.68660652463397E-2</v>
      </c>
      <c r="J8" s="84">
        <f>IF(I8&gt;0, ('BPV Calcs'!$B$8/12)+(I8/(PI()*(('BPV Calcs'!$B$8/12)^2))), "Need to Use Goal Seek tool")</f>
        <v>0.71507403609497255</v>
      </c>
      <c r="K8" s="96">
        <f t="shared" si="6"/>
        <v>8.5808884331396698</v>
      </c>
      <c r="L8" s="17"/>
      <c r="M8" s="17"/>
      <c r="N8" s="122">
        <f t="shared" si="7"/>
        <v>0.14922826351373839</v>
      </c>
      <c r="O8" s="89">
        <f t="shared" si="2"/>
        <v>0.72863533976250439</v>
      </c>
      <c r="P8" s="90">
        <f t="shared" si="8"/>
        <v>0.10873298648750131</v>
      </c>
      <c r="Q8" s="90">
        <f t="shared" si="3"/>
        <v>7.1744638014178547E-2</v>
      </c>
      <c r="R8" s="123">
        <f>IF(Q8&gt;0, ('BPV Calcs'!$B$8/12)+(Q8/(PI()*(('BPV Calcs'!$B$8/12)^2))), "SEE EQN in Notes")</f>
        <v>0.59716234026410897</v>
      </c>
      <c r="S8" s="52"/>
    </row>
    <row r="9" spans="1:24" x14ac:dyDescent="0.25">
      <c r="A9" s="102">
        <v>36.5</v>
      </c>
      <c r="B9" s="106">
        <v>482.54142600000006</v>
      </c>
      <c r="C9" s="104">
        <v>1.73489638128</v>
      </c>
      <c r="D9" s="105">
        <v>0.17798456403679999</v>
      </c>
      <c r="E9" s="52"/>
      <c r="F9" s="95">
        <f t="shared" si="0"/>
        <v>0.17579439116722953</v>
      </c>
      <c r="G9" s="137">
        <f t="shared" si="1"/>
        <v>0.75122497093492424</v>
      </c>
      <c r="H9" s="84">
        <f t="shared" si="4"/>
        <v>0.13206113639512471</v>
      </c>
      <c r="I9" s="85">
        <f t="shared" si="5"/>
        <v>9.507278792180196E-2</v>
      </c>
      <c r="J9" s="84">
        <f>IF(I9&gt;0, ('BPV Calcs'!$B$8/12)+(I9/(PI()*(('BPV Calcs'!$B$8/12)^2))), "Need to Use Goal Seek tool")</f>
        <v>0.70665698365296103</v>
      </c>
      <c r="K9" s="96">
        <f t="shared" si="6"/>
        <v>8.4798838038355324</v>
      </c>
      <c r="L9" s="17"/>
      <c r="M9" s="17"/>
      <c r="N9" s="122">
        <f t="shared" si="7"/>
        <v>0.14669763583368992</v>
      </c>
      <c r="O9" s="89">
        <f t="shared" si="2"/>
        <v>0.72863533976250427</v>
      </c>
      <c r="P9" s="90">
        <f t="shared" si="8"/>
        <v>0.10688908172803678</v>
      </c>
      <c r="Q9" s="90">
        <f t="shared" si="3"/>
        <v>6.990073325471402E-2</v>
      </c>
      <c r="R9" s="123">
        <f>IF(Q9&gt;0, ('BPV Calcs'!$B$8/12)+(Q9/(PI()*(('BPV Calcs'!$B$8/12)^2))), "SEE EQN in Notes")</f>
        <v>0.58850765933655724</v>
      </c>
      <c r="S9" s="52"/>
    </row>
    <row r="10" spans="1:24" x14ac:dyDescent="0.25">
      <c r="A10" s="102">
        <v>37.4</v>
      </c>
      <c r="B10" s="106">
        <v>488.65187693999997</v>
      </c>
      <c r="C10" s="104">
        <v>1.7297661752</v>
      </c>
      <c r="D10" s="105">
        <v>0.18065056371679999</v>
      </c>
      <c r="E10" s="52"/>
      <c r="F10" s="95">
        <f t="shared" si="0"/>
        <v>0.17336740843776965</v>
      </c>
      <c r="G10" s="137">
        <f t="shared" si="1"/>
        <v>0.75122497093492424</v>
      </c>
      <c r="H10" s="84">
        <f t="shared" si="4"/>
        <v>0.13023792636472664</v>
      </c>
      <c r="I10" s="85">
        <f t="shared" si="5"/>
        <v>9.3249577891403895E-2</v>
      </c>
      <c r="J10" s="84">
        <f>IF(I10&gt;0, ('BPV Calcs'!$B$8/12)+(I10/(PI()*(('BPV Calcs'!$B$8/12)^2))), "Need to Use Goal Seek tool")</f>
        <v>0.69809943695971999</v>
      </c>
      <c r="K10" s="96">
        <f t="shared" si="6"/>
        <v>8.3771932435166399</v>
      </c>
      <c r="L10" s="17"/>
      <c r="M10" s="17"/>
      <c r="N10" s="122">
        <f t="shared" si="7"/>
        <v>0.14412421839668005</v>
      </c>
      <c r="O10" s="89">
        <f t="shared" si="2"/>
        <v>0.72863533976250427</v>
      </c>
      <c r="P10" s="90">
        <f t="shared" si="8"/>
        <v>0.10501399883947034</v>
      </c>
      <c r="Q10" s="90">
        <f t="shared" si="3"/>
        <v>6.8025650366147578E-2</v>
      </c>
      <c r="R10" s="123">
        <f>IF(Q10&gt;0, ('BPV Calcs'!$B$8/12)+(Q10/(PI()*(('BPV Calcs'!$B$8/12)^2))), "SEE EQN in Notes")</f>
        <v>0.57970663855174887</v>
      </c>
      <c r="S10" s="52"/>
    </row>
    <row r="11" spans="1:24" x14ac:dyDescent="0.25">
      <c r="A11" s="102">
        <v>38.299999999999997</v>
      </c>
      <c r="B11" s="106">
        <v>494.82034307999999</v>
      </c>
      <c r="C11" s="104">
        <v>1.7246010433599999</v>
      </c>
      <c r="D11" s="105">
        <v>0.18335905640479999</v>
      </c>
      <c r="E11" s="52"/>
      <c r="F11" s="95">
        <f t="shared" si="0"/>
        <v>0.17090179823980461</v>
      </c>
      <c r="G11" s="137">
        <f t="shared" si="1"/>
        <v>0.75122497093492435</v>
      </c>
      <c r="H11" s="84">
        <f t="shared" si="4"/>
        <v>0.12838569841542352</v>
      </c>
      <c r="I11" s="85">
        <f t="shared" si="5"/>
        <v>9.1397349942100775E-2</v>
      </c>
      <c r="J11" s="84">
        <f>IF(I11&gt;0, ('BPV Calcs'!$B$8/12)+(I11/(PI()*(('BPV Calcs'!$B$8/12)^2))), "Need to Use Goal Seek tool")</f>
        <v>0.68940568972357363</v>
      </c>
      <c r="K11" s="96">
        <f t="shared" si="6"/>
        <v>8.2728682766828836</v>
      </c>
      <c r="L11" s="17"/>
      <c r="M11" s="17"/>
      <c r="N11" s="122">
        <f t="shared" si="7"/>
        <v>0.14150921576045203</v>
      </c>
      <c r="O11" s="89">
        <f t="shared" si="2"/>
        <v>0.7286353397625045</v>
      </c>
      <c r="P11" s="90">
        <f t="shared" si="8"/>
        <v>0.10310861550514253</v>
      </c>
      <c r="Q11" s="90">
        <f t="shared" si="3"/>
        <v>6.6120267031819779E-2</v>
      </c>
      <c r="R11" s="123">
        <f>IF(Q11&gt;0, ('BPV Calcs'!$B$8/12)+(Q11/(PI()*(('BPV Calcs'!$B$8/12)^2))), "SEE EQN in Notes")</f>
        <v>0.57076339746587479</v>
      </c>
      <c r="S11" s="52"/>
    </row>
    <row r="12" spans="1:24" x14ac:dyDescent="0.25">
      <c r="A12" s="102">
        <v>39.200000000000003</v>
      </c>
      <c r="B12" s="106">
        <v>501.04537404000001</v>
      </c>
      <c r="C12" s="104">
        <v>1.7193932244799999</v>
      </c>
      <c r="D12" s="105">
        <v>0.18611099285759999</v>
      </c>
      <c r="E12" s="52"/>
      <c r="F12" s="95">
        <f t="shared" si="0"/>
        <v>0.16839248697229939</v>
      </c>
      <c r="G12" s="137">
        <f t="shared" si="1"/>
        <v>0.75122497093492424</v>
      </c>
      <c r="H12" s="84">
        <f t="shared" si="4"/>
        <v>0.12650064113142523</v>
      </c>
      <c r="I12" s="85">
        <f t="shared" si="5"/>
        <v>8.9512292658102482E-2</v>
      </c>
      <c r="J12" s="84">
        <f>IF(I12&gt;0, ('BPV Calcs'!$B$8/12)+(I12/(PI()*(('BPV Calcs'!$B$8/12)^2))), "Need to Use Goal Seek tool")</f>
        <v>0.68055785241558797</v>
      </c>
      <c r="K12" s="96">
        <f t="shared" si="6"/>
        <v>8.1666942289870548</v>
      </c>
      <c r="L12" s="17"/>
      <c r="M12" s="17"/>
      <c r="N12" s="122">
        <f t="shared" si="7"/>
        <v>0.13884731825649951</v>
      </c>
      <c r="O12" s="89">
        <f t="shared" si="2"/>
        <v>0.72863533976250439</v>
      </c>
      <c r="P12" s="90">
        <f t="shared" si="8"/>
        <v>0.1011690629129371</v>
      </c>
      <c r="Q12" s="90">
        <f t="shared" si="3"/>
        <v>6.4180714439614345E-2</v>
      </c>
      <c r="R12" s="123">
        <f>IF(Q12&gt;0, ('BPV Calcs'!$B$8/12)+(Q12/(PI()*(('BPV Calcs'!$B$8/12)^2))), "SEE EQN in Notes")</f>
        <v>0.56165977715057258</v>
      </c>
      <c r="S12" s="52"/>
    </row>
    <row r="13" spans="1:24" x14ac:dyDescent="0.25">
      <c r="A13" s="102">
        <v>40.1</v>
      </c>
      <c r="B13" s="106">
        <v>507.32696982000004</v>
      </c>
      <c r="C13" s="104">
        <v>1.71414853952</v>
      </c>
      <c r="D13" s="105">
        <v>0.1889074790576</v>
      </c>
      <c r="E13" s="52"/>
      <c r="F13" s="95">
        <f t="shared" si="0"/>
        <v>0.16584166910419268</v>
      </c>
      <c r="G13" s="137">
        <f t="shared" si="1"/>
        <v>0.75122497093492424</v>
      </c>
      <c r="H13" s="84">
        <f t="shared" si="4"/>
        <v>0.12458440305259647</v>
      </c>
      <c r="I13" s="85">
        <f t="shared" si="5"/>
        <v>8.7596054579273719E-2</v>
      </c>
      <c r="J13" s="84">
        <f>IF(I13&gt;0, ('BPV Calcs'!$B$8/12)+(I13/(PI()*(('BPV Calcs'!$B$8/12)^2))), "Need to Use Goal Seek tool")</f>
        <v>0.67156366273829482</v>
      </c>
      <c r="K13" s="96">
        <f t="shared" si="6"/>
        <v>8.0587639528595378</v>
      </c>
      <c r="L13" s="17"/>
      <c r="M13" s="17"/>
      <c r="N13" s="122">
        <f t="shared" si="7"/>
        <v>0.13614073631623833</v>
      </c>
      <c r="O13" s="89">
        <f t="shared" si="2"/>
        <v>0.72863533976250439</v>
      </c>
      <c r="P13" s="90">
        <f t="shared" si="8"/>
        <v>9.9196951661299826E-2</v>
      </c>
      <c r="Q13" s="90">
        <f t="shared" si="3"/>
        <v>6.2208603187977073E-2</v>
      </c>
      <c r="R13" s="123">
        <f>IF(Q13&gt;0, ('BPV Calcs'!$B$8/12)+(Q13/(PI()*(('BPV Calcs'!$B$8/12)^2))), "SEE EQN in Notes")</f>
        <v>0.55240333722386414</v>
      </c>
      <c r="S13" s="52"/>
    </row>
    <row r="14" spans="1:24" x14ac:dyDescent="0.25">
      <c r="A14" s="102">
        <v>41</v>
      </c>
      <c r="B14" s="106">
        <v>513.66803117999996</v>
      </c>
      <c r="C14" s="104">
        <v>1.7088611675200001</v>
      </c>
      <c r="D14" s="105">
        <v>0.19174958218079999</v>
      </c>
      <c r="E14" s="52"/>
      <c r="F14" s="95">
        <f t="shared" si="0"/>
        <v>0.16324517830239926</v>
      </c>
      <c r="G14" s="137">
        <f t="shared" si="1"/>
        <v>0.75122497093492424</v>
      </c>
      <c r="H14" s="84">
        <f t="shared" si="4"/>
        <v>0.12263385432548642</v>
      </c>
      <c r="I14" s="85">
        <f t="shared" si="5"/>
        <v>8.5645505852163656E-2</v>
      </c>
      <c r="J14" s="84">
        <f>IF(I14&gt;0, ('BPV Calcs'!$B$8/12)+(I14/(PI()*(('BPV Calcs'!$B$8/12)^2))), "Need to Use Goal Seek tool")</f>
        <v>0.66240843019164086</v>
      </c>
      <c r="K14" s="96">
        <f t="shared" si="6"/>
        <v>7.9489011622996903</v>
      </c>
      <c r="L14" s="17"/>
      <c r="M14" s="17"/>
      <c r="N14" s="122">
        <f t="shared" si="7"/>
        <v>0.1333850924260572</v>
      </c>
      <c r="O14" s="89">
        <f t="shared" si="2"/>
        <v>0.72863533976250439</v>
      </c>
      <c r="P14" s="90">
        <f t="shared" si="8"/>
        <v>9.718909213911324E-2</v>
      </c>
      <c r="Q14" s="90">
        <f t="shared" si="3"/>
        <v>6.0200743665790486E-2</v>
      </c>
      <c r="R14" s="123">
        <f>IF(Q14&gt;0, ('BPV Calcs'!$B$8/12)+(Q14/(PI()*(('BPV Calcs'!$B$8/12)^2))), "SEE EQN in Notes")</f>
        <v>0.54297910670291372</v>
      </c>
      <c r="S14" s="52"/>
    </row>
    <row r="15" spans="1:24" x14ac:dyDescent="0.25">
      <c r="A15" s="102">
        <v>41.9</v>
      </c>
      <c r="B15" s="106">
        <v>520.06565735999993</v>
      </c>
      <c r="C15" s="104">
        <v>1.7035330488</v>
      </c>
      <c r="D15" s="105">
        <v>0.19463846641919999</v>
      </c>
      <c r="E15" s="52"/>
      <c r="F15" s="95">
        <f t="shared" si="0"/>
        <v>0.16060302380499611</v>
      </c>
      <c r="G15" s="137">
        <f t="shared" si="1"/>
        <v>0.75122497093492424</v>
      </c>
      <c r="H15" s="84">
        <f t="shared" si="4"/>
        <v>0.12064900188996915</v>
      </c>
      <c r="I15" s="85">
        <f t="shared" si="5"/>
        <v>8.3660653416646386E-2</v>
      </c>
      <c r="J15" s="84">
        <f>IF(I15&gt;0, ('BPV Calcs'!$B$8/12)+(I15/(PI()*(('BPV Calcs'!$B$8/12)^2))), "Need to Use Goal Seek tool")</f>
        <v>0.65309218734910679</v>
      </c>
      <c r="K15" s="96">
        <f t="shared" si="6"/>
        <v>7.837106248189281</v>
      </c>
      <c r="L15" s="17"/>
      <c r="M15" s="17"/>
      <c r="N15" s="122">
        <f t="shared" si="7"/>
        <v>0.13058032854768797</v>
      </c>
      <c r="O15" s="89">
        <f t="shared" si="2"/>
        <v>0.72863533976250439</v>
      </c>
      <c r="P15" s="90">
        <f t="shared" si="8"/>
        <v>9.5145442057644081E-2</v>
      </c>
      <c r="Q15" s="90">
        <f t="shared" si="3"/>
        <v>5.8157093584321327E-2</v>
      </c>
      <c r="R15" s="123">
        <f>IF(Q15&gt;0, ('BPV Calcs'!$B$8/12)+(Q15/(PI()*(('BPV Calcs'!$B$8/12)^2))), "SEE EQN in Notes")</f>
        <v>0.5333868870983518</v>
      </c>
      <c r="S15" s="52"/>
    </row>
    <row r="16" spans="1:24" x14ac:dyDescent="0.25">
      <c r="A16" s="102">
        <v>42.8</v>
      </c>
      <c r="B16" s="106">
        <v>526.52129874000002</v>
      </c>
      <c r="C16" s="104">
        <v>1.6981603027200001</v>
      </c>
      <c r="D16" s="105">
        <v>0.19757531536799999</v>
      </c>
      <c r="E16" s="52"/>
      <c r="F16" s="95">
        <f t="shared" si="0"/>
        <v>0.15791193997714462</v>
      </c>
      <c r="G16" s="137">
        <f t="shared" si="1"/>
        <v>0.75122497093492424</v>
      </c>
      <c r="H16" s="84">
        <f t="shared" si="4"/>
        <v>0.11862739251960797</v>
      </c>
      <c r="I16" s="85">
        <f t="shared" si="5"/>
        <v>8.163904404628522E-2</v>
      </c>
      <c r="J16" s="84">
        <f>IF(I16&gt;0, ('BPV Calcs'!$B$8/12)+(I16/(PI()*(('BPV Calcs'!$B$8/12)^2))), "Need to Use Goal Seek tool")</f>
        <v>0.64360341957473133</v>
      </c>
      <c r="K16" s="96">
        <f t="shared" si="6"/>
        <v>7.7232410348967759</v>
      </c>
      <c r="L16" s="17"/>
      <c r="M16" s="17"/>
      <c r="N16" s="122">
        <f t="shared" si="7"/>
        <v>0.12772299193084816</v>
      </c>
      <c r="O16" s="89">
        <f t="shared" si="2"/>
        <v>0.72863533976250439</v>
      </c>
      <c r="P16" s="90">
        <f t="shared" si="8"/>
        <v>9.3063485621017156E-2</v>
      </c>
      <c r="Q16" s="90">
        <f t="shared" si="3"/>
        <v>5.6075137147694402E-2</v>
      </c>
      <c r="R16" s="123">
        <f>IF(Q16&gt;0, ('BPV Calcs'!$B$8/12)+(Q16/(PI()*(('BPV Calcs'!$B$8/12)^2))), "SEE EQN in Notes")</f>
        <v>0.52361487009390451</v>
      </c>
      <c r="S16" s="52"/>
    </row>
    <row r="17" spans="1:19" x14ac:dyDescent="0.25">
      <c r="A17" s="102">
        <v>43.7</v>
      </c>
      <c r="B17" s="106">
        <v>533.03640570000005</v>
      </c>
      <c r="C17" s="104">
        <v>1.69274292928</v>
      </c>
      <c r="D17" s="105">
        <v>0.20056135142879999</v>
      </c>
      <c r="E17" s="52"/>
      <c r="F17" s="95">
        <f t="shared" si="0"/>
        <v>0.15517073555268265</v>
      </c>
      <c r="G17" s="137">
        <f t="shared" si="1"/>
        <v>0.75122497093492435</v>
      </c>
      <c r="H17" s="84">
        <f t="shared" si="4"/>
        <v>0.11656813130551485</v>
      </c>
      <c r="I17" s="85">
        <f t="shared" si="5"/>
        <v>7.9579782832192109E-2</v>
      </c>
      <c r="J17" s="84">
        <f>IF(I17&gt;0, ('BPV Calcs'!$B$8/12)+(I17/(PI()*(('BPV Calcs'!$B$8/12)^2))), "Need to Use Goal Seek tool")</f>
        <v>0.63393792646128322</v>
      </c>
      <c r="K17" s="96">
        <f t="shared" si="6"/>
        <v>7.6072551175353986</v>
      </c>
      <c r="L17" s="17"/>
      <c r="M17" s="17"/>
      <c r="N17" s="122">
        <f t="shared" si="7"/>
        <v>0.1248117746228357</v>
      </c>
      <c r="O17" s="89">
        <f t="shared" si="2"/>
        <v>0.72863533976250439</v>
      </c>
      <c r="P17" s="90">
        <f t="shared" si="8"/>
        <v>9.0942269808671011E-2</v>
      </c>
      <c r="Q17" s="90">
        <f t="shared" si="3"/>
        <v>5.3953921335348258E-2</v>
      </c>
      <c r="R17" s="123">
        <f>IF(Q17&gt;0, ('BPV Calcs'!$B$8/12)+(Q17/(PI()*(('BPV Calcs'!$B$8/12)^2))), "SEE EQN in Notes")</f>
        <v>0.51365858252530772</v>
      </c>
      <c r="S17" s="52"/>
    </row>
    <row r="18" spans="1:19" x14ac:dyDescent="0.25">
      <c r="A18" s="102">
        <v>44.6</v>
      </c>
      <c r="B18" s="106">
        <v>539.61097824000001</v>
      </c>
      <c r="C18" s="104">
        <v>1.6872809284800001</v>
      </c>
      <c r="D18" s="105">
        <v>0.20359789401919998</v>
      </c>
      <c r="E18" s="52"/>
      <c r="F18" s="95">
        <f t="shared" si="0"/>
        <v>0.15237817442287846</v>
      </c>
      <c r="G18" s="137">
        <f t="shared" si="1"/>
        <v>0.75122497093492424</v>
      </c>
      <c r="H18" s="84">
        <f t="shared" si="4"/>
        <v>0.11447028965194368</v>
      </c>
      <c r="I18" s="85">
        <f t="shared" si="5"/>
        <v>7.7481941178620922E-2</v>
      </c>
      <c r="J18" s="84">
        <f>IF(I18&gt;0, ('BPV Calcs'!$B$8/12)+(I18/(PI()*(('BPV Calcs'!$B$8/12)^2))), "Need to Use Goal Seek tool")</f>
        <v>0.62409134948652745</v>
      </c>
      <c r="K18" s="96">
        <f t="shared" si="6"/>
        <v>7.4890961938383294</v>
      </c>
      <c r="L18" s="17"/>
      <c r="M18" s="17"/>
      <c r="N18" s="122">
        <f t="shared" si="7"/>
        <v>0.12184531722222625</v>
      </c>
      <c r="O18" s="89">
        <f t="shared" si="2"/>
        <v>0.72863533976250439</v>
      </c>
      <c r="P18" s="90">
        <f t="shared" si="8"/>
        <v>8.8780804112686948E-2</v>
      </c>
      <c r="Q18" s="90">
        <f t="shared" si="3"/>
        <v>5.1792455639364195E-2</v>
      </c>
      <c r="R18" s="123">
        <f>IF(Q18&gt;0, ('BPV Calcs'!$B$8/12)+(Q18/(PI()*(('BPV Calcs'!$B$8/12)^2))), "SEE EQN in Notes")</f>
        <v>0.50351337527500317</v>
      </c>
      <c r="S18" s="52"/>
    </row>
    <row r="19" spans="1:19" x14ac:dyDescent="0.25">
      <c r="A19" s="102">
        <v>45.5</v>
      </c>
      <c r="B19" s="106">
        <v>546.24646674000007</v>
      </c>
      <c r="C19" s="104">
        <v>1.6817723599999999</v>
      </c>
      <c r="D19" s="105">
        <v>0.20668630136319999</v>
      </c>
      <c r="E19" s="52"/>
      <c r="F19" s="95">
        <f t="shared" si="0"/>
        <v>0.14953184761109797</v>
      </c>
      <c r="G19" s="137">
        <f t="shared" si="1"/>
        <v>0.75122497093492424</v>
      </c>
      <c r="H19" s="84">
        <f t="shared" si="4"/>
        <v>0.11233205787549259</v>
      </c>
      <c r="I19" s="85">
        <f t="shared" si="5"/>
        <v>7.5343709402169834E-2</v>
      </c>
      <c r="J19" s="84">
        <f>IF(I19&gt;0, ('BPV Calcs'!$B$8/12)+(I19/(PI()*(('BPV Calcs'!$B$8/12)^2))), "Need to Use Goal Seek tool")</f>
        <v>0.61405519459330482</v>
      </c>
      <c r="K19" s="96">
        <f t="shared" si="6"/>
        <v>7.3686623351196578</v>
      </c>
      <c r="L19" s="17"/>
      <c r="M19" s="17"/>
      <c r="N19" s="122">
        <f t="shared" si="7"/>
        <v>0.11882104131137136</v>
      </c>
      <c r="O19" s="89">
        <f t="shared" si="2"/>
        <v>0.72863533976250439</v>
      </c>
      <c r="P19" s="90">
        <f t="shared" si="8"/>
        <v>8.6577209806845648E-2</v>
      </c>
      <c r="Q19" s="90">
        <f t="shared" si="3"/>
        <v>4.9588861333522895E-2</v>
      </c>
      <c r="R19" s="123">
        <f>IF(Q19&gt;0, ('BPV Calcs'!$B$8/12)+(Q19/(PI()*(('BPV Calcs'!$B$8/12)^2))), "SEE EQN in Notes")</f>
        <v>0.493170430221613</v>
      </c>
      <c r="S19" s="52"/>
    </row>
    <row r="20" spans="1:19" x14ac:dyDescent="0.25">
      <c r="A20" s="102">
        <v>46.4</v>
      </c>
      <c r="B20" s="106">
        <v>552.93997044000002</v>
      </c>
      <c r="C20" s="104">
        <v>1.6762152835199999</v>
      </c>
      <c r="D20" s="105">
        <v>0.2098279704912</v>
      </c>
      <c r="E20" s="52"/>
      <c r="F20" s="95">
        <f t="shared" si="0"/>
        <v>0.14662924681830652</v>
      </c>
      <c r="G20" s="137">
        <f t="shared" si="1"/>
        <v>0.75122497093492435</v>
      </c>
      <c r="H20" s="84">
        <f t="shared" si="4"/>
        <v>0.11015155167929216</v>
      </c>
      <c r="I20" s="85">
        <f t="shared" si="5"/>
        <v>7.3163203205969418E-2</v>
      </c>
      <c r="J20" s="84">
        <f>IF(I20&gt;0, ('BPV Calcs'!$B$8/12)+(I20/(PI()*(('BPV Calcs'!$B$8/12)^2))), "Need to Use Goal Seek tool")</f>
        <v>0.60382061751344285</v>
      </c>
      <c r="K20" s="96">
        <f t="shared" si="6"/>
        <v>7.2458474101613142</v>
      </c>
      <c r="L20" s="17"/>
      <c r="M20" s="17"/>
      <c r="N20" s="122">
        <f t="shared" si="7"/>
        <v>0.11573626116593252</v>
      </c>
      <c r="O20" s="89">
        <f t="shared" si="2"/>
        <v>0.72863533976250439</v>
      </c>
      <c r="P20" s="90">
        <f t="shared" si="8"/>
        <v>8.4329529977481194E-2</v>
      </c>
      <c r="Q20" s="90">
        <f t="shared" si="3"/>
        <v>4.734118150415844E-2</v>
      </c>
      <c r="R20" s="123">
        <f>IF(Q20&gt;0, ('BPV Calcs'!$B$8/12)+(Q20/(PI()*(('BPV Calcs'!$B$8/12)^2))), "SEE EQN in Notes")</f>
        <v>0.48262056225766659</v>
      </c>
      <c r="S20" s="52"/>
    </row>
    <row r="21" spans="1:19" x14ac:dyDescent="0.25">
      <c r="A21" s="102">
        <v>47.3</v>
      </c>
      <c r="B21" s="106">
        <v>559.69439009999996</v>
      </c>
      <c r="C21" s="104">
        <v>1.6706096990399999</v>
      </c>
      <c r="D21" s="105">
        <v>0.21302437604639998</v>
      </c>
      <c r="E21" s="52"/>
      <c r="F21" s="95">
        <f t="shared" si="0"/>
        <v>0.14366890189539364</v>
      </c>
      <c r="G21" s="137">
        <f t="shared" si="1"/>
        <v>0.75122497093492424</v>
      </c>
      <c r="H21" s="84">
        <f t="shared" si="4"/>
        <v>0.10792766665061956</v>
      </c>
      <c r="I21" s="85">
        <f t="shared" si="5"/>
        <v>7.0939318177296817E-2</v>
      </c>
      <c r="J21" s="84">
        <f>IF(I21&gt;0, ('BPV Calcs'!$B$8/12)+(I21/(PI()*(('BPV Calcs'!$B$8/12)^2))), "Need to Use Goal Seek tool")</f>
        <v>0.59338243449779193</v>
      </c>
      <c r="K21" s="96">
        <f t="shared" si="6"/>
        <v>7.1205892139735028</v>
      </c>
      <c r="L21" s="17"/>
      <c r="M21" s="17"/>
      <c r="N21" s="122">
        <f t="shared" si="7"/>
        <v>0.11258936129657487</v>
      </c>
      <c r="O21" s="89">
        <f t="shared" si="2"/>
        <v>0.72863533976250439</v>
      </c>
      <c r="P21" s="90">
        <f t="shared" si="8"/>
        <v>8.2036587521973195E-2</v>
      </c>
      <c r="Q21" s="90">
        <f t="shared" si="3"/>
        <v>4.5048239048650442E-2</v>
      </c>
      <c r="R21" s="123">
        <f>IF(Q21&gt;0, ('BPV Calcs'!$B$8/12)+(Q21/(PI()*(('BPV Calcs'!$B$8/12)^2))), "SEE EQN in Notes")</f>
        <v>0.47185824645160424</v>
      </c>
      <c r="S21" s="52"/>
    </row>
    <row r="22" spans="1:19" x14ac:dyDescent="0.25">
      <c r="A22" s="102">
        <v>48.2</v>
      </c>
      <c r="B22" s="106">
        <v>566.51117609999994</v>
      </c>
      <c r="C22" s="104">
        <v>1.66495172592</v>
      </c>
      <c r="D22" s="105">
        <v>0.21627710909119999</v>
      </c>
      <c r="E22" s="52"/>
      <c r="F22" s="95">
        <f t="shared" si="0"/>
        <v>0.14064697985759764</v>
      </c>
      <c r="G22" s="137">
        <f t="shared" si="1"/>
        <v>0.75122497093492424</v>
      </c>
      <c r="H22" s="84">
        <f t="shared" si="4"/>
        <v>0.10565752335560866</v>
      </c>
      <c r="I22" s="85">
        <f t="shared" si="5"/>
        <v>6.866917488228591E-2</v>
      </c>
      <c r="J22" s="84">
        <f>IF(I22&gt;0, ('BPV Calcs'!$B$8/12)+(I22/(PI()*(('BPV Calcs'!$B$8/12)^2))), "Need to Use Goal Seek tool")</f>
        <v>0.58272713043325564</v>
      </c>
      <c r="K22" s="96">
        <f t="shared" si="6"/>
        <v>6.9927255651990681</v>
      </c>
      <c r="L22" s="17"/>
      <c r="M22" s="17"/>
      <c r="N22" s="122">
        <f t="shared" si="7"/>
        <v>0.10937627096550176</v>
      </c>
      <c r="O22" s="89">
        <f t="shared" si="2"/>
        <v>0.72863533976250439</v>
      </c>
      <c r="P22" s="90">
        <f t="shared" si="8"/>
        <v>7.9695416356904122E-2</v>
      </c>
      <c r="Q22" s="90">
        <f t="shared" si="3"/>
        <v>4.2707067883581369E-2</v>
      </c>
      <c r="R22" s="123">
        <f>IF(Q22&gt;0, ('BPV Calcs'!$B$8/12)+(Q22/(PI()*(('BPV Calcs'!$B$8/12)^2))), "SEE EQN in Notes")</f>
        <v>0.46086956098590726</v>
      </c>
      <c r="S22" s="52"/>
    </row>
    <row r="23" spans="1:19" x14ac:dyDescent="0.25">
      <c r="A23" s="102">
        <v>49.1</v>
      </c>
      <c r="B23" s="106">
        <v>573.38742767999997</v>
      </c>
      <c r="C23" s="104">
        <v>1.6592413641600001</v>
      </c>
      <c r="D23" s="105">
        <v>0.21958774128479999</v>
      </c>
      <c r="E23" s="52"/>
      <c r="F23" s="95">
        <f t="shared" si="0"/>
        <v>0.13756180288548553</v>
      </c>
      <c r="G23" s="137">
        <f t="shared" si="1"/>
        <v>0.75122497093492413</v>
      </c>
      <c r="H23" s="84">
        <f t="shared" si="4"/>
        <v>0.10333986137440462</v>
      </c>
      <c r="I23" s="85">
        <f t="shared" si="5"/>
        <v>6.6351512901081877E-2</v>
      </c>
      <c r="J23" s="84">
        <f>IF(I23&gt;0, ('BPV Calcs'!$B$8/12)+(I23/(PI()*(('BPV Calcs'!$B$8/12)^2))), "Need to Use Goal Seek tool")</f>
        <v>0.57184878932464911</v>
      </c>
      <c r="K23" s="96">
        <f t="shared" si="6"/>
        <v>6.8621854718957893</v>
      </c>
      <c r="L23" s="17"/>
      <c r="M23" s="17"/>
      <c r="N23" s="122">
        <f t="shared" si="7"/>
        <v>0.10609514903040819</v>
      </c>
      <c r="O23" s="89">
        <f t="shared" si="2"/>
        <v>0.72863533976250439</v>
      </c>
      <c r="P23" s="90">
        <f t="shared" si="8"/>
        <v>7.730467496092501E-2</v>
      </c>
      <c r="Q23" s="90">
        <f t="shared" si="3"/>
        <v>4.0316326487602257E-2</v>
      </c>
      <c r="R23" s="123">
        <f>IF(Q23&gt;0, ('BPV Calcs'!$B$8/12)+(Q23/(PI()*(('BPV Calcs'!$B$8/12)^2))), "SEE EQN in Notes")</f>
        <v>0.44964820920171994</v>
      </c>
      <c r="S23" s="52"/>
    </row>
    <row r="24" spans="1:19" x14ac:dyDescent="0.25">
      <c r="A24" s="102">
        <v>50</v>
      </c>
      <c r="B24" s="106">
        <v>580.32604560000004</v>
      </c>
      <c r="C24" s="104">
        <v>1.6534766734399999</v>
      </c>
      <c r="D24" s="105">
        <v>0.22295801891519998</v>
      </c>
      <c r="E24" s="52"/>
      <c r="F24" s="95">
        <f t="shared" si="0"/>
        <v>0.13441045075864813</v>
      </c>
      <c r="G24" s="137">
        <f t="shared" si="1"/>
        <v>0.75122497093492424</v>
      </c>
      <c r="H24" s="84">
        <f t="shared" si="4"/>
        <v>0.10097248696451551</v>
      </c>
      <c r="I24" s="85">
        <f t="shared" si="5"/>
        <v>6.3984138491192749E-2</v>
      </c>
      <c r="J24" s="84">
        <f>IF(I24&gt;0, ('BPV Calcs'!$B$8/12)+(I24/(PI()*(('BPV Calcs'!$B$8/12)^2))), "Need to Use Goal Seek tool")</f>
        <v>0.56073711446808461</v>
      </c>
      <c r="K24" s="96">
        <f t="shared" si="6"/>
        <v>6.7288453736170153</v>
      </c>
      <c r="L24" s="17"/>
      <c r="M24" s="17"/>
      <c r="N24" s="122">
        <f t="shared" si="7"/>
        <v>0.10274285797407841</v>
      </c>
      <c r="O24" s="89">
        <f t="shared" si="2"/>
        <v>0.72863533976250439</v>
      </c>
      <c r="P24" s="90">
        <f t="shared" si="8"/>
        <v>7.4862077228113361E-2</v>
      </c>
      <c r="Q24" s="90">
        <f t="shared" si="3"/>
        <v>3.7873728754790607E-2</v>
      </c>
      <c r="R24" s="123">
        <f>IF(Q24&gt;0, ('BPV Calcs'!$B$8/12)+(Q24/(PI()*(('BPV Calcs'!$B$8/12)^2))), "SEE EQN in Notes")</f>
        <v>0.43818346087166787</v>
      </c>
      <c r="S24" s="52"/>
    </row>
    <row r="25" spans="1:19" x14ac:dyDescent="0.25">
      <c r="A25" s="102">
        <v>50.9</v>
      </c>
      <c r="B25" s="106">
        <v>587.32702986000004</v>
      </c>
      <c r="C25" s="104">
        <v>1.6476576537600001</v>
      </c>
      <c r="D25" s="105">
        <v>0.22638970767359998</v>
      </c>
      <c r="E25" s="52"/>
      <c r="F25" s="95">
        <f t="shared" si="0"/>
        <v>0.13119105233236464</v>
      </c>
      <c r="G25" s="137">
        <f t="shared" si="1"/>
        <v>0.75122497093492424</v>
      </c>
      <c r="H25" s="84">
        <f t="shared" si="4"/>
        <v>9.8553994475302747E-2</v>
      </c>
      <c r="I25" s="85">
        <f t="shared" si="5"/>
        <v>6.1565646001979994E-2</v>
      </c>
      <c r="J25" s="84">
        <f>IF(I25&gt;0, ('BPV Calcs'!$B$8/12)+(I25/(PI()*(('BPV Calcs'!$B$8/12)^2))), "Need to Use Goal Seek tool")</f>
        <v>0.54938550820296761</v>
      </c>
      <c r="K25" s="96">
        <f t="shared" si="6"/>
        <v>6.5926260984356109</v>
      </c>
      <c r="L25" s="17"/>
      <c r="M25" s="17"/>
      <c r="N25" s="122">
        <f t="shared" si="7"/>
        <v>9.9317342419351473E-2</v>
      </c>
      <c r="O25" s="89">
        <f t="shared" si="2"/>
        <v>0.72863533976250439</v>
      </c>
      <c r="P25" s="90">
        <f t="shared" si="8"/>
        <v>7.2366125538033149E-2</v>
      </c>
      <c r="Q25" s="90">
        <f t="shared" si="3"/>
        <v>3.5377777064710396E-2</v>
      </c>
      <c r="R25" s="123">
        <f>IF(Q25&gt;0, ('BPV Calcs'!$B$8/12)+(Q25/(PI()*(('BPV Calcs'!$B$8/12)^2))), "SEE EQN in Notes")</f>
        <v>0.42646828665925313</v>
      </c>
      <c r="S25" s="52"/>
    </row>
    <row r="26" spans="1:19" x14ac:dyDescent="0.25">
      <c r="A26" s="102">
        <v>51.8</v>
      </c>
      <c r="B26" s="106">
        <v>594.39038045999996</v>
      </c>
      <c r="C26" s="104">
        <v>1.6417804244800001</v>
      </c>
      <c r="D26" s="105">
        <v>0.22988470907359998</v>
      </c>
      <c r="E26" s="52"/>
      <c r="F26" s="95">
        <f t="shared" si="0"/>
        <v>0.12789925363670013</v>
      </c>
      <c r="G26" s="137">
        <f t="shared" si="1"/>
        <v>0.75122497093492413</v>
      </c>
      <c r="H26" s="84">
        <f t="shared" si="4"/>
        <v>9.6081113095828549E-2</v>
      </c>
      <c r="I26" s="85">
        <f t="shared" si="5"/>
        <v>5.9092764622505796E-2</v>
      </c>
      <c r="J26" s="84">
        <f>IF(I26&gt;0, ('BPV Calcs'!$B$8/12)+(I26/(PI()*(('BPV Calcs'!$B$8/12)^2))), "Need to Use Goal Seek tool")</f>
        <v>0.5377786184212805</v>
      </c>
      <c r="K26" s="96">
        <f t="shared" si="6"/>
        <v>6.453343421055366</v>
      </c>
      <c r="L26" s="17"/>
      <c r="M26" s="17"/>
      <c r="N26" s="122">
        <f t="shared" si="7"/>
        <v>9.5813964526532028E-2</v>
      </c>
      <c r="O26" s="89">
        <f t="shared" si="2"/>
        <v>0.72863533976250439</v>
      </c>
      <c r="P26" s="90">
        <f t="shared" si="8"/>
        <v>6.9813440596782211E-2</v>
      </c>
      <c r="Q26" s="90">
        <f t="shared" si="3"/>
        <v>3.2825092123459458E-2</v>
      </c>
      <c r="R26" s="123">
        <f>IF(Q26&gt;0, ('BPV Calcs'!$B$8/12)+(Q26/(PI()*(('BPV Calcs'!$B$8/12)^2))), "SEE EQN in Notes")</f>
        <v>0.41448682527319503</v>
      </c>
      <c r="S26" s="52"/>
    </row>
    <row r="27" spans="1:19" x14ac:dyDescent="0.25">
      <c r="A27" s="102">
        <v>52.7</v>
      </c>
      <c r="B27" s="106">
        <v>601.51754778000009</v>
      </c>
      <c r="C27" s="104">
        <v>1.6358430452799999</v>
      </c>
      <c r="D27" s="105">
        <v>0.23344498283839998</v>
      </c>
      <c r="E27" s="52"/>
      <c r="F27" s="95">
        <f t="shared" si="0"/>
        <v>0.12453171014032675</v>
      </c>
      <c r="G27" s="137">
        <f t="shared" si="1"/>
        <v>0.75122497093492413</v>
      </c>
      <c r="H27" s="84">
        <f t="shared" si="4"/>
        <v>9.3551330330643362E-2</v>
      </c>
      <c r="I27" s="85">
        <f t="shared" si="5"/>
        <v>5.6562981857320609E-2</v>
      </c>
      <c r="J27" s="84">
        <f>IF(I27&gt;0, ('BPV Calcs'!$B$8/12)+(I27/(PI()*(('BPV Calcs'!$B$8/12)^2))), "Need to Use Goal Seek tool")</f>
        <v>0.5259046522978591</v>
      </c>
      <c r="K27" s="96">
        <f t="shared" si="6"/>
        <v>6.3108558275743096</v>
      </c>
      <c r="L27" s="17"/>
      <c r="M27" s="17"/>
      <c r="N27" s="122">
        <f t="shared" si="7"/>
        <v>9.2229125421012484E-2</v>
      </c>
      <c r="O27" s="89">
        <f t="shared" si="2"/>
        <v>0.72863533976250439</v>
      </c>
      <c r="P27" s="90">
        <f t="shared" si="8"/>
        <v>6.7201400137138059E-2</v>
      </c>
      <c r="Q27" s="90">
        <f t="shared" si="3"/>
        <v>3.0213051663815306E-2</v>
      </c>
      <c r="R27" s="123">
        <f>IF(Q27&gt;0, ('BPV Calcs'!$B$8/12)+(Q27/(PI()*(('BPV Calcs'!$B$8/12)^2))), "SEE EQN in Notes")</f>
        <v>0.40222676865582369</v>
      </c>
      <c r="S27" s="52"/>
    </row>
    <row r="28" spans="1:19" x14ac:dyDescent="0.25">
      <c r="A28" s="102">
        <v>53.6</v>
      </c>
      <c r="B28" s="106">
        <v>608.70708144000002</v>
      </c>
      <c r="C28" s="104">
        <v>1.6298455161600001</v>
      </c>
      <c r="D28" s="105">
        <v>0.23707262451360001</v>
      </c>
      <c r="E28" s="52"/>
      <c r="F28" s="95">
        <f t="shared" si="0"/>
        <v>0.12108614470086151</v>
      </c>
      <c r="G28" s="137">
        <f t="shared" si="1"/>
        <v>0.75122497093492424</v>
      </c>
      <c r="H28" s="84">
        <f t="shared" si="4"/>
        <v>9.0962935533526718E-2</v>
      </c>
      <c r="I28" s="85">
        <f t="shared" si="5"/>
        <v>5.3974587060203964E-2</v>
      </c>
      <c r="J28" s="84">
        <f>IF(I28&gt;0, ('BPV Calcs'!$B$8/12)+(I28/(PI()*(('BPV Calcs'!$B$8/12)^2))), "Need to Use Goal Seek tool")</f>
        <v>0.51375558062341697</v>
      </c>
      <c r="K28" s="96">
        <f t="shared" si="6"/>
        <v>6.1650669674810032</v>
      </c>
      <c r="L28" s="17"/>
      <c r="M28" s="17"/>
      <c r="N28" s="122">
        <f t="shared" si="7"/>
        <v>8.8560323374262145E-2</v>
      </c>
      <c r="O28" s="89">
        <f t="shared" si="2"/>
        <v>0.72863533976250439</v>
      </c>
      <c r="P28" s="90">
        <f t="shared" si="8"/>
        <v>6.4528181311282753E-2</v>
      </c>
      <c r="Q28" s="90">
        <f t="shared" si="3"/>
        <v>2.753983283796E-2</v>
      </c>
      <c r="R28" s="123">
        <f>IF(Q28&gt;0, ('BPV Calcs'!$B$8/12)+(Q28/(PI()*(('BPV Calcs'!$B$8/12)^2))), "SEE EQN in Notes")</f>
        <v>0.38967956096055162</v>
      </c>
      <c r="S28" s="52"/>
    </row>
    <row r="29" spans="1:19" x14ac:dyDescent="0.25">
      <c r="A29" s="102">
        <v>54.5</v>
      </c>
      <c r="B29" s="106">
        <v>615.96188219999999</v>
      </c>
      <c r="C29" s="104">
        <v>1.6237820161600001</v>
      </c>
      <c r="D29" s="105">
        <v>0.2407698072576</v>
      </c>
      <c r="E29" s="52"/>
      <c r="F29" s="95">
        <f t="shared" si="0"/>
        <v>0.11755644588442445</v>
      </c>
      <c r="G29" s="137">
        <f t="shared" si="1"/>
        <v>0.75122497093492424</v>
      </c>
      <c r="H29" s="84">
        <f t="shared" si="4"/>
        <v>8.8311337642739754E-2</v>
      </c>
      <c r="I29" s="85">
        <f t="shared" si="5"/>
        <v>5.1322989169417001E-2</v>
      </c>
      <c r="J29" s="84">
        <f>IF(I29&gt;0, ('BPV Calcs'!$B$8/12)+(I29/(PI()*(('BPV Calcs'!$B$8/12)^2))), "Need to Use Goal Seek tool")</f>
        <v>0.50130985446801912</v>
      </c>
      <c r="K29" s="96">
        <f t="shared" si="6"/>
        <v>6.0157182536162299</v>
      </c>
      <c r="L29" s="17"/>
      <c r="M29" s="17"/>
      <c r="N29" s="122">
        <f t="shared" si="7"/>
        <v>8.4801071831599392E-2</v>
      </c>
      <c r="O29" s="89">
        <f t="shared" si="2"/>
        <v>0.72863533976250439</v>
      </c>
      <c r="P29" s="90">
        <f t="shared" si="8"/>
        <v>6.1789057786241962E-2</v>
      </c>
      <c r="Q29" s="90">
        <f t="shared" si="3"/>
        <v>2.4800709312919209E-2</v>
      </c>
      <c r="R29" s="123">
        <f>IF(Q29&gt;0, ('BPV Calcs'!$B$8/12)+(Q29/(PI()*(('BPV Calcs'!$B$8/12)^2))), "SEE EQN in Notes")</f>
        <v>0.37682301833886922</v>
      </c>
      <c r="S29" s="52"/>
    </row>
    <row r="30" spans="1:19" x14ac:dyDescent="0.25">
      <c r="A30" s="102">
        <v>55.4</v>
      </c>
      <c r="B30" s="106">
        <v>623.28049967999993</v>
      </c>
      <c r="C30" s="104">
        <v>1.6176544856000001</v>
      </c>
      <c r="D30" s="105">
        <v>0.24453885945439999</v>
      </c>
      <c r="E30" s="52"/>
      <c r="F30" s="95">
        <f t="shared" si="0"/>
        <v>0.11394121977368245</v>
      </c>
      <c r="G30" s="137">
        <f t="shared" si="1"/>
        <v>0.75122497093492424</v>
      </c>
      <c r="H30" s="84">
        <f t="shared" si="4"/>
        <v>8.5595489512774417E-2</v>
      </c>
      <c r="I30" s="85">
        <f t="shared" si="5"/>
        <v>4.8607141039451664E-2</v>
      </c>
      <c r="J30" s="84">
        <f>IF(I30&gt;0, ('BPV Calcs'!$B$8/12)+(I30/(PI()*(('BPV Calcs'!$B$8/12)^2))), "Need to Use Goal Seek tool")</f>
        <v>0.48856255887593891</v>
      </c>
      <c r="K30" s="96">
        <f t="shared" si="6"/>
        <v>5.8627507065112674</v>
      </c>
      <c r="L30" s="17"/>
      <c r="M30" s="17"/>
      <c r="N30" s="122">
        <f t="shared" si="7"/>
        <v>8.0949764895709625E-2</v>
      </c>
      <c r="O30" s="89">
        <f t="shared" si="2"/>
        <v>0.72863533976250439</v>
      </c>
      <c r="P30" s="90">
        <f t="shared" si="8"/>
        <v>5.8982859448480231E-2</v>
      </c>
      <c r="Q30" s="90">
        <f t="shared" si="3"/>
        <v>2.1994510975157477E-2</v>
      </c>
      <c r="R30" s="123">
        <f>IF(Q30&gt;0, ('BPV Calcs'!$B$8/12)+(Q30/(PI()*(('BPV Calcs'!$B$8/12)^2))), "SEE EQN in Notes")</f>
        <v>0.36365164866367694</v>
      </c>
      <c r="S30" s="52"/>
    </row>
    <row r="31" spans="1:19" x14ac:dyDescent="0.25">
      <c r="A31" s="102">
        <v>56.3</v>
      </c>
      <c r="B31" s="106">
        <v>630.66438426000002</v>
      </c>
      <c r="C31" s="104">
        <v>1.6114590438399998</v>
      </c>
      <c r="D31" s="105">
        <v>0.24838222590720002</v>
      </c>
      <c r="E31" s="52"/>
      <c r="F31" s="95">
        <f t="shared" si="0"/>
        <v>0.11023518674553594</v>
      </c>
      <c r="G31" s="137">
        <f t="shared" si="1"/>
        <v>0.75122497093492413</v>
      </c>
      <c r="H31" s="84">
        <f t="shared" si="4"/>
        <v>8.2811424958921173E-2</v>
      </c>
      <c r="I31" s="85">
        <f t="shared" si="5"/>
        <v>4.582307648559842E-2</v>
      </c>
      <c r="J31" s="84">
        <f>IF(I31&gt;0, ('BPV Calcs'!$B$8/12)+(I31/(PI()*(('BPV Calcs'!$B$8/12)^2))), "Need to Use Goal Seek tool")</f>
        <v>0.4754950778839685</v>
      </c>
      <c r="K31" s="96">
        <f t="shared" si="6"/>
        <v>5.7059409346076215</v>
      </c>
      <c r="L31" s="17"/>
      <c r="M31" s="17"/>
      <c r="N31" s="122">
        <f t="shared" si="7"/>
        <v>7.7000755915053343E-2</v>
      </c>
      <c r="O31" s="89">
        <f t="shared" si="2"/>
        <v>0.7286353397625045</v>
      </c>
      <c r="P31" s="90">
        <f t="shared" si="8"/>
        <v>5.6105471948134568E-2</v>
      </c>
      <c r="Q31" s="90">
        <f t="shared" si="3"/>
        <v>1.9117123474811815E-2</v>
      </c>
      <c r="R31" s="123">
        <f>IF(Q31&gt;0, ('BPV Calcs'!$B$8/12)+(Q31/(PI()*(('BPV Calcs'!$B$8/12)^2))), "SEE EQN in Notes")</f>
        <v>0.3501461405333931</v>
      </c>
      <c r="S31" s="52"/>
    </row>
    <row r="32" spans="1:19" x14ac:dyDescent="0.25">
      <c r="A32" s="102">
        <v>57.2</v>
      </c>
      <c r="B32" s="106">
        <v>638.11353594000002</v>
      </c>
      <c r="C32" s="104">
        <v>1.60519375056</v>
      </c>
      <c r="D32" s="105">
        <v>0.25230250664479997</v>
      </c>
      <c r="E32" s="52"/>
      <c r="F32" s="95">
        <f t="shared" si="0"/>
        <v>0.10643407956180023</v>
      </c>
      <c r="G32" s="137">
        <f t="shared" si="1"/>
        <v>0.75122497093492424</v>
      </c>
      <c r="H32" s="84">
        <f t="shared" si="4"/>
        <v>7.9955938325298792E-2</v>
      </c>
      <c r="I32" s="85">
        <f t="shared" si="5"/>
        <v>4.2967589851976039E-2</v>
      </c>
      <c r="J32" s="84">
        <f>IF(I32&gt;0, ('BPV Calcs'!$B$8/12)+(I32/(PI()*(('BPV Calcs'!$B$8/12)^2))), "Need to Use Goal Seek tool")</f>
        <v>0.46209236520044183</v>
      </c>
      <c r="K32" s="96">
        <f t="shared" si="6"/>
        <v>5.545108382405302</v>
      </c>
      <c r="L32" s="17"/>
      <c r="M32" s="17"/>
      <c r="N32" s="122">
        <f t="shared" si="7"/>
        <v>7.2949435155999456E-2</v>
      </c>
      <c r="O32" s="89">
        <f t="shared" si="2"/>
        <v>0.72863533976250439</v>
      </c>
      <c r="P32" s="90">
        <f t="shared" si="8"/>
        <v>5.3153536470374449E-2</v>
      </c>
      <c r="Q32" s="90">
        <f t="shared" si="3"/>
        <v>1.6165187997051696E-2</v>
      </c>
      <c r="R32" s="123">
        <f>IF(Q32&gt;0, ('BPV Calcs'!$B$8/12)+(Q32/(PI()*(('BPV Calcs'!$B$8/12)^2))), "SEE EQN in Notes")</f>
        <v>0.33629072877874644</v>
      </c>
      <c r="S32" s="52"/>
    </row>
    <row r="33" spans="1:20" x14ac:dyDescent="0.25">
      <c r="A33" s="102">
        <v>58.1</v>
      </c>
      <c r="B33" s="106">
        <v>645.62795472000005</v>
      </c>
      <c r="C33" s="104">
        <v>1.5988547251199998</v>
      </c>
      <c r="D33" s="105">
        <v>0.25630243751839998</v>
      </c>
      <c r="E33" s="52"/>
      <c r="F33" s="95">
        <f t="shared" si="0"/>
        <v>0.10253210256655709</v>
      </c>
      <c r="G33" s="137">
        <f t="shared" si="1"/>
        <v>0.75122497093492424</v>
      </c>
      <c r="H33" s="84">
        <f t="shared" si="4"/>
        <v>7.7024675770458517E-2</v>
      </c>
      <c r="I33" s="85">
        <f t="shared" si="5"/>
        <v>4.0036327297135764E-2</v>
      </c>
      <c r="J33" s="84">
        <f>IF(I33&gt;0, ('BPV Calcs'!$B$8/12)+(I33/(PI()*(('BPV Calcs'!$B$8/12)^2))), "Need to Use Goal Seek tool")</f>
        <v>0.44833398532924401</v>
      </c>
      <c r="K33" s="96">
        <f t="shared" si="6"/>
        <v>5.3800078239509279</v>
      </c>
      <c r="L33" s="17"/>
      <c r="M33" s="17"/>
      <c r="N33" s="122">
        <f t="shared" si="7"/>
        <v>6.8789593883226779E-2</v>
      </c>
      <c r="O33" s="89">
        <f t="shared" si="2"/>
        <v>0.72863533976250439</v>
      </c>
      <c r="P33" s="90">
        <f t="shared" si="8"/>
        <v>5.0122529111229636E-2</v>
      </c>
      <c r="Q33" s="90">
        <f t="shared" si="3"/>
        <v>1.3134180637906882E-2</v>
      </c>
      <c r="R33" s="123">
        <f>IF(Q33&gt;0, ('BPV Calcs'!$B$8/12)+(Q33/(PI()*(('BPV Calcs'!$B$8/12)^2))), "SEE EQN in Notes")</f>
        <v>0.32206417968622314</v>
      </c>
      <c r="S33" s="52"/>
    </row>
    <row r="34" spans="1:20" x14ac:dyDescent="0.25">
      <c r="A34" s="102">
        <v>59</v>
      </c>
      <c r="B34" s="106">
        <v>653.21054135999998</v>
      </c>
      <c r="C34" s="104">
        <v>1.5924400272000001</v>
      </c>
      <c r="D34" s="105">
        <v>0.26038490960479999</v>
      </c>
      <c r="E34" s="52"/>
      <c r="F34" s="95">
        <f t="shared" si="0"/>
        <v>9.8524459836365458E-2</v>
      </c>
      <c r="G34" s="137">
        <f t="shared" si="1"/>
        <v>0.75122497093492435</v>
      </c>
      <c r="H34" s="84">
        <f t="shared" si="4"/>
        <v>7.4014034476952761E-2</v>
      </c>
      <c r="I34" s="85">
        <f t="shared" si="5"/>
        <v>3.7025686003630008E-2</v>
      </c>
      <c r="J34" s="84">
        <f>IF(I34&gt;0, ('BPV Calcs'!$B$8/12)+(I34/(PI()*(('BPV Calcs'!$B$8/12)^2))), "Need to Use Goal Seek tool")</f>
        <v>0.43420302783327736</v>
      </c>
      <c r="K34" s="96">
        <f t="shared" si="6"/>
        <v>5.2104363339993283</v>
      </c>
      <c r="L34" s="17"/>
      <c r="M34" s="17"/>
      <c r="N34" s="122">
        <f t="shared" si="7"/>
        <v>6.4516045601971481E-2</v>
      </c>
      <c r="O34" s="89">
        <f t="shared" si="2"/>
        <v>0.72863533976250439</v>
      </c>
      <c r="P34" s="90">
        <f t="shared" si="8"/>
        <v>4.7008670807325716E-2</v>
      </c>
      <c r="Q34" s="90">
        <f t="shared" si="3"/>
        <v>1.0020322334002962E-2</v>
      </c>
      <c r="R34" s="123">
        <f>IF(Q34&gt;0, ('BPV Calcs'!$B$8/12)+(Q34/(PI()*(('BPV Calcs'!$B$8/12)^2))), "SEE EQN in Notes")</f>
        <v>0.30744875557846069</v>
      </c>
      <c r="S34" s="52"/>
    </row>
    <row r="35" spans="1:20" x14ac:dyDescent="0.25">
      <c r="A35" s="102">
        <v>59.9</v>
      </c>
      <c r="B35" s="106">
        <v>660.85839510000005</v>
      </c>
      <c r="C35" s="104">
        <v>1.58594577616</v>
      </c>
      <c r="D35" s="105">
        <v>0.26455302741599995</v>
      </c>
      <c r="E35" s="52"/>
      <c r="F35" s="95">
        <f t="shared" si="0"/>
        <v>9.4404755900095283E-2</v>
      </c>
      <c r="G35" s="137">
        <f t="shared" si="1"/>
        <v>0.75122497093492435</v>
      </c>
      <c r="H35" s="84">
        <f t="shared" si="4"/>
        <v>7.0919210007167707E-2</v>
      </c>
      <c r="I35" s="85">
        <f t="shared" si="5"/>
        <v>3.3930861533844954E-2</v>
      </c>
      <c r="J35" s="84">
        <f>IF(I35&gt;0, ('BPV Calcs'!$B$8/12)+(I35/(PI()*(('BPV Calcs'!$B$8/12)^2))), "Need to Use Goal Seek tool")</f>
        <v>0.41967694226660884</v>
      </c>
      <c r="K35" s="96">
        <f t="shared" si="6"/>
        <v>5.0361233071993059</v>
      </c>
      <c r="L35" s="17"/>
      <c r="M35" s="17"/>
      <c r="N35" s="122">
        <f t="shared" si="7"/>
        <v>6.0121926464803473E-2</v>
      </c>
      <c r="O35" s="89">
        <f t="shared" si="2"/>
        <v>0.7286353397625045</v>
      </c>
      <c r="P35" s="90">
        <f t="shared" si="8"/>
        <v>4.3806960316858386E-2</v>
      </c>
      <c r="Q35" s="90">
        <f t="shared" si="3"/>
        <v>6.8186118435356324E-3</v>
      </c>
      <c r="R35" s="123">
        <f>IF(Q35&gt;0, ('BPV Calcs'!$B$8/12)+(Q35/(PI()*(('BPV Calcs'!$B$8/12)^2))), "SEE EQN in Notes")</f>
        <v>0.29242098227555063</v>
      </c>
      <c r="S35" s="52"/>
    </row>
    <row r="36" spans="1:20" x14ac:dyDescent="0.25">
      <c r="A36" s="102">
        <v>60.8</v>
      </c>
      <c r="B36" s="106">
        <v>668.57586708000008</v>
      </c>
      <c r="C36" s="104">
        <v>1.5793700316800001</v>
      </c>
      <c r="D36" s="105">
        <v>0.2688100700928</v>
      </c>
      <c r="E36" s="52"/>
      <c r="F36" s="95">
        <f t="shared" ref="F36:F53" si="9">($C$53-C36)/(D36-C36)</f>
        <v>9.0167576361954008E-2</v>
      </c>
      <c r="G36" s="137">
        <f t="shared" ref="G36:G53" si="10">$U$7/((C36*(1-F36))+(D36*F36))</f>
        <v>0.75122497093492424</v>
      </c>
      <c r="H36" s="84">
        <f t="shared" si="4"/>
        <v>6.7736134931781461E-2</v>
      </c>
      <c r="I36" s="85">
        <f t="shared" si="5"/>
        <v>3.0747786458458708E-2</v>
      </c>
      <c r="J36" s="84">
        <f>IF(I36&gt;0, ('BPV Calcs'!$B$8/12)+(I36/(PI()*(('BPV Calcs'!$B$8/12)^2))), "Need to Use Goal Seek tool")</f>
        <v>0.40473663745720501</v>
      </c>
      <c r="K36" s="96">
        <f t="shared" si="6"/>
        <v>4.8568396494864601</v>
      </c>
      <c r="L36" s="17"/>
      <c r="M36" s="17"/>
      <c r="N36" s="122">
        <f t="shared" si="7"/>
        <v>5.5601372945089003E-2</v>
      </c>
      <c r="O36" s="89">
        <f t="shared" si="2"/>
        <v>0.7286353397625045</v>
      </c>
      <c r="P36" s="90">
        <f t="shared" si="8"/>
        <v>4.0513125267106653E-2</v>
      </c>
      <c r="Q36" s="90">
        <f t="shared" si="3"/>
        <v>3.5247767937839E-3</v>
      </c>
      <c r="R36" s="123">
        <f>IF(Q36&gt;0, ('BPV Calcs'!$B$8/12)+(Q36/(PI()*(('BPV Calcs'!$B$8/12)^2))), "SEE EQN in Notes")</f>
        <v>0.27696080666872258</v>
      </c>
      <c r="S36" s="52"/>
    </row>
    <row r="37" spans="1:20" x14ac:dyDescent="0.25">
      <c r="A37" s="102">
        <v>61.7</v>
      </c>
      <c r="B37" s="106">
        <v>676.36005653999996</v>
      </c>
      <c r="C37" s="104">
        <v>1.5727089131200001</v>
      </c>
      <c r="D37" s="105">
        <v>0.27315953021120004</v>
      </c>
      <c r="E37" s="52"/>
      <c r="F37" s="95">
        <f t="shared" si="9"/>
        <v>8.5805817247007074E-2</v>
      </c>
      <c r="G37" s="137">
        <f t="shared" si="10"/>
        <v>0.75122497093492424</v>
      </c>
      <c r="H37" s="84">
        <f t="shared" si="4"/>
        <v>6.4459472567430315E-2</v>
      </c>
      <c r="I37" s="85">
        <f t="shared" si="5"/>
        <v>2.7471124094107562E-2</v>
      </c>
      <c r="J37" s="84">
        <f>IF(I37&gt;0, ('BPV Calcs'!$B$8/12)+(I37/(PI()*(('BPV Calcs'!$B$8/12)^2))), "Need to Use Goal Seek tool")</f>
        <v>0.38935706477308674</v>
      </c>
      <c r="K37" s="96">
        <f t="shared" si="6"/>
        <v>4.6722847772770404</v>
      </c>
      <c r="L37" s="17"/>
      <c r="M37" s="17"/>
      <c r="N37" s="122">
        <f t="shared" si="7"/>
        <v>5.0946747774153422E-2</v>
      </c>
      <c r="O37" s="89">
        <f t="shared" si="2"/>
        <v>0.72863533976250439</v>
      </c>
      <c r="P37" s="90">
        <f t="shared" si="8"/>
        <v>3.7121600874214893E-2</v>
      </c>
      <c r="Q37" s="90">
        <f t="shared" si="3"/>
        <v>1.332524008921393E-4</v>
      </c>
      <c r="R37" s="123">
        <f>IF(Q37&gt;0, ('BPV Calcs'!$B$8/12)+(Q37/(PI()*(('BPV Calcs'!$B$8/12)^2))), "SEE EQN in Notes")</f>
        <v>0.26104210949750278</v>
      </c>
      <c r="S37" s="52" t="s">
        <v>54</v>
      </c>
    </row>
    <row r="38" spans="1:20" x14ac:dyDescent="0.25">
      <c r="A38" s="102">
        <v>62.6</v>
      </c>
      <c r="B38" s="106">
        <v>684.21241385999997</v>
      </c>
      <c r="C38" s="104">
        <v>1.56595853984</v>
      </c>
      <c r="D38" s="105">
        <v>0.27760515258880003</v>
      </c>
      <c r="E38" s="52"/>
      <c r="F38" s="95">
        <f t="shared" si="9"/>
        <v>8.1311947956176495E-2</v>
      </c>
      <c r="G38" s="137">
        <f t="shared" si="10"/>
        <v>0.75122497093492424</v>
      </c>
      <c r="H38" s="84">
        <f t="shared" si="4"/>
        <v>6.1083565740040757E-2</v>
      </c>
      <c r="I38" s="85">
        <f t="shared" si="5"/>
        <v>2.4095217266718004E-2</v>
      </c>
      <c r="J38" s="84">
        <f>IF(I38&gt;0, ('BPV Calcs'!$B$8/12)+(I38/(PI()*(('BPV Calcs'!$B$8/12)^2))), "Need to Use Goal Seek tool")</f>
        <v>0.37351167130456248</v>
      </c>
      <c r="K38" s="96">
        <f t="shared" si="6"/>
        <v>4.4821400556547495</v>
      </c>
      <c r="L38" s="52"/>
      <c r="M38" s="52"/>
      <c r="N38" s="122">
        <f t="shared" si="7"/>
        <v>4.6149947630415508E-2</v>
      </c>
      <c r="O38" s="89">
        <f t="shared" si="2"/>
        <v>0.72863533976250427</v>
      </c>
      <c r="P38" s="90">
        <f t="shared" si="8"/>
        <v>3.3626482771709584E-2</v>
      </c>
      <c r="Q38" s="90">
        <f t="shared" si="3"/>
        <v>-3.3618657016131689E-3</v>
      </c>
      <c r="R38" s="123">
        <v>0.24521116920246497</v>
      </c>
      <c r="S38" s="52">
        <f>((1/3)*PI()*(R38^2)*((3*('BPV Calcs'!$B$8/12))-R38))-P38</f>
        <v>1.2597211388159363E-4</v>
      </c>
    </row>
    <row r="39" spans="1:20" x14ac:dyDescent="0.25">
      <c r="A39" s="102">
        <v>63.5</v>
      </c>
      <c r="B39" s="106">
        <v>692.13438942000005</v>
      </c>
      <c r="C39" s="104">
        <v>1.5591150311999999</v>
      </c>
      <c r="D39" s="105">
        <v>0.28215091488159999</v>
      </c>
      <c r="E39" s="52"/>
      <c r="F39" s="95">
        <f t="shared" si="9"/>
        <v>7.6677969006389013E-2</v>
      </c>
      <c r="G39" s="137">
        <f t="shared" si="10"/>
        <v>0.75122497093492424</v>
      </c>
      <c r="H39" s="84">
        <f t="shared" si="4"/>
        <v>5.7602405038173606E-2</v>
      </c>
      <c r="I39" s="85">
        <f t="shared" si="5"/>
        <v>2.0614056564850852E-2</v>
      </c>
      <c r="J39" s="84">
        <f>IF(I39&gt;0, ('BPV Calcs'!$B$8/12)+(I39/(PI()*(('BPV Calcs'!$B$8/12)^2))), "Need to Use Goal Seek tool")</f>
        <v>0.35717225085589382</v>
      </c>
      <c r="K39" s="96">
        <f t="shared" si="6"/>
        <v>4.2860670102707257</v>
      </c>
      <c r="L39" s="52"/>
      <c r="M39" s="52"/>
      <c r="N39" s="122">
        <f t="shared" si="7"/>
        <v>4.1202358029293618E-2</v>
      </c>
      <c r="O39" s="89">
        <f t="shared" si="2"/>
        <v>0.72863533976250439</v>
      </c>
      <c r="P39" s="90">
        <f t="shared" si="8"/>
        <v>3.0021494141690707E-2</v>
      </c>
      <c r="Q39" s="90">
        <f t="shared" si="3"/>
        <v>-6.9668543316320462E-3</v>
      </c>
      <c r="R39" s="123">
        <v>0.22780916988569017</v>
      </c>
      <c r="S39" s="52">
        <f>((1/3)*PI()*(R39^2)*((3*('BPV Calcs'!$B$8/12))-R39))-P39</f>
        <v>5.6039214801024972E-5</v>
      </c>
    </row>
    <row r="40" spans="1:20" x14ac:dyDescent="0.25">
      <c r="A40" s="102">
        <v>64.400000000000006</v>
      </c>
      <c r="B40" s="106">
        <v>700.12743360000002</v>
      </c>
      <c r="C40" s="104">
        <v>1.5521764468799999</v>
      </c>
      <c r="D40" s="105">
        <v>0.28680106639039998</v>
      </c>
      <c r="E40" s="52"/>
      <c r="F40" s="95">
        <f t="shared" si="9"/>
        <v>7.1896792063500151E-2</v>
      </c>
      <c r="G40" s="137">
        <f t="shared" si="10"/>
        <v>0.75122497093492424</v>
      </c>
      <c r="H40" s="84">
        <f t="shared" si="4"/>
        <v>5.4010665528217192E-2</v>
      </c>
      <c r="I40" s="85">
        <f t="shared" si="5"/>
        <v>1.7022317054894438E-2</v>
      </c>
      <c r="J40" s="84">
        <f>IF(I40&gt;0, ('BPV Calcs'!$B$8/12)+(I40/(PI()*(('BPV Calcs'!$B$8/12)^2))), "Need to Use Goal Seek tool")</f>
        <v>0.34031380994456339</v>
      </c>
      <c r="K40" s="96">
        <f t="shared" si="6"/>
        <v>4.0837657193347603</v>
      </c>
      <c r="L40" s="52"/>
      <c r="M40" s="52"/>
      <c r="N40" s="122">
        <f t="shared" si="7"/>
        <v>3.6096283439178707E-2</v>
      </c>
      <c r="O40" s="89">
        <f t="shared" si="2"/>
        <v>0.72863533976250439</v>
      </c>
      <c r="P40" s="90">
        <f t="shared" si="8"/>
        <v>2.6301027747869639E-2</v>
      </c>
      <c r="Q40" s="90">
        <f t="shared" si="3"/>
        <v>-1.0687320725453114E-2</v>
      </c>
      <c r="R40" s="123">
        <v>0.21248930599027482</v>
      </c>
      <c r="S40" s="52">
        <f>((1/3)*PI()*(R40^2)*((3*('BPV Calcs'!$B$8/12))-R40))-P40</f>
        <v>5.915448439288637E-4</v>
      </c>
    </row>
    <row r="41" spans="1:20" x14ac:dyDescent="0.25">
      <c r="A41" s="102">
        <v>65.3</v>
      </c>
      <c r="B41" s="106">
        <v>708.18864564</v>
      </c>
      <c r="C41" s="104">
        <v>1.5451350256</v>
      </c>
      <c r="D41" s="105">
        <v>0.29156020567359997</v>
      </c>
      <c r="E41" s="52"/>
      <c r="F41" s="95">
        <f t="shared" si="9"/>
        <v>6.6956521460969767E-2</v>
      </c>
      <c r="G41" s="137">
        <f t="shared" si="10"/>
        <v>0.75122497093492424</v>
      </c>
      <c r="H41" s="84">
        <f t="shared" si="4"/>
        <v>5.0299410888420645E-2</v>
      </c>
      <c r="I41" s="85">
        <f t="shared" si="5"/>
        <v>1.3311062415097892E-2</v>
      </c>
      <c r="J41" s="84">
        <f>IF(I41&gt;0, ('BPV Calcs'!$B$8/12)+(I41/(PI()*(('BPV Calcs'!$B$8/12)^2))), "Need to Use Goal Seek tool")</f>
        <v>0.32289440442295581</v>
      </c>
      <c r="K41" s="96">
        <f t="shared" si="6"/>
        <v>3.8747328530754697</v>
      </c>
      <c r="L41" s="52"/>
      <c r="M41" s="52"/>
      <c r="N41" s="122">
        <f t="shared" si="7"/>
        <v>3.0819003777835637E-2</v>
      </c>
      <c r="O41" s="89">
        <f t="shared" si="2"/>
        <v>0.72863533976250439</v>
      </c>
      <c r="P41" s="90">
        <f t="shared" si="8"/>
        <v>2.2455815288805175E-2</v>
      </c>
      <c r="Q41" s="90">
        <f t="shared" si="3"/>
        <v>-1.4532533184517579E-2</v>
      </c>
      <c r="R41" s="123">
        <v>0.1907150772829011</v>
      </c>
      <c r="S41" s="52">
        <f>((1/3)*PI()*(R41^2)*((3*('BPV Calcs'!$B$8/12))-R41))-P41</f>
        <v>3.7022964005109515E-5</v>
      </c>
    </row>
    <row r="42" spans="1:20" x14ac:dyDescent="0.25">
      <c r="A42" s="102">
        <v>66.2</v>
      </c>
      <c r="B42" s="106">
        <v>716.32237667999993</v>
      </c>
      <c r="C42" s="104">
        <v>1.5379868867199999</v>
      </c>
      <c r="D42" s="105">
        <v>0.29643326114399998</v>
      </c>
      <c r="E42" s="52"/>
      <c r="F42" s="95">
        <f t="shared" si="9"/>
        <v>6.1847405437448669E-2</v>
      </c>
      <c r="G42" s="137">
        <f t="shared" si="10"/>
        <v>0.75122497093492424</v>
      </c>
      <c r="H42" s="84">
        <f t="shared" si="4"/>
        <v>4.6461315352147849E-2</v>
      </c>
      <c r="I42" s="85">
        <f t="shared" si="5"/>
        <v>9.4729668788250954E-3</v>
      </c>
      <c r="J42" s="84">
        <f>IF(I42&gt;0, ('BPV Calcs'!$B$8/12)+(I42/(PI()*(('BPV Calcs'!$B$8/12)^2))), "Need to Use Goal Seek tool")</f>
        <v>0.3048796495580961</v>
      </c>
      <c r="K42" s="96">
        <f t="shared" si="6"/>
        <v>3.6585557946971532</v>
      </c>
      <c r="L42" s="170" t="s">
        <v>57</v>
      </c>
      <c r="M42" s="52"/>
      <c r="N42" s="122">
        <f t="shared" si="7"/>
        <v>2.5359990565452944E-2</v>
      </c>
      <c r="O42" s="89">
        <f t="shared" si="2"/>
        <v>0.72863533976250427</v>
      </c>
      <c r="P42" s="90">
        <f t="shared" si="8"/>
        <v>1.8478185342032709E-2</v>
      </c>
      <c r="Q42" s="90">
        <f t="shared" si="3"/>
        <v>-1.8510163131290044E-2</v>
      </c>
      <c r="R42" s="123">
        <v>0.17168996493983751</v>
      </c>
      <c r="S42" s="52">
        <f>((1/3)*PI()*(R42^2)*((3*('BPV Calcs'!$B$8/12))-R42))-P42</f>
        <v>3.3814492316293354E-4</v>
      </c>
    </row>
    <row r="43" spans="1:20" x14ac:dyDescent="0.25">
      <c r="A43" s="102">
        <v>67.099999999999994</v>
      </c>
      <c r="B43" s="106">
        <v>724.52862672000003</v>
      </c>
      <c r="C43" s="104">
        <v>1.5307281495999998</v>
      </c>
      <c r="D43" s="105">
        <v>0.301425510472</v>
      </c>
      <c r="E43" s="52"/>
      <c r="F43" s="95">
        <f t="shared" si="9"/>
        <v>5.6559004365802502E-2</v>
      </c>
      <c r="G43" s="137">
        <f t="shared" si="10"/>
        <v>0.75122497093492424</v>
      </c>
      <c r="H43" s="84">
        <f t="shared" si="4"/>
        <v>4.2488536410808235E-2</v>
      </c>
      <c r="I43" s="85">
        <f t="shared" si="5"/>
        <v>5.5001879374854817E-3</v>
      </c>
      <c r="J43" s="84">
        <f>IF(I43&gt;0, ('BPV Calcs'!$B$8/12)+(I43/(PI()*(('BPV Calcs'!$B$8/12)^2))), "Need to Use Goal Seek tool")</f>
        <v>0.28623273520066694</v>
      </c>
      <c r="K43" s="96">
        <f t="shared" si="6"/>
        <v>3.4347928224080033</v>
      </c>
      <c r="L43" s="170"/>
      <c r="M43" s="52"/>
      <c r="N43" s="122">
        <f t="shared" si="7"/>
        <v>1.9707963149169245E-2</v>
      </c>
      <c r="O43" s="89">
        <f t="shared" si="2"/>
        <v>0.72863533976250439</v>
      </c>
      <c r="P43" s="90">
        <f t="shared" si="8"/>
        <v>1.4359918425221848E-2</v>
      </c>
      <c r="Q43" s="90">
        <f t="shared" si="3"/>
        <v>-2.2628430048100903E-2</v>
      </c>
      <c r="R43" s="123">
        <v>0.14850498963246994</v>
      </c>
      <c r="S43" s="52">
        <f>((1/3)*PI()*(R43^2)*((3*('BPV Calcs'!$B$8/12))-R43))-P43</f>
        <v>2.5308340552952779E-4</v>
      </c>
    </row>
    <row r="44" spans="1:20" x14ac:dyDescent="0.25">
      <c r="A44" s="102">
        <v>68</v>
      </c>
      <c r="B44" s="106">
        <v>732.80594538000003</v>
      </c>
      <c r="C44" s="104">
        <v>1.5233529932800001</v>
      </c>
      <c r="D44" s="105">
        <v>0.30654265819839999</v>
      </c>
      <c r="E44" s="52"/>
      <c r="F44" s="95">
        <f t="shared" si="9"/>
        <v>5.1078607093820678E-2</v>
      </c>
      <c r="G44" s="137">
        <f t="shared" si="10"/>
        <v>0.75122497093492424</v>
      </c>
      <c r="H44" s="84">
        <f t="shared" si="4"/>
        <v>3.8371525129451856E-2</v>
      </c>
      <c r="I44" s="85">
        <f t="shared" si="5"/>
        <v>1.3831766561291023E-3</v>
      </c>
      <c r="J44" s="84">
        <f>IF(I44&gt;0, ('BPV Calcs'!$B$8/12)+(I44/(PI()*(('BPV Calcs'!$B$8/12)^2))), "Need to Use Goal Seek tool")</f>
        <v>0.266908841798701</v>
      </c>
      <c r="K44" s="96">
        <f t="shared" si="6"/>
        <v>3.202906101584412</v>
      </c>
      <c r="L44" s="52" t="s">
        <v>54</v>
      </c>
      <c r="M44" s="52"/>
      <c r="N44" s="122">
        <f t="shared" si="7"/>
        <v>1.3849237062883164E-2</v>
      </c>
      <c r="O44" s="89">
        <f t="shared" si="2"/>
        <v>0.7286353397625045</v>
      </c>
      <c r="P44" s="90">
        <f t="shared" si="8"/>
        <v>1.0091043552765345E-2</v>
      </c>
      <c r="Q44" s="90">
        <f t="shared" si="3"/>
        <v>-2.6897304920557408E-2</v>
      </c>
      <c r="R44" s="123">
        <v>0.12149580367635861</v>
      </c>
      <c r="S44" s="52">
        <f>((1/3)*PI()*(R44^2)*((3*('BPV Calcs'!$B$8/12))-R44))-P44</f>
        <v>1.0738682726090833E-4</v>
      </c>
    </row>
    <row r="45" spans="1:20" x14ac:dyDescent="0.25">
      <c r="A45" s="102">
        <v>68.900000000000006</v>
      </c>
      <c r="B45" s="106">
        <v>741.15723342000001</v>
      </c>
      <c r="C45" s="104">
        <v>1.51585365648</v>
      </c>
      <c r="D45" s="105">
        <v>0.31179093275039999</v>
      </c>
      <c r="E45" s="52"/>
      <c r="F45" s="95">
        <f t="shared" si="9"/>
        <v>4.5391024185220959E-2</v>
      </c>
      <c r="G45" s="137">
        <f t="shared" si="10"/>
        <v>0.75122497093492435</v>
      </c>
      <c r="H45" s="84">
        <f t="shared" si="4"/>
        <v>3.4098870824249061E-2</v>
      </c>
      <c r="I45" s="85">
        <f t="shared" si="5"/>
        <v>-2.889477649073692E-3</v>
      </c>
      <c r="J45" s="132">
        <v>0.24687064833561331</v>
      </c>
      <c r="K45" s="97">
        <f t="shared" si="6"/>
        <v>2.9624477800273596</v>
      </c>
      <c r="L45" s="52">
        <f>((1/3)*PI()*(J45^2)*((3*('BPV Calcs'!$B$8/12))-J45))-H45</f>
        <v>6.0622701216830888E-6</v>
      </c>
      <c r="M45" s="52"/>
      <c r="N45" s="122">
        <f t="shared" si="7"/>
        <v>7.7675006515787424E-3</v>
      </c>
      <c r="O45" s="89">
        <f t="shared" si="2"/>
        <v>0.72863533976250439</v>
      </c>
      <c r="P45" s="90">
        <f t="shared" si="8"/>
        <v>5.6596754763685508E-3</v>
      </c>
      <c r="Q45" s="90">
        <f t="shared" si="3"/>
        <v>-3.1328672996954202E-2</v>
      </c>
      <c r="R45" s="123">
        <v>9.2278680376457742E-2</v>
      </c>
      <c r="S45" s="52">
        <f>((1/3)*PI()*(R45^2)*((3*('BPV Calcs'!$B$8/12))-R45))-P45</f>
        <v>4.8406005108301859E-4</v>
      </c>
    </row>
    <row r="46" spans="1:20" x14ac:dyDescent="0.25">
      <c r="A46" s="102">
        <v>69.8</v>
      </c>
      <c r="B46" s="106">
        <v>749.58104045999994</v>
      </c>
      <c r="C46" s="104">
        <v>1.5082262585599999</v>
      </c>
      <c r="D46" s="105">
        <v>0.31717698942559996</v>
      </c>
      <c r="E46" s="52"/>
      <c r="F46" s="95">
        <f t="shared" si="9"/>
        <v>3.9483036942300216E-2</v>
      </c>
      <c r="G46" s="137">
        <f t="shared" si="10"/>
        <v>0.75122497093492435</v>
      </c>
      <c r="H46" s="84">
        <f t="shared" si="4"/>
        <v>2.9660643279402023E-2</v>
      </c>
      <c r="I46" s="85">
        <f t="shared" si="5"/>
        <v>-7.3277051939207305E-3</v>
      </c>
      <c r="J46" s="132">
        <v>0.22573990311305595</v>
      </c>
      <c r="K46" s="97">
        <f t="shared" si="6"/>
        <v>2.7088788373566715</v>
      </c>
      <c r="L46" s="52">
        <f>((1/3)*PI()*(J46^2)*((3*('BPV Calcs'!$B$8/12))-J46))-H46</f>
        <v>-1.6613311757913279E-5</v>
      </c>
      <c r="M46" s="52"/>
      <c r="N46" s="122">
        <f t="shared" si="7"/>
        <v>1.4484372022368131E-3</v>
      </c>
      <c r="O46" s="89">
        <f t="shared" si="2"/>
        <v>0.72863533976250439</v>
      </c>
      <c r="P46" s="90">
        <f>O46*N46</f>
        <v>1.0553825329764717E-3</v>
      </c>
      <c r="Q46" s="90">
        <f t="shared" si="3"/>
        <v>-3.5932965940346284E-2</v>
      </c>
      <c r="R46" s="123">
        <v>4.3206062949403698E-2</v>
      </c>
      <c r="S46" s="52">
        <f>((1/3)*PI()*(R46^2)*((3*('BPV Calcs'!$B$8/12))-R46))-P46</f>
        <v>3.8739783094345016E-4</v>
      </c>
    </row>
    <row r="47" spans="1:20" ht="15.75" thickBot="1" x14ac:dyDescent="0.3">
      <c r="A47" s="107">
        <v>70</v>
      </c>
      <c r="B47" s="108">
        <f>B46+(((B48-B46)/($A$48-$A$46))*($A$47-$A$46))</f>
        <v>751.46975752666663</v>
      </c>
      <c r="C47" s="109">
        <f>C46+(((C48-C46)/($A$48-$A$46))*($A$47-$A$46))</f>
        <v>1.5065010984888887</v>
      </c>
      <c r="D47" s="110">
        <f>D46+(((D48-D46)/($A$48-$A$46))*($A$47-$A$46))</f>
        <v>0.31840613902737774</v>
      </c>
      <c r="E47" s="49"/>
      <c r="F47" s="98">
        <f t="shared" si="9"/>
        <v>3.8129176343576189E-2</v>
      </c>
      <c r="G47" s="138">
        <f t="shared" si="10"/>
        <v>0.75122497093492424</v>
      </c>
      <c r="H47" s="86">
        <f t="shared" si="4"/>
        <v>2.8643589390475625E-2</v>
      </c>
      <c r="I47" s="87">
        <f t="shared" si="5"/>
        <v>-8.3447590828471287E-3</v>
      </c>
      <c r="J47" s="133">
        <v>0.22082528187997902</v>
      </c>
      <c r="K47" s="97">
        <f t="shared" si="6"/>
        <v>2.6499033825597484</v>
      </c>
      <c r="L47" s="52">
        <f>((1/3)*PI()*(J47^2)*((3*('BPV Calcs'!$B$8/12))-J47))-H47</f>
        <v>-2.5312125090250215E-5</v>
      </c>
      <c r="M47" s="52"/>
      <c r="N47" s="124">
        <f t="shared" si="7"/>
        <v>0</v>
      </c>
      <c r="O47" s="125">
        <f t="shared" si="2"/>
        <v>0.72863533976250439</v>
      </c>
      <c r="P47" s="126">
        <f>O47*N47</f>
        <v>0</v>
      </c>
      <c r="Q47" s="126">
        <f t="shared" si="3"/>
        <v>-3.6988348473322753E-2</v>
      </c>
      <c r="R47" s="127">
        <v>2.9265192002976545E-2</v>
      </c>
      <c r="S47" s="52">
        <f>((1/3)*PI()*(R47^2)*((3*('BPV Calcs'!$B$8/12))-R47))-P47</f>
        <v>6.7443552849545511E-4</v>
      </c>
      <c r="T47" s="51"/>
    </row>
    <row r="48" spans="1:20" x14ac:dyDescent="0.25">
      <c r="A48" s="102">
        <v>70.7</v>
      </c>
      <c r="B48" s="106">
        <v>758.08026725999991</v>
      </c>
      <c r="C48" s="104">
        <v>1.5004630382399999</v>
      </c>
      <c r="D48" s="105">
        <v>0.32270816263359997</v>
      </c>
      <c r="E48" s="52"/>
      <c r="F48" s="95">
        <f t="shared" si="9"/>
        <v>3.3337176339955747E-2</v>
      </c>
      <c r="G48" s="137">
        <f t="shared" si="10"/>
        <v>0.75122497093492424</v>
      </c>
      <c r="H48" s="84">
        <f t="shared" si="4"/>
        <v>2.50437193270357E-2</v>
      </c>
      <c r="I48" s="85">
        <f t="shared" si="5"/>
        <v>-1.1944629146287054E-2</v>
      </c>
      <c r="J48" s="132">
        <v>0.20311497711219526</v>
      </c>
      <c r="K48" s="97">
        <f t="shared" si="6"/>
        <v>2.437379725346343</v>
      </c>
      <c r="L48" s="52">
        <f>((1/3)*PI()*(J48^2)*((3*('BPV Calcs'!$B$8/12))-J48))-H48</f>
        <v>-6.6631916129235996E-5</v>
      </c>
      <c r="M48" s="52"/>
      <c r="N48" s="52"/>
      <c r="O48" s="65"/>
      <c r="P48" s="52"/>
      <c r="Q48" s="52"/>
      <c r="R48" s="72"/>
      <c r="S48" s="52"/>
    </row>
    <row r="49" spans="1:20" x14ac:dyDescent="0.25">
      <c r="A49" s="102">
        <v>71.599999999999994</v>
      </c>
      <c r="B49" s="106">
        <v>766.65491381999993</v>
      </c>
      <c r="C49" s="104">
        <v>1.4925542939199998</v>
      </c>
      <c r="D49" s="105">
        <v>0.32839236888000001</v>
      </c>
      <c r="E49" s="52"/>
      <c r="F49" s="95">
        <f t="shared" si="9"/>
        <v>2.693291798927008E-2</v>
      </c>
      <c r="G49" s="137">
        <f t="shared" si="10"/>
        <v>0.75122497093492424</v>
      </c>
      <c r="H49" s="84">
        <f t="shared" si="4"/>
        <v>2.0232680533682115E-2</v>
      </c>
      <c r="I49" s="85">
        <f t="shared" si="5"/>
        <v>-1.6755667939640638E-2</v>
      </c>
      <c r="J49" s="132">
        <v>0.17870440324472858</v>
      </c>
      <c r="K49" s="97">
        <f t="shared" si="6"/>
        <v>2.144452838936743</v>
      </c>
      <c r="L49" s="52">
        <f>((1/3)*PI()*(J49^2)*((3*('BPV Calcs'!$B$8/12))-J49))-H49</f>
        <v>-8.2031347252611853E-5</v>
      </c>
      <c r="M49" s="52"/>
      <c r="N49" s="52"/>
      <c r="O49" s="65"/>
      <c r="P49" s="52"/>
      <c r="Q49" s="52"/>
      <c r="R49" s="72"/>
      <c r="S49" s="52"/>
    </row>
    <row r="50" spans="1:20" x14ac:dyDescent="0.25">
      <c r="A50" s="102">
        <v>72.5</v>
      </c>
      <c r="B50" s="106">
        <v>775.30498014</v>
      </c>
      <c r="C50" s="104">
        <v>1.48449226432</v>
      </c>
      <c r="D50" s="105">
        <v>0.33423830079839995</v>
      </c>
      <c r="E50" s="52"/>
      <c r="F50" s="95">
        <f t="shared" si="9"/>
        <v>2.0249656851450533E-2</v>
      </c>
      <c r="G50" s="137">
        <f t="shared" si="10"/>
        <v>0.75122497093492424</v>
      </c>
      <c r="H50" s="84">
        <f t="shared" si="4"/>
        <v>1.5212047879673117E-2</v>
      </c>
      <c r="I50" s="85">
        <f t="shared" si="5"/>
        <v>-2.1776300593649635E-2</v>
      </c>
      <c r="J50" s="132">
        <v>0.14877637433762442</v>
      </c>
      <c r="K50" s="97">
        <f t="shared" si="6"/>
        <v>1.785316492051493</v>
      </c>
      <c r="L50" s="52">
        <f>((1/3)*PI()*(J50^2)*((3*('BPV Calcs'!$B$8/12))-J50))-H50</f>
        <v>-5.5187878595190296E-4</v>
      </c>
      <c r="M50" s="52"/>
      <c r="N50" s="52"/>
      <c r="O50" s="65"/>
      <c r="P50" s="52"/>
      <c r="Q50" s="52"/>
      <c r="R50" s="72"/>
      <c r="S50" s="52"/>
    </row>
    <row r="51" spans="1:20" x14ac:dyDescent="0.25">
      <c r="A51" s="102">
        <v>73.400000000000006</v>
      </c>
      <c r="B51" s="106">
        <v>784.03191660000005</v>
      </c>
      <c r="C51" s="104">
        <v>1.4762691881599999</v>
      </c>
      <c r="D51" s="105">
        <v>0.34025552416639998</v>
      </c>
      <c r="E51" s="52"/>
      <c r="F51" s="95">
        <f t="shared" si="9"/>
        <v>1.3264956550221583E-2</v>
      </c>
      <c r="G51" s="137">
        <f t="shared" si="10"/>
        <v>0.75122497093492424</v>
      </c>
      <c r="H51" s="84">
        <f t="shared" si="4"/>
        <v>9.964966598893241E-3</v>
      </c>
      <c r="I51" s="85">
        <f t="shared" si="5"/>
        <v>-2.7023381874429514E-2</v>
      </c>
      <c r="J51" s="132">
        <v>0.11973998427717275</v>
      </c>
      <c r="K51" s="97">
        <f t="shared" si="6"/>
        <v>1.436879811326073</v>
      </c>
      <c r="L51" s="52">
        <f>((1/3)*PI()*(J51^2)*((3*('BPV Calcs'!$B$8/12))-J51))-H51</f>
        <v>-3.2812807474297614E-5</v>
      </c>
      <c r="M51" s="52"/>
      <c r="N51" s="52"/>
      <c r="O51" s="147" t="s">
        <v>60</v>
      </c>
      <c r="P51" s="65"/>
      <c r="Q51" s="52"/>
      <c r="R51" s="72"/>
      <c r="S51" s="52"/>
    </row>
    <row r="52" spans="1:20" x14ac:dyDescent="0.25">
      <c r="A52" s="102">
        <v>74.3</v>
      </c>
      <c r="B52" s="106">
        <v>792.83572320000007</v>
      </c>
      <c r="C52" s="104">
        <v>1.4678734235199999</v>
      </c>
      <c r="D52" s="105">
        <v>0.34645449730880001</v>
      </c>
      <c r="E52" s="52"/>
      <c r="F52" s="95">
        <f t="shared" si="9"/>
        <v>5.9508601980526824E-3</v>
      </c>
      <c r="G52" s="137">
        <f t="shared" si="10"/>
        <v>0.75122497093492424</v>
      </c>
      <c r="H52" s="84">
        <f t="shared" si="4"/>
        <v>4.4704347793199243E-3</v>
      </c>
      <c r="I52" s="85">
        <f t="shared" si="5"/>
        <v>-3.251791369400283E-2</v>
      </c>
      <c r="J52" s="132">
        <v>7.5494467975184554E-2</v>
      </c>
      <c r="K52" s="97">
        <f t="shared" si="6"/>
        <v>0.90593361570221465</v>
      </c>
      <c r="L52" s="52">
        <f>((1/3)*PI()*(J52^2)*((3*('BPV Calcs'!$B$8/12))-J52))-H52</f>
        <v>-2.5819420832306778E-4</v>
      </c>
      <c r="M52" s="52"/>
      <c r="N52" s="52"/>
      <c r="O52" s="65"/>
      <c r="P52" s="52"/>
      <c r="Q52" s="52"/>
      <c r="R52" s="72"/>
      <c r="S52" s="52"/>
    </row>
    <row r="53" spans="1:20" ht="15.75" thickBot="1" x14ac:dyDescent="0.3">
      <c r="A53" s="107">
        <v>75</v>
      </c>
      <c r="B53" s="108">
        <f>B52+(((B54-B52)/($A$54-$A$52))*($A$53-$A$52))</f>
        <v>799.74517236666668</v>
      </c>
      <c r="C53" s="109">
        <f t="shared" ref="C53:D53" si="11">C52+(((C54-C52)/($A$54-$A$52))*($A$53-$A$52))</f>
        <v>1.4612000162666667</v>
      </c>
      <c r="D53" s="110">
        <f t="shared" si="11"/>
        <v>0.35142632153493331</v>
      </c>
      <c r="E53" s="49"/>
      <c r="F53" s="99">
        <f t="shared" si="9"/>
        <v>0</v>
      </c>
      <c r="G53" s="139">
        <f t="shared" si="10"/>
        <v>0.75122497093492424</v>
      </c>
      <c r="H53" s="136">
        <f t="shared" si="4"/>
        <v>0</v>
      </c>
      <c r="I53" s="100">
        <f t="shared" si="5"/>
        <v>-3.6988348473322753E-2</v>
      </c>
      <c r="J53" s="134">
        <v>0</v>
      </c>
      <c r="K53" s="101">
        <f t="shared" si="6"/>
        <v>0</v>
      </c>
      <c r="L53" s="52">
        <f>((1/3)*PI()*(J53^2)*((3*('BPV Calcs'!$B$8/12))-J53))-H53</f>
        <v>0</v>
      </c>
      <c r="M53" s="52"/>
      <c r="N53" s="52"/>
      <c r="O53" s="65"/>
      <c r="P53" s="49"/>
      <c r="Q53" s="49"/>
      <c r="R53" s="73"/>
      <c r="S53" s="49"/>
      <c r="T53" s="42"/>
    </row>
    <row r="54" spans="1:20" ht="15.75" thickBot="1" x14ac:dyDescent="0.3">
      <c r="A54" s="102">
        <v>75.2</v>
      </c>
      <c r="B54" s="106">
        <v>801.71930069999996</v>
      </c>
      <c r="C54" s="104">
        <v>1.45929332848</v>
      </c>
      <c r="D54" s="105">
        <v>0.35284684274239997</v>
      </c>
      <c r="E54" s="52"/>
      <c r="F54" s="17"/>
      <c r="G54" s="40"/>
      <c r="H54" s="40"/>
      <c r="I54" s="17"/>
      <c r="J54" s="52"/>
      <c r="K54" s="52"/>
      <c r="L54" s="17"/>
      <c r="M54" s="17"/>
      <c r="N54" s="52"/>
      <c r="O54" s="52"/>
      <c r="P54" s="52"/>
      <c r="Q54" s="52"/>
      <c r="R54" s="72"/>
      <c r="S54" s="52"/>
    </row>
    <row r="55" spans="1:20" x14ac:dyDescent="0.25">
      <c r="A55" s="102">
        <v>76.099999999999994</v>
      </c>
      <c r="B55" s="106">
        <v>810.68264910000005</v>
      </c>
      <c r="C55" s="104">
        <v>1.4505153208000001</v>
      </c>
      <c r="D55" s="105">
        <v>0.35944542478879998</v>
      </c>
      <c r="E55" s="52"/>
      <c r="F55" s="91" t="s">
        <v>44</v>
      </c>
      <c r="G55" s="140">
        <f>(2/3)*PI()*(('BPV Calcs'!B8/12)^3)</f>
        <v>3.6988348473322753E-2</v>
      </c>
      <c r="H55" s="40"/>
      <c r="I55" s="17"/>
      <c r="J55" s="52"/>
      <c r="K55" s="52"/>
      <c r="L55" s="17"/>
      <c r="M55" s="17"/>
      <c r="N55" s="17"/>
      <c r="O55" s="17"/>
      <c r="P55" s="17"/>
      <c r="Q55" s="17"/>
      <c r="R55" s="74"/>
      <c r="S55" s="17"/>
    </row>
    <row r="56" spans="1:20" x14ac:dyDescent="0.25">
      <c r="A56" s="102">
        <v>77</v>
      </c>
      <c r="B56" s="106">
        <v>819.72576839999999</v>
      </c>
      <c r="C56" s="104">
        <v>1.4415277585599999</v>
      </c>
      <c r="D56" s="105">
        <v>0.36626458241279997</v>
      </c>
      <c r="E56" s="52"/>
      <c r="F56" s="92" t="s">
        <v>46</v>
      </c>
      <c r="G56" s="40">
        <f>G4-(2*G55)</f>
        <v>0.67724827398827869</v>
      </c>
      <c r="H56" s="40"/>
      <c r="I56" s="17"/>
      <c r="J56" s="52"/>
      <c r="K56" s="52"/>
      <c r="L56" s="17"/>
      <c r="M56" s="17"/>
      <c r="N56" s="17"/>
      <c r="O56" s="17"/>
      <c r="P56" s="17"/>
      <c r="Q56" s="17"/>
      <c r="R56" s="74"/>
      <c r="S56" s="17"/>
    </row>
    <row r="57" spans="1:20" x14ac:dyDescent="0.25">
      <c r="A57" s="102">
        <v>77.900000000000006</v>
      </c>
      <c r="B57" s="106">
        <v>828.85010898000007</v>
      </c>
      <c r="C57" s="104">
        <v>1.4323131788799999</v>
      </c>
      <c r="D57" s="105">
        <v>0.37332036206079999</v>
      </c>
      <c r="E57" s="52"/>
      <c r="F57" s="92" t="s">
        <v>45</v>
      </c>
      <c r="G57" s="40">
        <f>G56/(PI()*(('BPV Calcs'!B8/12)^2))</f>
        <v>3.1787800807053701</v>
      </c>
      <c r="H57" s="40"/>
      <c r="I57" s="17"/>
      <c r="J57" s="17"/>
      <c r="K57" s="17"/>
      <c r="L57" s="17"/>
      <c r="M57" s="17"/>
      <c r="N57" s="17"/>
      <c r="O57" s="17"/>
      <c r="P57" s="17"/>
      <c r="Q57" s="17"/>
      <c r="R57" s="74"/>
      <c r="S57" s="17"/>
    </row>
    <row r="58" spans="1:20" ht="15.75" thickBot="1" x14ac:dyDescent="0.3">
      <c r="A58" s="102">
        <v>78.8</v>
      </c>
      <c r="B58" s="106">
        <v>838.05712122</v>
      </c>
      <c r="C58" s="104">
        <v>1.4228541188799999</v>
      </c>
      <c r="D58" s="105">
        <v>0.38063080870880001</v>
      </c>
      <c r="E58" s="52"/>
      <c r="F58" s="93" t="s">
        <v>47</v>
      </c>
      <c r="G58" s="141">
        <f>G57+(2*'BPV Calcs'!B8/12)</f>
        <v>3.6996134140387036</v>
      </c>
      <c r="H58" s="40"/>
      <c r="I58" s="17"/>
      <c r="J58" s="17"/>
      <c r="K58" s="17"/>
      <c r="L58" s="17"/>
      <c r="M58" s="17"/>
      <c r="N58" s="17"/>
      <c r="O58" s="17"/>
      <c r="P58" s="17"/>
      <c r="Q58" s="17"/>
      <c r="R58" s="74"/>
      <c r="S58" s="17"/>
    </row>
    <row r="59" spans="1:20" x14ac:dyDescent="0.25">
      <c r="A59" s="102">
        <v>79.7</v>
      </c>
      <c r="B59" s="106">
        <v>847.34825549999994</v>
      </c>
      <c r="C59" s="104">
        <v>1.41312923504</v>
      </c>
      <c r="D59" s="105">
        <v>0.38821637332959996</v>
      </c>
      <c r="E59" s="52"/>
      <c r="F59" s="17"/>
      <c r="G59" s="40"/>
      <c r="H59" s="40"/>
      <c r="I59" s="17"/>
      <c r="J59" s="17"/>
      <c r="K59" s="17"/>
      <c r="L59" s="17"/>
      <c r="M59" s="17"/>
      <c r="N59" s="17"/>
      <c r="O59" s="17"/>
      <c r="P59" s="17"/>
      <c r="Q59" s="17"/>
      <c r="R59" s="74"/>
      <c r="S59" s="17"/>
    </row>
    <row r="60" spans="1:20" x14ac:dyDescent="0.25">
      <c r="A60" s="102">
        <v>80.599999999999994</v>
      </c>
      <c r="B60" s="106">
        <v>856.72351182</v>
      </c>
      <c r="C60" s="104">
        <v>1.4031171838399998</v>
      </c>
      <c r="D60" s="105">
        <v>0.3961002815536</v>
      </c>
      <c r="E60" s="52"/>
      <c r="F60" s="167"/>
      <c r="G60" s="167"/>
      <c r="H60" s="40"/>
      <c r="I60" s="17"/>
      <c r="J60" s="17"/>
      <c r="K60" s="17"/>
      <c r="L60" s="17"/>
      <c r="M60" s="17"/>
      <c r="N60" s="167"/>
      <c r="O60" s="167"/>
      <c r="P60" s="17"/>
      <c r="Q60" s="17"/>
      <c r="R60" s="74"/>
      <c r="S60" s="17"/>
    </row>
    <row r="61" spans="1:20" x14ac:dyDescent="0.25">
      <c r="A61" s="102">
        <v>81.5</v>
      </c>
      <c r="B61" s="106">
        <v>866.18579093999995</v>
      </c>
      <c r="C61" s="104">
        <v>1.3927888604799998</v>
      </c>
      <c r="D61" s="105">
        <v>0.40430919337760002</v>
      </c>
      <c r="E61" s="52"/>
      <c r="F61" s="17"/>
      <c r="G61" s="40"/>
      <c r="H61" s="40"/>
      <c r="I61" s="17"/>
      <c r="J61" s="17"/>
      <c r="K61" s="17"/>
      <c r="L61" s="17"/>
      <c r="M61" s="17"/>
      <c r="N61" s="17"/>
      <c r="O61" s="17"/>
      <c r="P61" s="17"/>
      <c r="Q61" s="17"/>
      <c r="R61" s="74"/>
      <c r="S61" s="17"/>
    </row>
    <row r="62" spans="1:20" x14ac:dyDescent="0.25">
      <c r="A62" s="102">
        <v>82.4</v>
      </c>
      <c r="B62" s="106">
        <v>875.73364248000007</v>
      </c>
      <c r="C62" s="104">
        <v>1.3821171004799999</v>
      </c>
      <c r="D62" s="105">
        <v>0.41287390167999999</v>
      </c>
      <c r="E62" s="52"/>
      <c r="F62" s="17"/>
      <c r="G62" s="40"/>
      <c r="H62" s="40"/>
      <c r="I62" s="17"/>
      <c r="J62" s="17"/>
      <c r="K62" s="17"/>
      <c r="L62" s="17"/>
      <c r="M62" s="17"/>
      <c r="N62" s="17"/>
      <c r="O62" s="17"/>
      <c r="P62" s="17"/>
      <c r="Q62" s="17"/>
      <c r="R62" s="74"/>
      <c r="S62" s="17"/>
    </row>
    <row r="63" spans="1:20" x14ac:dyDescent="0.25">
      <c r="A63" s="102">
        <v>83.3</v>
      </c>
      <c r="B63" s="106">
        <v>885.37141757999996</v>
      </c>
      <c r="C63" s="104">
        <v>1.37106309744</v>
      </c>
      <c r="D63" s="105">
        <v>0.42183024417120002</v>
      </c>
      <c r="E63" s="52"/>
      <c r="F63" s="17"/>
      <c r="G63" s="40"/>
      <c r="H63" s="40"/>
      <c r="I63" s="17"/>
      <c r="J63" s="17"/>
      <c r="K63" s="17"/>
      <c r="L63" s="17"/>
      <c r="M63" s="17"/>
      <c r="N63" s="17"/>
      <c r="O63" s="17"/>
      <c r="P63" s="17"/>
      <c r="Q63" s="17"/>
      <c r="R63" s="74"/>
      <c r="S63" s="17"/>
    </row>
    <row r="64" spans="1:20" x14ac:dyDescent="0.25">
      <c r="A64" s="102">
        <v>84.2</v>
      </c>
      <c r="B64" s="106">
        <v>895.10056662</v>
      </c>
      <c r="C64" s="104">
        <v>1.35958416432</v>
      </c>
      <c r="D64" s="105">
        <v>0.43122034519840002</v>
      </c>
      <c r="E64" s="52"/>
      <c r="F64" s="17"/>
      <c r="G64" s="40"/>
      <c r="H64" s="40"/>
      <c r="I64" s="17"/>
      <c r="J64" s="17"/>
      <c r="K64" s="17"/>
      <c r="L64" s="17"/>
      <c r="M64" s="17"/>
      <c r="N64" s="17"/>
      <c r="O64" s="17"/>
      <c r="P64" s="17"/>
      <c r="Q64" s="17"/>
      <c r="R64" s="74"/>
      <c r="S64" s="17"/>
    </row>
    <row r="65" spans="1:20" x14ac:dyDescent="0.25">
      <c r="A65" s="102">
        <v>85.1</v>
      </c>
      <c r="B65" s="106">
        <v>904.91963922000002</v>
      </c>
      <c r="C65" s="104">
        <v>1.3476317931200001</v>
      </c>
      <c r="D65" s="105">
        <v>0.44109424561439997</v>
      </c>
      <c r="E65" s="52"/>
      <c r="F65" s="17"/>
      <c r="G65" s="40"/>
      <c r="H65" s="40"/>
      <c r="I65" s="17"/>
      <c r="J65" s="17"/>
      <c r="K65" s="17"/>
      <c r="L65" s="17"/>
      <c r="M65" s="17"/>
      <c r="N65" s="17"/>
      <c r="O65" s="17"/>
      <c r="P65" s="17"/>
      <c r="Q65" s="17"/>
      <c r="R65" s="74"/>
      <c r="S65" s="17"/>
    </row>
    <row r="66" spans="1:20" x14ac:dyDescent="0.25">
      <c r="A66" s="102">
        <v>86</v>
      </c>
      <c r="B66" s="106">
        <v>914.83443690000001</v>
      </c>
      <c r="C66" s="104">
        <v>1.33514583392</v>
      </c>
      <c r="D66" s="105">
        <v>0.45151211474239994</v>
      </c>
      <c r="E66" s="52"/>
      <c r="F66" s="17"/>
      <c r="G66" s="40"/>
      <c r="H66" s="40"/>
      <c r="I66" s="17"/>
      <c r="J66" s="17"/>
      <c r="K66" s="17"/>
      <c r="L66" s="17"/>
      <c r="M66" s="17"/>
      <c r="N66" s="17"/>
      <c r="O66" s="17"/>
      <c r="P66" s="17"/>
      <c r="Q66" s="17"/>
      <c r="R66" s="74"/>
      <c r="S66" s="17"/>
    </row>
    <row r="67" spans="1:20" x14ac:dyDescent="0.25">
      <c r="A67" s="102">
        <v>86.9</v>
      </c>
      <c r="B67" s="106">
        <v>924.84350928000003</v>
      </c>
      <c r="C67" s="104">
        <v>1.3220506142399999</v>
      </c>
      <c r="D67" s="105">
        <v>0.4625472966784</v>
      </c>
      <c r="E67" s="52"/>
      <c r="F67" s="17"/>
      <c r="G67" s="40"/>
      <c r="H67" s="40"/>
      <c r="I67" s="17"/>
      <c r="J67" s="17"/>
      <c r="K67" s="17"/>
      <c r="L67" s="17"/>
      <c r="M67" s="17"/>
      <c r="N67" s="17"/>
      <c r="O67" s="17"/>
      <c r="P67" s="17"/>
      <c r="Q67" s="17"/>
      <c r="R67" s="74"/>
      <c r="S67" s="17"/>
    </row>
    <row r="68" spans="1:20" x14ac:dyDescent="0.25">
      <c r="A68" s="102">
        <v>87.8</v>
      </c>
      <c r="B68" s="106">
        <v>934.95120750000012</v>
      </c>
      <c r="C68" s="104">
        <v>1.30825687936</v>
      </c>
      <c r="D68" s="105">
        <v>0.47429065660800002</v>
      </c>
      <c r="E68" s="52"/>
      <c r="F68" s="17"/>
      <c r="G68" s="40"/>
      <c r="H68" s="40"/>
      <c r="I68" s="17"/>
      <c r="J68" s="17"/>
      <c r="K68" s="17"/>
      <c r="L68" s="17"/>
      <c r="M68" s="17"/>
      <c r="N68" s="17"/>
      <c r="O68" s="17"/>
      <c r="P68" s="17"/>
      <c r="Q68" s="17"/>
      <c r="R68" s="74"/>
      <c r="S68" s="17"/>
    </row>
    <row r="69" spans="1:20" x14ac:dyDescent="0.25">
      <c r="A69" s="102">
        <v>88.7</v>
      </c>
      <c r="B69" s="106">
        <v>945.16043231999993</v>
      </c>
      <c r="C69" s="104">
        <v>1.29364626976</v>
      </c>
      <c r="D69" s="105">
        <v>0.48685690624959999</v>
      </c>
      <c r="E69" s="52"/>
      <c r="F69" s="17"/>
      <c r="G69" s="40"/>
      <c r="H69" s="40"/>
      <c r="I69" s="17"/>
      <c r="J69" s="17"/>
      <c r="K69" s="17"/>
      <c r="L69" s="17"/>
      <c r="M69" s="17"/>
      <c r="N69" s="17"/>
      <c r="O69" s="17"/>
      <c r="P69" s="17"/>
      <c r="Q69" s="17"/>
      <c r="R69" s="74"/>
      <c r="S69" s="17"/>
    </row>
    <row r="70" spans="1:20" x14ac:dyDescent="0.25">
      <c r="A70" s="102">
        <v>89.6</v>
      </c>
      <c r="B70" s="106">
        <v>955.47118374000013</v>
      </c>
      <c r="C70" s="104">
        <v>1.2780693808000001</v>
      </c>
      <c r="D70" s="105">
        <v>0.50039415022879996</v>
      </c>
      <c r="E70" s="52"/>
      <c r="F70" s="17"/>
      <c r="G70" s="40"/>
      <c r="H70" s="40"/>
      <c r="I70" s="17"/>
      <c r="J70" s="17"/>
      <c r="K70" s="17"/>
      <c r="L70" s="17"/>
      <c r="M70" s="17"/>
      <c r="N70" s="17"/>
      <c r="O70" s="17"/>
      <c r="P70" s="17"/>
      <c r="Q70" s="17"/>
      <c r="R70" s="74"/>
      <c r="S70" s="17"/>
    </row>
    <row r="71" spans="1:20" x14ac:dyDescent="0.25">
      <c r="A71" s="102">
        <v>90.5</v>
      </c>
      <c r="B71" s="106">
        <v>965.88781289999997</v>
      </c>
      <c r="C71" s="104">
        <v>1.2613302401599999</v>
      </c>
      <c r="D71" s="105">
        <v>0.51509886534880001</v>
      </c>
      <c r="E71" s="52"/>
      <c r="F71" s="17"/>
      <c r="G71" s="40"/>
      <c r="H71" s="40"/>
      <c r="I71" s="17"/>
      <c r="J71" s="17"/>
      <c r="K71" s="17"/>
      <c r="L71" s="17"/>
      <c r="M71" s="17"/>
      <c r="N71" s="17"/>
      <c r="O71" s="17"/>
      <c r="P71" s="17"/>
      <c r="Q71" s="17"/>
      <c r="R71" s="74"/>
      <c r="S71" s="17"/>
    </row>
    <row r="72" spans="1:20" x14ac:dyDescent="0.25">
      <c r="A72" s="102">
        <v>91.4</v>
      </c>
      <c r="B72" s="106">
        <v>976.41612132</v>
      </c>
      <c r="C72" s="104">
        <v>1.24315138208</v>
      </c>
      <c r="D72" s="105">
        <v>0.53124065907359996</v>
      </c>
      <c r="E72" s="52"/>
      <c r="F72" s="17"/>
      <c r="G72" s="40"/>
      <c r="H72" s="40"/>
      <c r="I72" s="17"/>
      <c r="J72" s="17"/>
      <c r="K72" s="17"/>
      <c r="L72" s="17"/>
      <c r="M72" s="17"/>
      <c r="N72" s="17"/>
      <c r="O72" s="17"/>
      <c r="P72" s="17"/>
      <c r="Q72" s="17"/>
      <c r="R72" s="74"/>
      <c r="S72" s="17"/>
    </row>
    <row r="73" spans="1:20" x14ac:dyDescent="0.25">
      <c r="A73" s="102">
        <v>92.3</v>
      </c>
      <c r="B73" s="106">
        <v>987.05610900000011</v>
      </c>
      <c r="C73" s="104">
        <v>1.2231428022399999</v>
      </c>
      <c r="D73" s="105">
        <v>0.54920555806720006</v>
      </c>
      <c r="E73" s="52"/>
      <c r="F73" s="17"/>
      <c r="G73" s="40"/>
      <c r="H73" s="40"/>
      <c r="I73" s="17"/>
      <c r="J73" s="17"/>
      <c r="K73" s="17"/>
      <c r="L73" s="17"/>
      <c r="M73" s="17"/>
      <c r="N73" s="17"/>
      <c r="O73" s="17"/>
      <c r="P73" s="17"/>
      <c r="Q73" s="17"/>
      <c r="R73" s="74"/>
      <c r="S73" s="17"/>
    </row>
    <row r="74" spans="1:20" x14ac:dyDescent="0.25">
      <c r="A74" s="102">
        <v>93.2</v>
      </c>
      <c r="B74" s="106">
        <v>997.81792859999996</v>
      </c>
      <c r="C74" s="104">
        <v>1.20071076272</v>
      </c>
      <c r="D74" s="105">
        <v>0.56957841358399997</v>
      </c>
      <c r="E74" s="52"/>
      <c r="F74" s="17"/>
      <c r="G74" s="40"/>
      <c r="H74" s="40"/>
      <c r="I74" s="17"/>
      <c r="J74" s="17"/>
      <c r="K74" s="17"/>
      <c r="L74" s="17"/>
      <c r="M74" s="17"/>
      <c r="N74" s="17"/>
      <c r="O74" s="17"/>
      <c r="P74" s="17"/>
      <c r="Q74" s="17"/>
      <c r="R74" s="74"/>
      <c r="S74" s="17"/>
    </row>
    <row r="75" spans="1:20" x14ac:dyDescent="0.25">
      <c r="A75" s="102">
        <v>94.1</v>
      </c>
      <c r="B75" s="106">
        <v>1008.70448088</v>
      </c>
      <c r="C75" s="104">
        <v>1.1748812228800001</v>
      </c>
      <c r="D75" s="105">
        <v>0.59331624965759999</v>
      </c>
      <c r="E75" s="52"/>
      <c r="F75" s="17"/>
      <c r="G75" s="40"/>
      <c r="H75" s="40"/>
      <c r="I75" s="17"/>
      <c r="J75" s="17"/>
      <c r="K75" s="17"/>
      <c r="L75" s="17"/>
      <c r="M75" s="17"/>
      <c r="N75" s="17"/>
      <c r="O75" s="17"/>
      <c r="P75" s="17"/>
      <c r="Q75" s="17"/>
      <c r="R75" s="74"/>
      <c r="S75" s="17"/>
    </row>
    <row r="76" spans="1:20" x14ac:dyDescent="0.25">
      <c r="A76" s="102">
        <v>95</v>
      </c>
      <c r="B76" s="106">
        <v>1019.7259185</v>
      </c>
      <c r="C76" s="104">
        <v>1.143867148</v>
      </c>
      <c r="D76" s="105">
        <v>0.6221741633408</v>
      </c>
      <c r="E76" s="52"/>
      <c r="F76" s="17"/>
      <c r="G76" s="40"/>
      <c r="H76" s="40"/>
      <c r="I76" s="17"/>
      <c r="J76" s="17"/>
      <c r="K76" s="17"/>
      <c r="L76" s="17"/>
      <c r="M76" s="17"/>
      <c r="N76" s="17"/>
      <c r="O76" s="17"/>
      <c r="P76" s="17"/>
      <c r="Q76" s="17"/>
      <c r="R76" s="74"/>
      <c r="S76" s="17"/>
    </row>
    <row r="77" spans="1:20" x14ac:dyDescent="0.25">
      <c r="A77" s="102">
        <v>95.9</v>
      </c>
      <c r="B77" s="106">
        <v>1030.8938445000001</v>
      </c>
      <c r="C77" s="104">
        <v>1.1037122256</v>
      </c>
      <c r="D77" s="105">
        <v>0.66003374539039994</v>
      </c>
      <c r="E77" s="52"/>
      <c r="F77" s="17"/>
      <c r="G77" s="40"/>
      <c r="H77" s="40"/>
      <c r="I77" s="17"/>
      <c r="J77" s="17"/>
      <c r="K77" s="17"/>
      <c r="L77" s="17"/>
      <c r="M77" s="17"/>
      <c r="N77" s="17"/>
      <c r="O77" s="17"/>
      <c r="P77" s="17"/>
      <c r="Q77" s="17"/>
      <c r="R77" s="74"/>
      <c r="S77" s="17"/>
    </row>
    <row r="78" spans="1:20" x14ac:dyDescent="0.25">
      <c r="A78" s="102">
        <v>96.8</v>
      </c>
      <c r="B78" s="106">
        <v>1042.23146496</v>
      </c>
      <c r="C78" s="104">
        <v>1.04153273088</v>
      </c>
      <c r="D78" s="105">
        <v>0.7195324357888</v>
      </c>
      <c r="E78" s="52"/>
      <c r="F78" s="17"/>
      <c r="G78" s="40"/>
      <c r="H78" s="40"/>
      <c r="I78" s="17"/>
      <c r="J78" s="17"/>
      <c r="K78" s="17"/>
      <c r="L78" s="17"/>
      <c r="M78" s="17"/>
      <c r="N78" s="17"/>
      <c r="O78" s="17"/>
      <c r="P78" s="17"/>
      <c r="Q78" s="17"/>
      <c r="R78" s="74"/>
      <c r="S78" s="17"/>
    </row>
    <row r="79" spans="1:20" ht="15.75" thickBot="1" x14ac:dyDescent="0.3">
      <c r="A79" s="111">
        <v>97.47</v>
      </c>
      <c r="B79" s="112">
        <v>1050.8003100000001</v>
      </c>
      <c r="C79" s="113">
        <v>0.87704598352000007</v>
      </c>
      <c r="D79" s="114">
        <v>0.8770468760672</v>
      </c>
      <c r="E79" s="70"/>
      <c r="F79" s="17"/>
      <c r="G79" s="40"/>
      <c r="H79" s="40"/>
      <c r="I79" s="17"/>
      <c r="J79" s="17"/>
      <c r="K79" s="17"/>
      <c r="L79" s="18"/>
      <c r="M79" s="18"/>
      <c r="N79" s="17"/>
      <c r="O79" s="17"/>
      <c r="P79" s="17"/>
      <c r="Q79" s="17"/>
      <c r="R79" s="74"/>
      <c r="S79" s="17"/>
      <c r="T79" s="22"/>
    </row>
    <row r="80" spans="1:20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10">
    <mergeCell ref="F60:G60"/>
    <mergeCell ref="A1:D1"/>
    <mergeCell ref="F1:F3"/>
    <mergeCell ref="I1:I2"/>
    <mergeCell ref="N1:N3"/>
    <mergeCell ref="O1:P1"/>
    <mergeCell ref="R1:R2"/>
    <mergeCell ref="N60:O60"/>
    <mergeCell ref="J2:K2"/>
    <mergeCell ref="L42:L4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BPV Calcs</vt:lpstr>
      <vt:lpstr>N2O Pressure Calcs</vt:lpstr>
      <vt:lpstr>N2O Ullage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2018-07-22T20:55:33Z</dcterms:created>
  <dcterms:modified xsi:type="dcterms:W3CDTF">2018-10-11T00:06:49Z</dcterms:modified>
</cp:coreProperties>
</file>