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AD0A3FDF-68B4-4369-9211-AFA37DD4184B}" xr6:coauthVersionLast="40" xr6:coauthVersionMax="40" xr10:uidLastSave="{00000000-0000-0000-0000-000000000000}"/>
  <bookViews>
    <workbookView xWindow="-120" yWindow="-120" windowWidth="29040" windowHeight="15840" activeTab="3" xr2:uid="{838B0196-D158-479E-A7C6-911A07F6EFB7}"/>
  </bookViews>
  <sheets>
    <sheet name="BPV Calcs - T6" sheetId="1" r:id="rId1"/>
    <sheet name="BPV Calcs - T51" sheetId="7" r:id="rId2"/>
    <sheet name="N2O Pressure Calcs" sheetId="2" r:id="rId3"/>
    <sheet name="N2O Ullage Calcs" sheetId="3" r:id="rId4"/>
    <sheet name="RT Mounting Bolt Calcs" sheetId="5" r:id="rId5"/>
    <sheet name="Min Yield Strength Allow -Shell" sheetId="9" r:id="rId6"/>
    <sheet name="Min Yield Strength Allow - Head" sheetId="10" r:id="rId7"/>
    <sheet name="BPV Calcs for No PWHT" sheetId="6" r:id="rId8"/>
  </sheets>
  <definedNames>
    <definedName name="_MailAutoSig" localSheetId="3">'N2O Ullage Calcs'!$N$14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" l="1"/>
  <c r="G57" i="3"/>
  <c r="G56" i="3"/>
  <c r="N17" i="3"/>
  <c r="N18" i="3" s="1"/>
  <c r="N16" i="3"/>
  <c r="N14" i="3"/>
  <c r="F53" i="3" l="1"/>
  <c r="B13" i="10" l="1"/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O2" i="3" l="1"/>
  <c r="O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I53" i="3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P1" i="2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6" l="1"/>
  <c r="B16" i="9"/>
  <c r="B16" i="10"/>
  <c r="B17" i="10" s="1"/>
  <c r="B16" i="7"/>
  <c r="B17" i="7" s="1"/>
  <c r="B17" i="9"/>
  <c r="F12" i="7"/>
  <c r="F13" i="7" s="1"/>
  <c r="C14" i="7" s="1"/>
  <c r="F8" i="7"/>
  <c r="F9" i="7"/>
  <c r="J53" i="2"/>
  <c r="B17" i="6"/>
  <c r="B16" i="1"/>
  <c r="B17" i="1" s="1"/>
  <c r="F8" i="1" s="1"/>
  <c r="B19" i="9" l="1"/>
  <c r="B19" i="10"/>
  <c r="F12" i="10"/>
  <c r="F13" i="10" s="1"/>
  <c r="C14" i="10" s="1"/>
  <c r="F8" i="10"/>
  <c r="F9" i="10"/>
  <c r="F10" i="7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10" l="1"/>
  <c r="C13" i="10" s="1"/>
  <c r="F10" i="9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<sst xmlns="http://schemas.openxmlformats.org/spreadsheetml/2006/main" count="236" uniqueCount="121">
  <si>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</si>
  <si>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</si>
  <si>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</si>
  <si>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</si>
  <si>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</si>
  <si>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</si>
  <si>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</si>
  <si>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</si>
  <si>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</si>
  <si>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</si>
  <si>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</si>
  <si>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</si>
  <si>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</si>
  <si>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</si>
  <si>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</si>
  <si>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</si>
  <si>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</si>
  <si>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</si>
  <si>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</si>
  <si>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</si>
  <si>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</si>
  <si>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</si>
  <si>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</si>
  <si>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</si>
  <si>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</si>
  <si>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</si>
  <si>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</si>
  <si>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</si>
  <si>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</si>
  <si>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</si>
  <si>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</si>
  <si>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</si>
  <si>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</si>
  <si>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</si>
  <si>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</si>
  <si>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</si>
  <si>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</si>
  <si>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</si>
  <si>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</si>
  <si>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</si>
  <si>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</si>
  <si>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</si>
  <si>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</si>
  <si>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</si>
  <si>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</si>
  <si>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</si>
  <si>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</si>
  <si>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</si>
  <si>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</si>
  <si>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</si>
  <si>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</si>
  <si>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</si>
  <si>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</si>
  <si>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</si>
  <si>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</si>
  <si>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</si>
  <si>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</si>
  <si>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</si>
  <si>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</si>
  <si>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</si>
  <si>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</si>
  <si>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</si>
  <si>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</si>
  <si>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</si>
  <si>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</si>
  <si>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</si>
  <si>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</si>
  <si>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</si>
  <si>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</si>
  <si>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</si>
  <si>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</si>
  <si>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</si>
  <si>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</si>
  <si>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</si>
  <si>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</si>
  <si>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</si>
  <si>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</si>
  <si>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</si>
  <si>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</si>
  <si>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</si>
  <si>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</si>
  <si>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</si>
  <si>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</si>
  <si>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</si>
  <si>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</si>
  <si>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</si>
  <si>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</si>
  <si>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</si>
  <si>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</si>
  <si>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</si>
  <si>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</si>
  <si>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</si>
  <si>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</si>
  <si>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</si>
  <si>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</si>
  <si>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</si>
  <si>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</si>
  <si>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</si>
  <si>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</si>
  <si>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</si>
  <si>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</si>
  <si>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</si>
  <si>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</si>
  <si>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</si>
  <si>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</si>
  <si>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</si>
  <si>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</si>
  <si>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</si>
  <si>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</si>
  <si>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</si>
  <si>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</si>
  <si>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</si>
  <si>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</si>
  <si>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</si>
  <si>
    <t>total def vol</t>
  </si>
  <si>
    <t>diff(ft^3)</t>
  </si>
  <si>
    <t>DEF CALCS</t>
  </si>
  <si>
    <t>def rad (in)</t>
  </si>
  <si>
    <t>def rad (ft)</t>
  </si>
  <si>
    <t>hemi head (ft3)</t>
  </si>
  <si>
    <t>shell (ft3)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</si>
</sst>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2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166" fontId="9" fillId="3" borderId="30" xfId="0" applyNumberFormat="1" applyFont="1" applyFill="1" applyBorder="1" applyAlignment="1">
      <alignment horizontal="center"/>
    </xf>
    <xf numFmtId="167" fontId="9" fillId="3" borderId="9" xfId="0" applyNumberFormat="1" applyFont="1" applyFill="1" applyBorder="1" applyAlignment="1">
      <alignment horizontal="center"/>
    </xf>
    <xf numFmtId="166" fontId="9" fillId="3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0" fillId="0" borderId="23" xfId="0" applyBorder="1"/>
    <xf numFmtId="167" fontId="0" fillId="0" borderId="23" xfId="0" applyNumberFormat="1" applyBorder="1"/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9.5899098282978379</c:v>
                </c:pt>
                <c:pt idx="1">
                  <c:v>9.5629395086386424</c:v>
                </c:pt>
                <c:pt idx="2">
                  <c:v>9.5357683124316104</c:v>
                </c:pt>
                <c:pt idx="3">
                  <c:v>9.5084173845765196</c:v>
                </c:pt>
                <c:pt idx="4">
                  <c:v>9.4808761526234804</c:v>
                </c:pt>
                <c:pt idx="5">
                  <c:v>9.4531340441226064</c:v>
                </c:pt>
                <c:pt idx="6">
                  <c:v>9.4251804866240132</c:v>
                </c:pt>
                <c:pt idx="7">
                  <c:v>9.3970366250274715</c:v>
                </c:pt>
                <c:pt idx="8">
                  <c:v>9.3686601695334364</c:v>
                </c:pt>
                <c:pt idx="9">
                  <c:v>9.3400828374915701</c:v>
                </c:pt>
                <c:pt idx="10">
                  <c:v>9.3112729115522104</c:v>
                </c:pt>
                <c:pt idx="11">
                  <c:v>9.2822409641652435</c:v>
                </c:pt>
                <c:pt idx="12">
                  <c:v>9.2529658504308987</c:v>
                </c:pt>
                <c:pt idx="13">
                  <c:v>9.2234475703491761</c:v>
                </c:pt>
                <c:pt idx="14">
                  <c:v>9.1936861239200773</c:v>
                </c:pt>
                <c:pt idx="15">
                  <c:v>9.163670938693711</c:v>
                </c:pt>
                <c:pt idx="16">
                  <c:v>9.1333914422201961</c:v>
                </c:pt>
                <c:pt idx="17">
                  <c:v>9.1028476344995326</c:v>
                </c:pt>
                <c:pt idx="18">
                  <c:v>9.0720183706319446</c:v>
                </c:pt>
                <c:pt idx="19">
                  <c:v>9.0409036506174374</c:v>
                </c:pt>
                <c:pt idx="20">
                  <c:v>9.0094929020061194</c:v>
                </c:pt>
                <c:pt idx="21">
                  <c:v>8.9777861247979942</c:v>
                </c:pt>
                <c:pt idx="22">
                  <c:v>8.9457621740932893</c:v>
                </c:pt>
                <c:pt idx="23">
                  <c:v>8.9134104774421186</c:v>
                </c:pt>
                <c:pt idx="24">
                  <c:v>8.8807310348444801</c:v>
                </c:pt>
                <c:pt idx="25">
                  <c:v>8.8476921289507189</c:v>
                </c:pt>
                <c:pt idx="26">
                  <c:v>8.8143043322107193</c:v>
                </c:pt>
                <c:pt idx="27">
                  <c:v>8.7805464997247089</c:v>
                </c:pt>
                <c:pt idx="28">
                  <c:v>8.7464080590428033</c:v>
                </c:pt>
                <c:pt idx="29">
                  <c:v>8.7118678652652282</c:v>
                </c:pt>
                <c:pt idx="30">
                  <c:v>8.6769153459421009</c:v>
                </c:pt>
                <c:pt idx="31">
                  <c:v>8.6415293561736455</c:v>
                </c:pt>
                <c:pt idx="32">
                  <c:v>8.605699323509981</c:v>
                </c:pt>
                <c:pt idx="33">
                  <c:v>8.5694041030513297</c:v>
                </c:pt>
                <c:pt idx="34">
                  <c:v>8.5326225498979227</c:v>
                </c:pt>
                <c:pt idx="35">
                  <c:v>8.4953335191499875</c:v>
                </c:pt>
                <c:pt idx="36">
                  <c:v>8.4575264383576378</c:v>
                </c:pt>
                <c:pt idx="37">
                  <c:v>8.4191590177213307</c:v>
                </c:pt>
                <c:pt idx="38">
                  <c:v>8.3802101123412935</c:v>
                </c:pt>
                <c:pt idx="39">
                  <c:v>8.3406585773177522</c:v>
                </c:pt>
                <c:pt idx="40">
                  <c:v>8.300472695301055</c:v>
                </c:pt>
                <c:pt idx="41">
                  <c:v>8.2596101764916501</c:v>
                </c:pt>
                <c:pt idx="42">
                  <c:v>8.2180498759897684</c:v>
                </c:pt>
                <c:pt idx="43">
                  <c:v>8.2086497933244562</c:v>
                </c:pt>
                <c:pt idx="44">
                  <c:v>8.175749503995867</c:v>
                </c:pt>
                <c:pt idx="45">
                  <c:v>8.1326561982605146</c:v>
                </c:pt>
                <c:pt idx="46">
                  <c:v>8.0887276689841698</c:v>
                </c:pt>
                <c:pt idx="47">
                  <c:v>8.0439216263672861</c:v>
                </c:pt>
                <c:pt idx="48">
                  <c:v>7.9981746357105488</c:v>
                </c:pt>
                <c:pt idx="49">
                  <c:v>7.9618124564026198</c:v>
                </c:pt>
                <c:pt idx="50">
                  <c:v>7.9514232623146404</c:v>
                </c:pt>
                <c:pt idx="51">
                  <c:v>7.9035934990303609</c:v>
                </c:pt>
                <c:pt idx="52">
                  <c:v>7.8546219111583913</c:v>
                </c:pt>
                <c:pt idx="53">
                  <c:v>7.8044133466497589</c:v>
                </c:pt>
                <c:pt idx="54">
                  <c:v>7.7528726534554915</c:v>
                </c:pt>
                <c:pt idx="55">
                  <c:v>7.6998835346268413</c:v>
                </c:pt>
                <c:pt idx="56">
                  <c:v>7.6453296932150607</c:v>
                </c:pt>
                <c:pt idx="57">
                  <c:v>7.5890525424718636</c:v>
                </c:pt>
                <c:pt idx="58">
                  <c:v>7.5309040680988426</c:v>
                </c:pt>
                <c:pt idx="59">
                  <c:v>7.4706728210982805</c:v>
                </c:pt>
                <c:pt idx="60">
                  <c:v>7.4081262075726828</c:v>
                </c:pt>
                <c:pt idx="61">
                  <c:v>7.3429999162749011</c:v>
                </c:pt>
                <c:pt idx="62">
                  <c:v>7.274966201258465</c:v>
                </c:pt>
                <c:pt idx="63">
                  <c:v>7.2036127369778269</c:v>
                </c:pt>
                <c:pt idx="64">
                  <c:v>7.1284531907382256</c:v>
                </c:pt>
                <c:pt idx="65">
                  <c:v>7.0488426430966182</c:v>
                </c:pt>
                <c:pt idx="66">
                  <c:v>6.9639670154117814</c:v>
                </c:pt>
                <c:pt idx="67">
                  <c:v>6.8727584902452268</c:v>
                </c:pt>
                <c:pt idx="68">
                  <c:v>6.7737052072632586</c:v>
                </c:pt>
                <c:pt idx="69">
                  <c:v>6.6646821040387874</c:v>
                </c:pt>
                <c:pt idx="70">
                  <c:v>6.5424540109066989</c:v>
                </c:pt>
                <c:pt idx="71">
                  <c:v>6.4017135580242179</c:v>
                </c:pt>
                <c:pt idx="72">
                  <c:v>6.2327235190463348</c:v>
                </c:pt>
                <c:pt idx="73">
                  <c:v>6.013926668655488</c:v>
                </c:pt>
                <c:pt idx="74">
                  <c:v>5.675121939608613</c:v>
                </c:pt>
                <c:pt idx="75">
                  <c:v>4.7788636454224207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462.41014886829782</c:v>
                </c:pt>
                <c:pt idx="1">
                  <c:v>468.21660690863865</c:v>
                </c:pt>
                <c:pt idx="2">
                  <c:v>474.07942889243162</c:v>
                </c:pt>
                <c:pt idx="3">
                  <c:v>479.99573520457648</c:v>
                </c:pt>
                <c:pt idx="4">
                  <c:v>485.96696565262346</c:v>
                </c:pt>
                <c:pt idx="5">
                  <c:v>491.99456004412264</c:v>
                </c:pt>
                <c:pt idx="6">
                  <c:v>498.07705742662398</c:v>
                </c:pt>
                <c:pt idx="7">
                  <c:v>504.21737970502744</c:v>
                </c:pt>
                <c:pt idx="8">
                  <c:v>510.41403420953344</c:v>
                </c:pt>
                <c:pt idx="9">
                  <c:v>516.66705265749158</c:v>
                </c:pt>
                <c:pt idx="10">
                  <c:v>522.97930409155219</c:v>
                </c:pt>
                <c:pt idx="11">
                  <c:v>529.34789832416516</c:v>
                </c:pt>
                <c:pt idx="12">
                  <c:v>535.7742645904309</c:v>
                </c:pt>
                <c:pt idx="13">
                  <c:v>542.25985327034925</c:v>
                </c:pt>
                <c:pt idx="14">
                  <c:v>548.8046643639201</c:v>
                </c:pt>
                <c:pt idx="15">
                  <c:v>555.41013767869379</c:v>
                </c:pt>
                <c:pt idx="16">
                  <c:v>562.07336188222018</c:v>
                </c:pt>
                <c:pt idx="17">
                  <c:v>568.7972377344995</c:v>
                </c:pt>
                <c:pt idx="18">
                  <c:v>575.58319447063184</c:v>
                </c:pt>
                <c:pt idx="19">
                  <c:v>582.42833133061743</c:v>
                </c:pt>
                <c:pt idx="20">
                  <c:v>589.33553850200622</c:v>
                </c:pt>
                <c:pt idx="21">
                  <c:v>596.30481598479798</c:v>
                </c:pt>
                <c:pt idx="22">
                  <c:v>603.33614263409322</c:v>
                </c:pt>
                <c:pt idx="23">
                  <c:v>610.43095825744217</c:v>
                </c:pt>
                <c:pt idx="24">
                  <c:v>617.58781247484455</c:v>
                </c:pt>
                <c:pt idx="25">
                  <c:v>624.8095743289507</c:v>
                </c:pt>
                <c:pt idx="26">
                  <c:v>632.0948040122106</c:v>
                </c:pt>
                <c:pt idx="27">
                  <c:v>639.44493075972468</c:v>
                </c:pt>
                <c:pt idx="28">
                  <c:v>646.8599439990428</c:v>
                </c:pt>
                <c:pt idx="29">
                  <c:v>654.33982258526532</c:v>
                </c:pt>
                <c:pt idx="30">
                  <c:v>661.8874567059421</c:v>
                </c:pt>
                <c:pt idx="31">
                  <c:v>669.49992445617374</c:v>
                </c:pt>
                <c:pt idx="32">
                  <c:v>677.18156640351003</c:v>
                </c:pt>
                <c:pt idx="33">
                  <c:v>684.92946064305124</c:v>
                </c:pt>
                <c:pt idx="34">
                  <c:v>692.74503640989792</c:v>
                </c:pt>
                <c:pt idx="35">
                  <c:v>700.62972293915004</c:v>
                </c:pt>
                <c:pt idx="36">
                  <c:v>708.58496003835762</c:v>
                </c:pt>
                <c:pt idx="37">
                  <c:v>716.60780465772132</c:v>
                </c:pt>
                <c:pt idx="38">
                  <c:v>724.70258679234121</c:v>
                </c:pt>
                <c:pt idx="39">
                  <c:v>732.86928529731779</c:v>
                </c:pt>
                <c:pt idx="40">
                  <c:v>741.10641807530112</c:v>
                </c:pt>
                <c:pt idx="41">
                  <c:v>749.41684359649162</c:v>
                </c:pt>
                <c:pt idx="42">
                  <c:v>757.79909033598972</c:v>
                </c:pt>
                <c:pt idx="43">
                  <c:v>759.67840731999104</c:v>
                </c:pt>
                <c:pt idx="44">
                  <c:v>766.25601676399583</c:v>
                </c:pt>
                <c:pt idx="45">
                  <c:v>774.78757001826045</c:v>
                </c:pt>
                <c:pt idx="46">
                  <c:v>783.39370780898412</c:v>
                </c:pt>
                <c:pt idx="47">
                  <c:v>792.0758382263673</c:v>
                </c:pt>
                <c:pt idx="48">
                  <c:v>800.83389783571067</c:v>
                </c:pt>
                <c:pt idx="49">
                  <c:v>807.70698482306932</c:v>
                </c:pt>
                <c:pt idx="50">
                  <c:v>809.67072396231458</c:v>
                </c:pt>
                <c:pt idx="51">
                  <c:v>818.58624259903036</c:v>
                </c:pt>
                <c:pt idx="52">
                  <c:v>827.58039031115834</c:v>
                </c:pt>
                <c:pt idx="53">
                  <c:v>836.65452232664984</c:v>
                </c:pt>
                <c:pt idx="54">
                  <c:v>845.80999387345548</c:v>
                </c:pt>
                <c:pt idx="55">
                  <c:v>855.04813903462673</c:v>
                </c:pt>
                <c:pt idx="56">
                  <c:v>864.3688415132151</c:v>
                </c:pt>
                <c:pt idx="57">
                  <c:v>873.77484348247185</c:v>
                </c:pt>
                <c:pt idx="58">
                  <c:v>883.26454654809891</c:v>
                </c:pt>
                <c:pt idx="59">
                  <c:v>892.84209040109829</c:v>
                </c:pt>
                <c:pt idx="60">
                  <c:v>902.50869282757265</c:v>
                </c:pt>
                <c:pt idx="61">
                  <c:v>912.26263913627497</c:v>
                </c:pt>
                <c:pt idx="62">
                  <c:v>922.10940310125852</c:v>
                </c:pt>
                <c:pt idx="63">
                  <c:v>932.04712201697782</c:v>
                </c:pt>
                <c:pt idx="64">
                  <c:v>942.07966069073836</c:v>
                </c:pt>
                <c:pt idx="65">
                  <c:v>952.2092749630965</c:v>
                </c:pt>
                <c:pt idx="66">
                  <c:v>962.43515075541188</c:v>
                </c:pt>
                <c:pt idx="67">
                  <c:v>972.76057139024522</c:v>
                </c:pt>
                <c:pt idx="68">
                  <c:v>983.18982652726322</c:v>
                </c:pt>
                <c:pt idx="69">
                  <c:v>993.72079110403888</c:v>
                </c:pt>
                <c:pt idx="70">
                  <c:v>1004.3603826109066</c:v>
                </c:pt>
                <c:pt idx="71">
                  <c:v>1015.1061944380242</c:v>
                </c:pt>
                <c:pt idx="72">
                  <c:v>1025.9586420190465</c:v>
                </c:pt>
                <c:pt idx="73">
                  <c:v>1036.9077711686557</c:v>
                </c:pt>
                <c:pt idx="74">
                  <c:v>1047.9065868996086</c:v>
                </c:pt>
                <c:pt idx="75">
                  <c:v>1055.5791736454225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B6" sqref="B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1" t="s">
        <v>6</v>
      </c>
      <c r="B1" s="171"/>
      <c r="C1" s="171"/>
      <c r="D1" s="171"/>
      <c r="E1" s="171"/>
      <c r="F1" s="171"/>
      <c r="G1" s="171"/>
    </row>
    <row r="2" spans="1:7" ht="15.75">
      <c r="A2" s="172" t="s">
        <v>11</v>
      </c>
      <c r="B2" s="172"/>
      <c r="C2" s="172"/>
      <c r="D2" s="172"/>
      <c r="E2" s="172"/>
      <c r="F2" s="172"/>
      <c r="G2" s="172"/>
    </row>
    <row r="3" spans="1:7" ht="15.75" thickBot="1">
      <c r="A3" s="174" t="s">
        <v>12</v>
      </c>
      <c r="B3" s="174"/>
      <c r="C3" s="174"/>
      <c r="D3" s="174"/>
      <c r="E3" s="174"/>
      <c r="F3" s="174"/>
      <c r="G3" s="174"/>
    </row>
    <row r="4" spans="1:7" ht="16.5" thickBot="1">
      <c r="C4" s="155" t="s">
        <v>106</v>
      </c>
    </row>
    <row r="5" spans="1:7">
      <c r="A5" s="173" t="s">
        <v>4</v>
      </c>
      <c r="B5" s="173"/>
      <c r="C5" s="147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0.18273435624364015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8.7434315746075519E-2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0.18273435624364015</v>
      </c>
    </row>
    <row r="11" spans="1:7">
      <c r="A11" t="s">
        <v>7</v>
      </c>
      <c r="B11">
        <v>33000</v>
      </c>
      <c r="E11" s="7"/>
      <c r="F11" s="6"/>
    </row>
    <row r="12" spans="1:7" ht="15.75" thickBot="1">
      <c r="A12" t="s">
        <v>83</v>
      </c>
      <c r="B12">
        <v>7</v>
      </c>
      <c r="E12" s="108" t="s">
        <v>54</v>
      </c>
      <c r="F12" s="109">
        <f>(B17*B8)/((2*B11*B9)-(0.2*B17))</f>
        <v>8.8868811198063807E-2</v>
      </c>
    </row>
    <row r="13" spans="1:7" ht="16.5" thickBot="1">
      <c r="A13" s="120" t="s">
        <v>66</v>
      </c>
      <c r="B13" s="146">
        <f>0.25-0.025</f>
        <v>0.22500000000000001</v>
      </c>
      <c r="C13" s="148">
        <f>B13/F10</f>
        <v>1.2312955517790369</v>
      </c>
      <c r="E13" s="110" t="s">
        <v>55</v>
      </c>
      <c r="F13" s="111">
        <f>F12</f>
        <v>8.8868811198063807E-2</v>
      </c>
    </row>
    <row r="14" spans="1:7" ht="16.5" thickBot="1">
      <c r="A14" s="120" t="s">
        <v>67</v>
      </c>
      <c r="B14" s="146">
        <v>0.15</v>
      </c>
      <c r="C14" s="148">
        <f>B14/F13</f>
        <v>1.6878812485258952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1" t="s">
        <v>6</v>
      </c>
      <c r="B1" s="171"/>
      <c r="C1" s="171"/>
      <c r="D1" s="171"/>
      <c r="E1" s="171"/>
      <c r="F1" s="171"/>
      <c r="G1" s="171"/>
    </row>
    <row r="2" spans="1:7" ht="15.75">
      <c r="A2" s="172" t="s">
        <v>11</v>
      </c>
      <c r="B2" s="172"/>
      <c r="C2" s="172"/>
      <c r="D2" s="172"/>
      <c r="E2" s="172"/>
      <c r="F2" s="172"/>
      <c r="G2" s="172"/>
    </row>
    <row r="3" spans="1:7" ht="15.75" thickBot="1">
      <c r="A3" s="174" t="s">
        <v>12</v>
      </c>
      <c r="B3" s="174"/>
      <c r="C3" s="174"/>
      <c r="D3" s="174"/>
      <c r="E3" s="174"/>
      <c r="F3" s="174"/>
      <c r="G3" s="174"/>
    </row>
    <row r="4" spans="1:7" ht="16.5" thickBot="1">
      <c r="C4" s="156" t="s">
        <v>104</v>
      </c>
      <c r="E4" s="158" t="s">
        <v>107</v>
      </c>
    </row>
    <row r="5" spans="1:7">
      <c r="A5" s="173" t="s">
        <v>4</v>
      </c>
      <c r="B5" s="173"/>
      <c r="C5" s="147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0.20168819857190526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9.6074360293569097E-2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0.20168819857190526</v>
      </c>
    </row>
    <row r="11" spans="1:7">
      <c r="A11" t="s">
        <v>7</v>
      </c>
      <c r="B11">
        <v>30000</v>
      </c>
      <c r="E11" s="7"/>
      <c r="F11" s="6"/>
    </row>
    <row r="12" spans="1:7" ht="15.75" thickBot="1">
      <c r="A12" t="s">
        <v>83</v>
      </c>
      <c r="B12">
        <v>7</v>
      </c>
      <c r="E12" s="108" t="s">
        <v>54</v>
      </c>
      <c r="F12" s="109">
        <f>(B17*B8)/((2*B11*B9)-(0.2*B17))</f>
        <v>9.7809182691963037E-2</v>
      </c>
    </row>
    <row r="13" spans="1:7" ht="16.5" thickBot="1">
      <c r="A13" s="120" t="s">
        <v>66</v>
      </c>
      <c r="B13" s="145">
        <f>0.25-0.025</f>
        <v>0.22500000000000001</v>
      </c>
      <c r="C13" s="154">
        <f>B13/F10</f>
        <v>1.1155833687501735</v>
      </c>
      <c r="E13" s="110" t="s">
        <v>55</v>
      </c>
      <c r="F13" s="111">
        <f>F12</f>
        <v>9.7809182691963037E-2</v>
      </c>
    </row>
    <row r="14" spans="1:7" ht="15.75" thickBot="1">
      <c r="A14" s="120" t="s">
        <v>67</v>
      </c>
      <c r="B14" s="121">
        <v>0.15</v>
      </c>
      <c r="C14" s="149">
        <f>B14/F13</f>
        <v>1.5335983378207441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M7" sqref="M7"/>
    </sheetView>
  </sheetViews>
  <sheetFormatPr defaultColWidth="11.42578125" defaultRowHeight="1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>
      <c r="A1" s="65"/>
      <c r="B1" s="181" t="s">
        <v>17</v>
      </c>
      <c r="C1" s="182"/>
      <c r="D1" s="183"/>
      <c r="E1" s="14"/>
      <c r="F1" s="14"/>
      <c r="G1" s="178" t="s">
        <v>34</v>
      </c>
      <c r="H1" s="179"/>
      <c r="I1" s="179"/>
      <c r="J1" s="180"/>
      <c r="K1" s="44"/>
      <c r="L1" t="s">
        <v>26</v>
      </c>
      <c r="M1">
        <v>1.5</v>
      </c>
      <c r="O1" t="s">
        <v>30</v>
      </c>
      <c r="P1" s="122">
        <f>'N2O Ullage Calcs'!G57</f>
        <v>2.9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5" t="s">
        <v>24</v>
      </c>
      <c r="H2" s="176"/>
      <c r="I2" s="176" t="s">
        <v>25</v>
      </c>
      <c r="J2" s="177"/>
      <c r="K2" s="43"/>
      <c r="L2" t="s">
        <v>14</v>
      </c>
      <c r="M2">
        <f>P1+(2*P3)</f>
        <v>3.4416666666666664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9.5899098282978379</v>
      </c>
      <c r="H4" s="112">
        <f>B4+G4</f>
        <v>462.41014886829782</v>
      </c>
      <c r="I4" s="37">
        <f>(C4*($M$3*$P$5)*$M$1)/144</f>
        <v>3.649437143961122</v>
      </c>
      <c r="J4" s="35">
        <f t="shared" ref="J4:J67" si="0">H4+I4</f>
        <v>466.05958601225893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9.5629395086386424</v>
      </c>
      <c r="H5" s="112">
        <f t="shared" ref="H5:H68" si="2">B5+G5</f>
        <v>468.21660690863865</v>
      </c>
      <c r="I5" s="37">
        <f t="shared" ref="I5:I68" si="3">(C5*($M$3*$P$5)*$M$1)/144</f>
        <v>3.6391735973677708</v>
      </c>
      <c r="J5" s="35">
        <f t="shared" si="0"/>
        <v>471.8557805060064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9.5357683124316104</v>
      </c>
      <c r="H6" s="112">
        <f t="shared" si="2"/>
        <v>474.07942889243162</v>
      </c>
      <c r="I6" s="37">
        <f t="shared" si="3"/>
        <v>3.6288336072678442</v>
      </c>
      <c r="J6" s="35">
        <f t="shared" si="0"/>
        <v>477.70826249969946</v>
      </c>
      <c r="L6" t="s">
        <v>37</v>
      </c>
      <c r="M6">
        <v>1.2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9.5084173845765196</v>
      </c>
      <c r="H7" s="112">
        <f t="shared" si="2"/>
        <v>479.99573520457648</v>
      </c>
      <c r="I7" s="37">
        <f t="shared" si="3"/>
        <v>3.6184252203462446</v>
      </c>
      <c r="J7" s="35">
        <f t="shared" si="0"/>
        <v>483.61416042492272</v>
      </c>
      <c r="L7" s="40" t="s">
        <v>38</v>
      </c>
      <c r="M7" s="40">
        <f>M5*M6</f>
        <v>1.0537823421600361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9.4808761526234804</v>
      </c>
      <c r="H8" s="112">
        <f t="shared" si="2"/>
        <v>485.96696565262346</v>
      </c>
      <c r="I8" s="37">
        <f t="shared" si="3"/>
        <v>3.6079444132605212</v>
      </c>
      <c r="J8" s="35">
        <f t="shared" si="0"/>
        <v>489.57491006588396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9.4531340441226064</v>
      </c>
      <c r="H9" s="112">
        <f t="shared" si="2"/>
        <v>491.99456004412264</v>
      </c>
      <c r="I9" s="37">
        <f t="shared" si="3"/>
        <v>3.5973871626682228</v>
      </c>
      <c r="J9" s="35">
        <f t="shared" si="0"/>
        <v>495.59194720679085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9.4251804866240132</v>
      </c>
      <c r="H10" s="112">
        <f t="shared" si="2"/>
        <v>498.07705742662398</v>
      </c>
      <c r="I10" s="37">
        <f t="shared" si="3"/>
        <v>3.5867494452268978</v>
      </c>
      <c r="J10" s="35">
        <f t="shared" si="0"/>
        <v>501.66380687185085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9.3970366250274715</v>
      </c>
      <c r="H11" s="112">
        <f t="shared" si="2"/>
        <v>504.21737970502744</v>
      </c>
      <c r="I11" s="37">
        <f t="shared" si="3"/>
        <v>3.5760393076214481</v>
      </c>
      <c r="J11" s="35">
        <f t="shared" si="0"/>
        <v>507.79341901264888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9.3686601695334364</v>
      </c>
      <c r="H12" s="112">
        <f t="shared" si="2"/>
        <v>510.41403420953344</v>
      </c>
      <c r="I12" s="37">
        <f t="shared" si="3"/>
        <v>3.5652406564820689</v>
      </c>
      <c r="J12" s="35">
        <f t="shared" si="0"/>
        <v>513.97927486601554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9.3400828374915701</v>
      </c>
      <c r="H13" s="112">
        <f t="shared" si="2"/>
        <v>516.66705265749158</v>
      </c>
      <c r="I13" s="37">
        <f t="shared" si="3"/>
        <v>3.5543655618361156</v>
      </c>
      <c r="J13" s="35">
        <f t="shared" si="0"/>
        <v>520.22141821932769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9.3112729115522104</v>
      </c>
      <c r="H14" s="112">
        <f t="shared" si="2"/>
        <v>522.97930409155219</v>
      </c>
      <c r="I14" s="37">
        <f t="shared" si="3"/>
        <v>3.5434019536562325</v>
      </c>
      <c r="J14" s="35">
        <f t="shared" si="0"/>
        <v>526.52270604520845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9.2822409641652435</v>
      </c>
      <c r="H15" s="112">
        <f t="shared" si="2"/>
        <v>529.34789832416516</v>
      </c>
      <c r="I15" s="37">
        <f t="shared" si="3"/>
        <v>3.532353855284871</v>
      </c>
      <c r="J15" s="35">
        <f t="shared" si="0"/>
        <v>532.88025217945005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9.2529658504308987</v>
      </c>
      <c r="H16" s="112">
        <f t="shared" si="2"/>
        <v>535.7742645904309</v>
      </c>
      <c r="I16" s="37">
        <f t="shared" si="3"/>
        <v>3.5212132200371289</v>
      </c>
      <c r="J16" s="35">
        <f t="shared" si="0"/>
        <v>539.29547781046801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9.2234475703491761</v>
      </c>
      <c r="H17" s="112">
        <f t="shared" si="2"/>
        <v>542.25985327034925</v>
      </c>
      <c r="I17" s="37">
        <f t="shared" si="3"/>
        <v>3.5099800479130061</v>
      </c>
      <c r="J17" s="35">
        <f t="shared" si="0"/>
        <v>545.76983331826227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9.1936861239200773</v>
      </c>
      <c r="H18" s="112">
        <f t="shared" si="2"/>
        <v>548.8046643639201</v>
      </c>
      <c r="I18" s="37">
        <f t="shared" si="3"/>
        <v>3.4986543389125031</v>
      </c>
      <c r="J18" s="35">
        <f t="shared" si="0"/>
        <v>552.3033187028326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9.163670938693711</v>
      </c>
      <c r="H19" s="112">
        <f t="shared" si="2"/>
        <v>555.41013767869379</v>
      </c>
      <c r="I19" s="37">
        <f t="shared" si="3"/>
        <v>3.4872320696931673</v>
      </c>
      <c r="J19" s="35">
        <f t="shared" si="0"/>
        <v>558.89736974838695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9.1333914422201961</v>
      </c>
      <c r="H20" s="112">
        <f t="shared" si="2"/>
        <v>562.07336188222018</v>
      </c>
      <c r="I20" s="37">
        <f t="shared" si="3"/>
        <v>3.4757092169125485</v>
      </c>
      <c r="J20" s="35">
        <f t="shared" si="0"/>
        <v>565.54907109913279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9.1028476344995326</v>
      </c>
      <c r="H21" s="112">
        <f t="shared" si="2"/>
        <v>568.7972377344995</v>
      </c>
      <c r="I21" s="37">
        <f t="shared" si="3"/>
        <v>3.4640857805706466</v>
      </c>
      <c r="J21" s="35">
        <f t="shared" si="0"/>
        <v>572.2613235150701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9.0720183706319446</v>
      </c>
      <c r="H22" s="112">
        <f t="shared" si="2"/>
        <v>575.58319447063184</v>
      </c>
      <c r="I22" s="37">
        <f t="shared" si="3"/>
        <v>3.4523537139825589</v>
      </c>
      <c r="J22" s="35">
        <f t="shared" si="0"/>
        <v>579.03554818461441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9.0409036506174374</v>
      </c>
      <c r="H23" s="112">
        <f t="shared" si="2"/>
        <v>582.42833133061743</v>
      </c>
      <c r="I23" s="37">
        <f t="shared" si="3"/>
        <v>3.4405130171482852</v>
      </c>
      <c r="J23" s="35">
        <f t="shared" si="0"/>
        <v>585.86884434776573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9.0094929020061194</v>
      </c>
      <c r="H24" s="112">
        <f t="shared" si="2"/>
        <v>589.33553850200622</v>
      </c>
      <c r="I24" s="37">
        <f t="shared" si="3"/>
        <v>3.4285596667253735</v>
      </c>
      <c r="J24" s="35">
        <f t="shared" si="0"/>
        <v>592.76409816873161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8.9777861247979942</v>
      </c>
      <c r="H25" s="112">
        <f t="shared" si="2"/>
        <v>596.30481598479798</v>
      </c>
      <c r="I25" s="37">
        <f t="shared" si="3"/>
        <v>3.4164936627138247</v>
      </c>
      <c r="J25" s="35">
        <f t="shared" si="0"/>
        <v>599.72130964751182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8.9457621740932893</v>
      </c>
      <c r="H26" s="112">
        <f t="shared" si="2"/>
        <v>603.33614263409322</v>
      </c>
      <c r="I26" s="37">
        <f t="shared" si="3"/>
        <v>3.404306958428736</v>
      </c>
      <c r="J26" s="35">
        <f t="shared" si="0"/>
        <v>606.74044959252194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8.9134104774421186</v>
      </c>
      <c r="H27" s="112">
        <f t="shared" si="2"/>
        <v>610.43095825744217</v>
      </c>
      <c r="I27" s="37">
        <f t="shared" si="3"/>
        <v>3.3919955305276557</v>
      </c>
      <c r="J27" s="35">
        <f t="shared" si="0"/>
        <v>613.82295378796982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8.8807310348444801</v>
      </c>
      <c r="H28" s="112">
        <f t="shared" si="2"/>
        <v>617.58781247484455</v>
      </c>
      <c r="I28" s="37">
        <f t="shared" si="3"/>
        <v>3.3795593790105851</v>
      </c>
      <c r="J28" s="35">
        <f t="shared" si="0"/>
        <v>620.96737185385518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8.8476921289507189</v>
      </c>
      <c r="H29" s="112">
        <f t="shared" si="2"/>
        <v>624.8095743289507</v>
      </c>
      <c r="I29" s="37">
        <f t="shared" si="3"/>
        <v>3.3669864338501685</v>
      </c>
      <c r="J29" s="35">
        <f t="shared" si="0"/>
        <v>628.17656076280082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8.8143043322107193</v>
      </c>
      <c r="H30" s="112">
        <f t="shared" si="2"/>
        <v>632.0948040122106</v>
      </c>
      <c r="I30" s="37">
        <f t="shared" si="3"/>
        <v>3.3542807183888579</v>
      </c>
      <c r="J30" s="35">
        <f t="shared" si="0"/>
        <v>635.44908473059945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8.7805464997247089</v>
      </c>
      <c r="H31" s="112">
        <f t="shared" si="2"/>
        <v>639.44493075972468</v>
      </c>
      <c r="I31" s="37">
        <f t="shared" si="3"/>
        <v>3.3414341859417496</v>
      </c>
      <c r="J31" s="35">
        <f t="shared" si="0"/>
        <v>642.78636494566638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8.7464080590428033</v>
      </c>
      <c r="H32" s="112">
        <f t="shared" si="2"/>
        <v>646.8599439990428</v>
      </c>
      <c r="I32" s="37">
        <f t="shared" si="3"/>
        <v>3.328442813166395</v>
      </c>
      <c r="J32" s="35">
        <f t="shared" si="0"/>
        <v>650.18838681220916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8.7118678652652282</v>
      </c>
      <c r="H33" s="112">
        <f t="shared" si="2"/>
        <v>654.33982258526532</v>
      </c>
      <c r="I33" s="37">
        <f t="shared" si="3"/>
        <v>3.3152985533778883</v>
      </c>
      <c r="J33" s="35">
        <f t="shared" si="0"/>
        <v>657.65512113864327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8.6769153459421009</v>
      </c>
      <c r="H34" s="112">
        <f t="shared" si="2"/>
        <v>661.8874567059421</v>
      </c>
      <c r="I34" s="37">
        <f t="shared" si="3"/>
        <v>3.3019973832337808</v>
      </c>
      <c r="J34" s="35">
        <f t="shared" si="0"/>
        <v>665.18945408917591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8.6415293561736455</v>
      </c>
      <c r="H35" s="112">
        <f t="shared" si="2"/>
        <v>669.49992445617374</v>
      </c>
      <c r="I35" s="37">
        <f t="shared" si="3"/>
        <v>3.2885312560491675</v>
      </c>
      <c r="J35" s="35">
        <f t="shared" si="0"/>
        <v>672.78845571222291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8.605699323509981</v>
      </c>
      <c r="H36" s="112">
        <f t="shared" si="2"/>
        <v>677.18156640351003</v>
      </c>
      <c r="I36" s="37">
        <f t="shared" si="3"/>
        <v>3.2748961484815999</v>
      </c>
      <c r="J36" s="35">
        <f t="shared" si="0"/>
        <v>680.45646255199165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8.5694041030513297</v>
      </c>
      <c r="H37" s="112">
        <f t="shared" si="2"/>
        <v>684.92946064305124</v>
      </c>
      <c r="I37" s="37">
        <f t="shared" si="3"/>
        <v>3.2610840138461716</v>
      </c>
      <c r="J37" s="35">
        <f t="shared" si="0"/>
        <v>688.19054465689737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8.5326225498979227</v>
      </c>
      <c r="H38" s="112">
        <f t="shared" si="2"/>
        <v>692.74503640989792</v>
      </c>
      <c r="I38" s="37">
        <f t="shared" si="3"/>
        <v>3.2470868054579838</v>
      </c>
      <c r="J38" s="35">
        <f t="shared" si="0"/>
        <v>695.99212321535595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8.4953335191499875</v>
      </c>
      <c r="H39" s="112">
        <f t="shared" si="2"/>
        <v>700.62972293915004</v>
      </c>
      <c r="I39" s="37">
        <f t="shared" si="3"/>
        <v>3.2328964766321309</v>
      </c>
      <c r="J39" s="35">
        <f t="shared" si="0"/>
        <v>703.86261941578221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8.4575264383576378</v>
      </c>
      <c r="H40" s="112">
        <f t="shared" si="2"/>
        <v>708.58496003835762</v>
      </c>
      <c r="I40" s="37">
        <f t="shared" si="3"/>
        <v>3.2185090040261621</v>
      </c>
      <c r="J40" s="35">
        <f t="shared" si="0"/>
        <v>711.80346904238377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8.4191590177213307</v>
      </c>
      <c r="H41" s="112">
        <f t="shared" si="2"/>
        <v>716.60780465772132</v>
      </c>
      <c r="I41" s="37">
        <f t="shared" si="3"/>
        <v>3.2039082942702741</v>
      </c>
      <c r="J41" s="35">
        <f t="shared" si="0"/>
        <v>719.81171295199158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8.3802101123412935</v>
      </c>
      <c r="H42" s="112">
        <f t="shared" si="2"/>
        <v>724.70258679234121</v>
      </c>
      <c r="I42" s="37">
        <f t="shared" si="3"/>
        <v>3.1890863006795618</v>
      </c>
      <c r="J42" s="35">
        <f t="shared" si="0"/>
        <v>727.89167309302081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8.3406585773177522</v>
      </c>
      <c r="H43" s="112">
        <f t="shared" si="2"/>
        <v>732.86928529731779</v>
      </c>
      <c r="I43" s="37">
        <f t="shared" si="3"/>
        <v>3.1740349765691236</v>
      </c>
      <c r="J43" s="35">
        <f t="shared" si="0"/>
        <v>736.04332027388693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8.300472695301055</v>
      </c>
      <c r="H44" s="112">
        <f t="shared" si="2"/>
        <v>741.10641807530112</v>
      </c>
      <c r="I44" s="37">
        <f t="shared" si="3"/>
        <v>3.1587422519116064</v>
      </c>
      <c r="J44" s="35">
        <f t="shared" si="0"/>
        <v>744.2651603272127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8.2596101764916501</v>
      </c>
      <c r="H45" s="112">
        <f t="shared" si="2"/>
        <v>749.41684359649162</v>
      </c>
      <c r="I45" s="37">
        <f t="shared" si="3"/>
        <v>3.1431920333372028</v>
      </c>
      <c r="J45" s="35">
        <f t="shared" si="0"/>
        <v>752.5600356298288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8.2180498759897684</v>
      </c>
      <c r="H46" s="112">
        <f t="shared" si="2"/>
        <v>757.79909033598972</v>
      </c>
      <c r="I46" s="37">
        <f t="shared" si="3"/>
        <v>3.1273762741610116</v>
      </c>
      <c r="J46" s="35">
        <f t="shared" si="0"/>
        <v>760.92646661015078</v>
      </c>
    </row>
    <row r="47" spans="1:12">
      <c r="A47" s="60">
        <v>70</v>
      </c>
      <c r="B47" s="61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8.2086497933244562</v>
      </c>
      <c r="H47" s="112">
        <f t="shared" si="2"/>
        <v>759.67840731999104</v>
      </c>
      <c r="I47" s="37">
        <f t="shared" si="3"/>
        <v>3.1237990756837255</v>
      </c>
      <c r="J47" s="35">
        <f t="shared" si="0"/>
        <v>762.80220639567472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8.175749503995867</v>
      </c>
      <c r="H48" s="112">
        <f t="shared" si="2"/>
        <v>766.25601676399583</v>
      </c>
      <c r="I48" s="37">
        <f t="shared" si="3"/>
        <v>3.1112788810132264</v>
      </c>
      <c r="J48" s="35">
        <f t="shared" si="0"/>
        <v>769.36729564500911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8.1326561982605146</v>
      </c>
      <c r="H49" s="112">
        <f t="shared" si="2"/>
        <v>774.78757001826045</v>
      </c>
      <c r="I49" s="37">
        <f t="shared" si="3"/>
        <v>3.0948797371815915</v>
      </c>
      <c r="J49" s="35">
        <f t="shared" si="0"/>
        <v>777.88244975544205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8.0887276689841698</v>
      </c>
      <c r="H50" s="112">
        <f t="shared" si="2"/>
        <v>783.39370780898412</v>
      </c>
      <c r="I50" s="37">
        <f t="shared" si="3"/>
        <v>3.0781627492963022</v>
      </c>
      <c r="J50" s="35">
        <f t="shared" si="0"/>
        <v>786.47187055828044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8.0439216263672861</v>
      </c>
      <c r="H51" s="112">
        <f t="shared" si="2"/>
        <v>792.0758382263673</v>
      </c>
      <c r="I51" s="37">
        <f t="shared" si="3"/>
        <v>3.061111823987551</v>
      </c>
      <c r="J51" s="35">
        <f t="shared" si="0"/>
        <v>795.13695005035481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7.9981746357105488</v>
      </c>
      <c r="H52" s="112">
        <f t="shared" si="2"/>
        <v>800.83389783571067</v>
      </c>
      <c r="I52" s="37">
        <f t="shared" si="3"/>
        <v>3.0437028212006316</v>
      </c>
      <c r="J52" s="35">
        <f t="shared" si="0"/>
        <v>803.87760065691134</v>
      </c>
    </row>
    <row r="53" spans="1:12">
      <c r="A53" s="115">
        <v>75</v>
      </c>
      <c r="B53" s="116">
        <f>B52+(((B54-B52)/($A$54-$A$52))*($A$53-$A$52))</f>
        <v>799.74517236666668</v>
      </c>
      <c r="C53" s="117">
        <f t="shared" ref="C53:D53" si="4">C52+(((C54-C52)/($A$54-$A$52))*($A$53-$A$52))</f>
        <v>1.4612000162666667</v>
      </c>
      <c r="D53" s="118">
        <f t="shared" si="4"/>
        <v>0.35142632153493331</v>
      </c>
      <c r="E53" s="119"/>
      <c r="F53" s="119"/>
      <c r="G53" s="36">
        <f t="shared" si="1"/>
        <v>7.9618124564026198</v>
      </c>
      <c r="H53" s="113">
        <f t="shared" si="2"/>
        <v>807.70698482306932</v>
      </c>
      <c r="I53" s="37">
        <f t="shared" si="3"/>
        <v>3.0298652053963462</v>
      </c>
      <c r="J53" s="114">
        <f t="shared" si="0"/>
        <v>810.73685002846571</v>
      </c>
      <c r="K53" s="40" t="s">
        <v>33</v>
      </c>
      <c r="L53" s="66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7.9514232623146404</v>
      </c>
      <c r="H54" s="112">
        <f t="shared" si="2"/>
        <v>809.67072396231458</v>
      </c>
      <c r="I54" s="37">
        <f t="shared" si="3"/>
        <v>3.025911600880836</v>
      </c>
      <c r="J54" s="35">
        <f t="shared" si="0"/>
        <v>812.6966355631954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7.9035934990303609</v>
      </c>
      <c r="H55" s="112">
        <f t="shared" si="2"/>
        <v>818.58624259903036</v>
      </c>
      <c r="I55" s="37">
        <f t="shared" si="3"/>
        <v>3.0077099996310048</v>
      </c>
      <c r="J55" s="35">
        <f t="shared" si="0"/>
        <v>821.59395259866142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7.8546219111583913</v>
      </c>
      <c r="H56" s="112">
        <f t="shared" si="2"/>
        <v>827.58039031115834</v>
      </c>
      <c r="I56" s="37">
        <f t="shared" si="3"/>
        <v>2.9890738773964278</v>
      </c>
      <c r="J56" s="35">
        <f t="shared" si="0"/>
        <v>830.56946418855478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7.8044133466497589</v>
      </c>
      <c r="H57" s="112">
        <f t="shared" si="2"/>
        <v>836.65452232664984</v>
      </c>
      <c r="I57" s="37">
        <f t="shared" si="3"/>
        <v>2.969967024095046</v>
      </c>
      <c r="J57" s="35">
        <f t="shared" si="0"/>
        <v>839.62448935074485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7.7528726534554915</v>
      </c>
      <c r="H58" s="112">
        <f t="shared" si="2"/>
        <v>845.80999387345548</v>
      </c>
      <c r="I58" s="37">
        <f t="shared" si="3"/>
        <v>2.9503532296447958</v>
      </c>
      <c r="J58" s="35">
        <f t="shared" si="0"/>
        <v>848.76034710310023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7.6998835346268413</v>
      </c>
      <c r="H59" s="112">
        <f t="shared" si="2"/>
        <v>855.04813903462673</v>
      </c>
      <c r="I59" s="37">
        <f t="shared" si="3"/>
        <v>2.9301882372787134</v>
      </c>
      <c r="J59" s="35">
        <f t="shared" si="0"/>
        <v>857.97832727190541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7.6453296932150607</v>
      </c>
      <c r="H60" s="112">
        <f t="shared" si="2"/>
        <v>864.3688415132151</v>
      </c>
      <c r="I60" s="37">
        <f t="shared" si="3"/>
        <v>2.9094277902298331</v>
      </c>
      <c r="J60" s="35">
        <f t="shared" si="0"/>
        <v>867.27826930344497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7.5890525424718636</v>
      </c>
      <c r="H61" s="112">
        <f t="shared" si="2"/>
        <v>873.77484348247185</v>
      </c>
      <c r="I61" s="37">
        <f t="shared" si="3"/>
        <v>2.8880115383613858</v>
      </c>
      <c r="J61" s="35">
        <f t="shared" si="0"/>
        <v>876.66285502083326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7.5309040680988426</v>
      </c>
      <c r="H62" s="112">
        <f t="shared" si="2"/>
        <v>883.26454654809891</v>
      </c>
      <c r="I62" s="37">
        <f t="shared" si="3"/>
        <v>2.8658831548790524</v>
      </c>
      <c r="J62" s="35">
        <f t="shared" si="0"/>
        <v>886.13042970297795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7.4706728210982805</v>
      </c>
      <c r="H63" s="112">
        <f t="shared" si="2"/>
        <v>892.84209040109829</v>
      </c>
      <c r="I63" s="37">
        <f t="shared" si="3"/>
        <v>2.8429621729338064</v>
      </c>
      <c r="J63" s="35">
        <f t="shared" si="0"/>
        <v>895.68505257403206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7.4081262075726828</v>
      </c>
      <c r="H64" s="112">
        <f t="shared" si="2"/>
        <v>902.50869282757265</v>
      </c>
      <c r="I64" s="37">
        <f t="shared" si="3"/>
        <v>2.8191600789917186</v>
      </c>
      <c r="J64" s="35">
        <f t="shared" si="0"/>
        <v>905.32785290656432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7.3429999162749011</v>
      </c>
      <c r="H65" s="112">
        <f t="shared" si="2"/>
        <v>912.26263913627497</v>
      </c>
      <c r="I65" s="37">
        <f t="shared" si="3"/>
        <v>2.7943762894915056</v>
      </c>
      <c r="J65" s="35">
        <f t="shared" si="0"/>
        <v>915.05701542576651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7.274966201258465</v>
      </c>
      <c r="H66" s="112">
        <f t="shared" si="2"/>
        <v>922.10940310125852</v>
      </c>
      <c r="I66" s="37">
        <f t="shared" si="3"/>
        <v>2.768486080817175</v>
      </c>
      <c r="J66" s="35">
        <f t="shared" si="0"/>
        <v>924.87788918207571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7.2036127369778269</v>
      </c>
      <c r="H67" s="112">
        <f t="shared" si="2"/>
        <v>932.04712201697782</v>
      </c>
      <c r="I67" s="37">
        <f t="shared" si="3"/>
        <v>2.7413325426131263</v>
      </c>
      <c r="J67" s="35">
        <f t="shared" si="0"/>
        <v>934.78845455959095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7.1284531907382256</v>
      </c>
      <c r="H68" s="112">
        <f t="shared" si="2"/>
        <v>942.07966069073836</v>
      </c>
      <c r="I68" s="37">
        <f t="shared" si="3"/>
        <v>2.7127306011265979</v>
      </c>
      <c r="J68" s="35">
        <f t="shared" ref="J68:J79" si="5">H68+I68</f>
        <v>944.79239129186499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7.0488426430966182</v>
      </c>
      <c r="H69" s="112">
        <f t="shared" ref="H69:H79" si="7">B69+G69</f>
        <v>952.2092749630965</v>
      </c>
      <c r="I69" s="37">
        <f t="shared" ref="I69:I79" si="8">(C69*($M$3*$P$5)*$M$1)/144</f>
        <v>2.6824348324680578</v>
      </c>
      <c r="J69" s="35">
        <f t="shared" si="5"/>
        <v>954.89170979556457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6.9639670154117814</v>
      </c>
      <c r="H70" s="112">
        <f t="shared" si="7"/>
        <v>962.43515075541188</v>
      </c>
      <c r="I70" s="37">
        <f t="shared" si="8"/>
        <v>2.6501354392687539</v>
      </c>
      <c r="J70" s="35">
        <f t="shared" si="5"/>
        <v>965.08528619468063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6.8727584902452268</v>
      </c>
      <c r="H71" s="112">
        <f t="shared" si="7"/>
        <v>972.76057139024522</v>
      </c>
      <c r="I71" s="37">
        <f t="shared" si="8"/>
        <v>2.6154260639411016</v>
      </c>
      <c r="J71" s="35">
        <f t="shared" si="5"/>
        <v>975.37599745418629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6.7737052072632586</v>
      </c>
      <c r="H72" s="112">
        <f t="shared" si="7"/>
        <v>983.18982652726322</v>
      </c>
      <c r="I72" s="37">
        <f t="shared" si="8"/>
        <v>2.5777313685145593</v>
      </c>
      <c r="J72" s="35">
        <f t="shared" si="5"/>
        <v>985.76755789577783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6.6646821040387874</v>
      </c>
      <c r="H73" s="112">
        <f t="shared" si="7"/>
        <v>993.72079110403888</v>
      </c>
      <c r="I73" s="37">
        <f t="shared" si="8"/>
        <v>2.5362426611564097</v>
      </c>
      <c r="J73" s="35">
        <f t="shared" si="5"/>
        <v>996.25703376519527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6.5424540109066989</v>
      </c>
      <c r="H74" s="112">
        <f t="shared" si="7"/>
        <v>1004.3603826109066</v>
      </c>
      <c r="I74" s="37">
        <f t="shared" si="8"/>
        <v>2.4897287990765453</v>
      </c>
      <c r="J74" s="35">
        <f t="shared" si="5"/>
        <v>1006.8501114099832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6.4017135580242179</v>
      </c>
      <c r="H75" s="112">
        <f t="shared" si="7"/>
        <v>1015.1061944380242</v>
      </c>
      <c r="I75" s="37">
        <f t="shared" si="8"/>
        <v>2.4361700643643958</v>
      </c>
      <c r="J75" s="35">
        <f t="shared" si="5"/>
        <v>1017.5423645023886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6.2327235190463348</v>
      </c>
      <c r="H76" s="112">
        <f t="shared" si="7"/>
        <v>1025.9586420190465</v>
      </c>
      <c r="I76" s="37">
        <f t="shared" si="8"/>
        <v>2.3718609586222836</v>
      </c>
      <c r="J76" s="35">
        <f t="shared" si="5"/>
        <v>1028.3305029776689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6.013926668655488</v>
      </c>
      <c r="H77" s="112">
        <f t="shared" si="7"/>
        <v>1036.9077711686557</v>
      </c>
      <c r="I77" s="37">
        <f t="shared" si="8"/>
        <v>2.2885978865919405</v>
      </c>
      <c r="J77" s="35">
        <f t="shared" si="5"/>
        <v>1039.1963690552477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5.675121939608613</v>
      </c>
      <c r="H78" s="112">
        <f t="shared" si="7"/>
        <v>1047.9065868996086</v>
      </c>
      <c r="I78" s="37">
        <f t="shared" si="8"/>
        <v>2.1596658543965126</v>
      </c>
      <c r="J78" s="35">
        <f t="shared" si="5"/>
        <v>1050.0662527540051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4.7788636454224207</v>
      </c>
      <c r="H79" s="112">
        <f t="shared" si="7"/>
        <v>1055.5791736454225</v>
      </c>
      <c r="I79" s="37">
        <f t="shared" si="8"/>
        <v>1.8185950447696315</v>
      </c>
      <c r="J79" s="35">
        <f t="shared" si="5"/>
        <v>1057.3977686901922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O819"/>
  <sheetViews>
    <sheetView tabSelected="1" zoomScaleNormal="100" workbookViewId="0">
      <pane xSplit="1" topLeftCell="B1" activePane="topRight" state="frozen"/>
      <selection pane="topRight" activeCell="O18" sqref="O18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8"/>
    <col min="6" max="6" width="22.28515625" customWidth="1"/>
    <col min="7" max="8" width="13" style="24" customWidth="1"/>
    <col min="9" max="9" width="11" style="24" customWidth="1"/>
    <col min="10" max="10" width="12.140625" customWidth="1"/>
    <col min="11" max="11" width="9.85546875" customWidth="1"/>
    <col min="12" max="12" width="12.42578125" customWidth="1"/>
    <col min="13" max="13" width="13" customWidth="1"/>
    <col min="14" max="14" width="40.7109375" bestFit="1" customWidth="1"/>
    <col min="17" max="17" width="23.42578125" bestFit="1" customWidth="1"/>
  </cols>
  <sheetData>
    <row r="1" spans="1:15" ht="23.25" customHeight="1">
      <c r="A1" s="186" t="s">
        <v>17</v>
      </c>
      <c r="B1" s="187"/>
      <c r="C1" s="187"/>
      <c r="D1" s="188"/>
      <c r="E1" s="62"/>
      <c r="F1" s="189" t="s">
        <v>100</v>
      </c>
      <c r="G1" s="107"/>
      <c r="H1" s="107"/>
      <c r="I1" s="107"/>
      <c r="J1" s="192" t="s">
        <v>49</v>
      </c>
      <c r="K1" s="98"/>
      <c r="L1" s="73"/>
      <c r="M1" s="14"/>
      <c r="N1" t="s">
        <v>56</v>
      </c>
      <c r="O1">
        <v>1.5</v>
      </c>
    </row>
    <row r="2" spans="1:15" ht="27.95" customHeight="1">
      <c r="A2" s="79" t="s">
        <v>18</v>
      </c>
      <c r="B2" s="80" t="s">
        <v>20</v>
      </c>
      <c r="C2" s="81" t="s">
        <v>21</v>
      </c>
      <c r="D2" s="82" t="s">
        <v>22</v>
      </c>
      <c r="E2" s="50">
        <v>0.75122497093492424</v>
      </c>
      <c r="F2" s="190"/>
      <c r="G2" s="103" t="s">
        <v>39</v>
      </c>
      <c r="H2" s="103" t="s">
        <v>103</v>
      </c>
      <c r="I2" s="103" t="s">
        <v>35</v>
      </c>
      <c r="J2" s="193"/>
      <c r="K2" s="194" t="s">
        <v>48</v>
      </c>
      <c r="L2" s="195"/>
      <c r="M2" s="63"/>
      <c r="N2" t="s">
        <v>14</v>
      </c>
      <c r="O2">
        <f>R1+(2*R3)</f>
        <v>0</v>
      </c>
    </row>
    <row r="3" spans="1:15" ht="15.75" thickBot="1">
      <c r="A3" s="94" t="s">
        <v>16</v>
      </c>
      <c r="B3" s="95" t="s">
        <v>19</v>
      </c>
      <c r="C3" s="96" t="s">
        <v>23</v>
      </c>
      <c r="D3" s="97" t="s">
        <v>23</v>
      </c>
      <c r="E3" s="20"/>
      <c r="F3" s="191"/>
      <c r="G3" s="99" t="s">
        <v>40</v>
      </c>
      <c r="H3" s="99" t="s">
        <v>40</v>
      </c>
      <c r="I3" s="99" t="s">
        <v>40</v>
      </c>
      <c r="J3" s="92" t="s">
        <v>40</v>
      </c>
      <c r="K3" s="99" t="s">
        <v>47</v>
      </c>
      <c r="L3" s="93" t="s">
        <v>52</v>
      </c>
      <c r="M3" s="17"/>
      <c r="N3" t="s">
        <v>13</v>
      </c>
      <c r="O3">
        <v>32.200000000000003</v>
      </c>
    </row>
    <row r="4" spans="1:15">
      <c r="A4" s="79">
        <v>32</v>
      </c>
      <c r="B4" s="83">
        <v>452.82023903999999</v>
      </c>
      <c r="C4" s="81">
        <v>1.75999830112</v>
      </c>
      <c r="D4" s="82">
        <v>0.16525852904319999</v>
      </c>
      <c r="E4" s="50">
        <f>$O$7/((C4*(1-F4))+(D4*F4))</f>
        <v>0.75464059157743779</v>
      </c>
      <c r="F4" s="74">
        <f t="shared" ref="F4:F35" si="0">(($C$53*(1-$O$11))+(D4*$O$11)-C4)/(D4-C4)</f>
        <v>0.22799667104370452</v>
      </c>
      <c r="G4" s="104">
        <f>$O$7/((C4*(1-$O$11))+(D4*$O$11))</f>
        <v>0.62715384464932811</v>
      </c>
      <c r="H4" s="104">
        <v>0.75119999999999998</v>
      </c>
      <c r="I4" s="67">
        <f>H4*F4</f>
        <v>0.17127109928803083</v>
      </c>
      <c r="J4" s="68">
        <f>I4-$G$55</f>
        <v>0.12966423767093513</v>
      </c>
      <c r="K4" s="67">
        <f>IF(J4&gt;0, ('BPV Calcs - T6'!$B$8/12)+(J4/(PI()*(('BPV Calcs - T6'!$B$8/12)^2))), "Need to Use Goal Seek tool")</f>
        <v>0.83351933171067216</v>
      </c>
      <c r="L4" s="75">
        <f>K4*12</f>
        <v>10.002231980528066</v>
      </c>
      <c r="M4" s="17"/>
      <c r="N4" t="s">
        <v>57</v>
      </c>
      <c r="O4">
        <v>0.5</v>
      </c>
    </row>
    <row r="5" spans="1:15">
      <c r="A5" s="79">
        <v>32.9</v>
      </c>
      <c r="B5" s="83">
        <v>458.65366740000002</v>
      </c>
      <c r="C5" s="81">
        <v>1.7550485447999999</v>
      </c>
      <c r="D5" s="82">
        <v>0.16772615040639999</v>
      </c>
      <c r="E5" s="50"/>
      <c r="F5" s="74">
        <f t="shared" si="0"/>
        <v>0.22586603899286106</v>
      </c>
      <c r="G5" s="104">
        <f t="shared" ref="G5:G53" si="1">$O$7/((C5*(1-$O$11))+(D5*$O$11))</f>
        <v>0.62886757442092611</v>
      </c>
      <c r="H5" s="104">
        <v>0.75119999999999998</v>
      </c>
      <c r="I5" s="67">
        <f t="shared" ref="I5:I53" si="2">H5*F5</f>
        <v>0.16967056849143722</v>
      </c>
      <c r="J5" s="68">
        <f t="shared" ref="J5:J54" si="3">I5-$G$55</f>
        <v>0.12806370687434152</v>
      </c>
      <c r="K5" s="67">
        <f>IF(J5&gt;0, ('BPV Calcs - T6'!$B$8/12)+(J5/(PI()*(('BPV Calcs - T6'!$B$8/12)^2))), "Need to Use Goal Seek tool")</f>
        <v>0.82657372908814719</v>
      </c>
      <c r="L5" s="75">
        <f t="shared" ref="L5:L53" si="4">K5*12</f>
        <v>9.9188847490577672</v>
      </c>
      <c r="M5" s="17"/>
      <c r="N5" t="s">
        <v>36</v>
      </c>
      <c r="O5">
        <v>0.87815195180003003</v>
      </c>
    </row>
    <row r="6" spans="1:15">
      <c r="A6" s="79">
        <v>33.799999999999997</v>
      </c>
      <c r="B6" s="83">
        <v>464.54366057999999</v>
      </c>
      <c r="C6" s="81">
        <v>1.7500619224</v>
      </c>
      <c r="D6" s="82">
        <v>0.1702317244288</v>
      </c>
      <c r="E6" s="50"/>
      <c r="F6" s="74">
        <f t="shared" si="0"/>
        <v>0.22370145929548133</v>
      </c>
      <c r="G6" s="104">
        <f t="shared" si="1"/>
        <v>0.63060319557846756</v>
      </c>
      <c r="H6" s="104">
        <v>0.75119999999999998</v>
      </c>
      <c r="I6" s="67">
        <f t="shared" si="2"/>
        <v>0.16804453622276558</v>
      </c>
      <c r="J6" s="68">
        <f t="shared" si="3"/>
        <v>0.12643767460566988</v>
      </c>
      <c r="K6" s="67">
        <f>IF(J6&gt;0, ('BPV Calcs - T6'!$B$8/12)+(J6/(PI()*(('BPV Calcs - T6'!$B$8/12)^2))), "Need to Use Goal Seek tool")</f>
        <v>0.8195174612464835</v>
      </c>
      <c r="L6" s="75">
        <f t="shared" si="4"/>
        <v>9.834209534957802</v>
      </c>
      <c r="M6" s="17"/>
      <c r="N6" t="s">
        <v>37</v>
      </c>
      <c r="O6">
        <v>1.2</v>
      </c>
    </row>
    <row r="7" spans="1:15">
      <c r="A7" s="79">
        <v>34.700000000000003</v>
      </c>
      <c r="B7" s="83">
        <v>470.48731781999993</v>
      </c>
      <c r="C7" s="81">
        <v>1.7450423145599998</v>
      </c>
      <c r="D7" s="82">
        <v>0.17277604664159998</v>
      </c>
      <c r="E7" s="50"/>
      <c r="F7" s="74">
        <f t="shared" si="0"/>
        <v>0.22150414588215353</v>
      </c>
      <c r="G7" s="104">
        <f t="shared" si="1"/>
        <v>0.63235957933036391</v>
      </c>
      <c r="H7" s="104">
        <v>0.75119999999999998</v>
      </c>
      <c r="I7" s="67">
        <f t="shared" si="2"/>
        <v>0.16639391438667372</v>
      </c>
      <c r="J7" s="68">
        <f t="shared" si="3"/>
        <v>0.12478705276957802</v>
      </c>
      <c r="K7" s="67">
        <f>IF(J7&gt;0, ('BPV Calcs - T6'!$B$8/12)+(J7/(PI()*(('BPV Calcs - T6'!$B$8/12)^2))), "Need to Use Goal Seek tool")</f>
        <v>0.81235448545248023</v>
      </c>
      <c r="L7" s="75">
        <f t="shared" si="4"/>
        <v>9.7482538254297637</v>
      </c>
      <c r="M7" s="17"/>
      <c r="N7" s="40" t="s">
        <v>38</v>
      </c>
      <c r="O7" s="40">
        <f>O5*O6</f>
        <v>1.0537823421600361</v>
      </c>
    </row>
    <row r="8" spans="1:15">
      <c r="A8" s="79">
        <v>35.6</v>
      </c>
      <c r="B8" s="83">
        <v>476.48608949999999</v>
      </c>
      <c r="C8" s="81">
        <v>1.73998778096</v>
      </c>
      <c r="D8" s="82">
        <v>0.17536002899519998</v>
      </c>
      <c r="E8" s="50"/>
      <c r="F8" s="74">
        <f t="shared" si="0"/>
        <v>0.21927245226609335</v>
      </c>
      <c r="G8" s="104">
        <f t="shared" si="1"/>
        <v>0.63413767888578276</v>
      </c>
      <c r="H8" s="104">
        <v>0.75119999999999998</v>
      </c>
      <c r="I8" s="67">
        <f t="shared" si="2"/>
        <v>0.16471746614228933</v>
      </c>
      <c r="J8" s="68">
        <f t="shared" si="3"/>
        <v>0.12311060452519362</v>
      </c>
      <c r="K8" s="67">
        <f>IF(J8&gt;0, ('BPV Calcs - T6'!$B$8/12)+(J8/(PI()*(('BPV Calcs - T6'!$B$8/12)^2))), "Need to Use Goal Seek tool")</f>
        <v>0.80507943435848994</v>
      </c>
      <c r="L8" s="75">
        <f t="shared" si="4"/>
        <v>9.6609532123018802</v>
      </c>
      <c r="M8" s="17"/>
    </row>
    <row r="9" spans="1:15">
      <c r="A9" s="79">
        <v>36.5</v>
      </c>
      <c r="B9" s="83">
        <v>482.54142600000006</v>
      </c>
      <c r="C9" s="81">
        <v>1.73489638128</v>
      </c>
      <c r="D9" s="82">
        <v>0.17798456403679999</v>
      </c>
      <c r="E9" s="50"/>
      <c r="F9" s="74">
        <f t="shared" si="0"/>
        <v>0.21700467160886799</v>
      </c>
      <c r="G9" s="104">
        <f t="shared" si="1"/>
        <v>0.63593846866595771</v>
      </c>
      <c r="H9" s="104">
        <v>0.75119999999999998</v>
      </c>
      <c r="I9" s="67">
        <f t="shared" si="2"/>
        <v>0.16301390931258164</v>
      </c>
      <c r="J9" s="68">
        <f t="shared" si="3"/>
        <v>0.12140704769548594</v>
      </c>
      <c r="K9" s="67">
        <f>IF(J9&gt;0, ('BPV Calcs - T6'!$B$8/12)+(J9/(PI()*(('BPV Calcs - T6'!$B$8/12)^2))), "Need to Use Goal Seek tool")</f>
        <v>0.79768674387779392</v>
      </c>
      <c r="L9" s="75">
        <f t="shared" si="4"/>
        <v>9.572240926533528</v>
      </c>
      <c r="M9" s="17"/>
    </row>
    <row r="10" spans="1:15">
      <c r="A10" s="79">
        <v>37.4</v>
      </c>
      <c r="B10" s="83">
        <v>488.65187693999997</v>
      </c>
      <c r="C10" s="81">
        <v>1.7297661752</v>
      </c>
      <c r="D10" s="82">
        <v>0.18065056371679999</v>
      </c>
      <c r="E10" s="50"/>
      <c r="F10" s="74">
        <f t="shared" si="0"/>
        <v>0.21469903801588108</v>
      </c>
      <c r="G10" s="104">
        <f t="shared" si="1"/>
        <v>0.63776294429150615</v>
      </c>
      <c r="H10" s="104">
        <v>0.75119999999999998</v>
      </c>
      <c r="I10" s="67">
        <f t="shared" si="2"/>
        <v>0.16128191735752986</v>
      </c>
      <c r="J10" s="68">
        <f t="shared" si="3"/>
        <v>0.11967505574043416</v>
      </c>
      <c r="K10" s="67">
        <f>IF(J10&gt;0, ('BPV Calcs - T6'!$B$8/12)+(J10/(PI()*(('BPV Calcs - T6'!$B$8/12)^2))), "Need to Use Goal Seek tool")</f>
        <v>0.79017065740772896</v>
      </c>
      <c r="L10" s="75">
        <f t="shared" si="4"/>
        <v>9.4820478888927475</v>
      </c>
      <c r="M10" s="17"/>
      <c r="N10" t="s">
        <v>102</v>
      </c>
    </row>
    <row r="11" spans="1:15">
      <c r="A11" s="79">
        <v>38.299999999999997</v>
      </c>
      <c r="B11" s="83">
        <v>494.82034307999999</v>
      </c>
      <c r="C11" s="81">
        <v>1.7246010433599999</v>
      </c>
      <c r="D11" s="82">
        <v>0.18335905640479999</v>
      </c>
      <c r="E11" s="50"/>
      <c r="F11" s="74">
        <f t="shared" si="0"/>
        <v>0.21235670832781436</v>
      </c>
      <c r="G11" s="104">
        <f t="shared" si="1"/>
        <v>0.63960997461690805</v>
      </c>
      <c r="H11" s="104">
        <v>0.75119999999999998</v>
      </c>
      <c r="I11" s="67">
        <f t="shared" si="2"/>
        <v>0.15952235929585415</v>
      </c>
      <c r="J11" s="68">
        <f t="shared" si="3"/>
        <v>0.11791549767875845</v>
      </c>
      <c r="K11" s="67">
        <f>IF(J11&gt;0, ('BPV Calcs - T6'!$B$8/12)+(J11/(PI()*(('BPV Calcs - T6'!$B$8/12)^2))), "Need to Use Goal Seek tool")</f>
        <v>0.78253494610890839</v>
      </c>
      <c r="L11" s="75">
        <f t="shared" si="4"/>
        <v>9.3904193533068998</v>
      </c>
      <c r="M11" s="17"/>
      <c r="N11" s="40" t="s">
        <v>101</v>
      </c>
      <c r="O11" s="40">
        <v>0.05</v>
      </c>
    </row>
    <row r="12" spans="1:15">
      <c r="A12" s="79">
        <v>39.200000000000003</v>
      </c>
      <c r="B12" s="83">
        <v>501.04537404000001</v>
      </c>
      <c r="C12" s="81">
        <v>1.7193932244799999</v>
      </c>
      <c r="D12" s="82">
        <v>0.18611099285759999</v>
      </c>
      <c r="E12" s="50"/>
      <c r="F12" s="74">
        <f t="shared" si="0"/>
        <v>0.20997286262368442</v>
      </c>
      <c r="G12" s="104">
        <f t="shared" si="1"/>
        <v>0.64148272157936903</v>
      </c>
      <c r="H12" s="104">
        <v>0.75119999999999998</v>
      </c>
      <c r="I12" s="67">
        <f t="shared" si="2"/>
        <v>0.15773161440291172</v>
      </c>
      <c r="J12" s="68">
        <f t="shared" si="3"/>
        <v>0.11612475278581602</v>
      </c>
      <c r="K12" s="67">
        <f>IF(J12&gt;0, ('BPV Calcs - T6'!$B$8/12)+(J12/(PI()*(('BPV Calcs - T6'!$B$8/12)^2))), "Need to Use Goal Seek tool")</f>
        <v>0.7747638976222655</v>
      </c>
      <c r="L12" s="75">
        <f t="shared" si="4"/>
        <v>9.297166771467186</v>
      </c>
      <c r="M12" s="17"/>
      <c r="N12" s="199" t="s">
        <v>116</v>
      </c>
      <c r="O12" s="199"/>
    </row>
    <row r="13" spans="1:15">
      <c r="A13" s="79">
        <v>40.1</v>
      </c>
      <c r="B13" s="83">
        <v>507.32696982000004</v>
      </c>
      <c r="C13" s="81">
        <v>1.71414853952</v>
      </c>
      <c r="D13" s="82">
        <v>0.1889074790576</v>
      </c>
      <c r="E13" s="50"/>
      <c r="F13" s="74">
        <f t="shared" si="0"/>
        <v>0.20754958564898307</v>
      </c>
      <c r="G13" s="104">
        <f t="shared" si="1"/>
        <v>0.64337934945288622</v>
      </c>
      <c r="H13" s="104">
        <v>0.75119999999999998</v>
      </c>
      <c r="I13" s="67">
        <f t="shared" si="2"/>
        <v>0.15591124873951609</v>
      </c>
      <c r="J13" s="68">
        <f t="shared" si="3"/>
        <v>0.11430438712242039</v>
      </c>
      <c r="K13" s="67">
        <f>IF(J13&gt;0, ('BPV Calcs - T6'!$B$8/12)+(J13/(PI()*(('BPV Calcs - T6'!$B$8/12)^2))), "Need to Use Goal Seek tool")</f>
        <v>0.76686430796579397</v>
      </c>
      <c r="L13" s="75">
        <f t="shared" si="4"/>
        <v>9.2023716955895267</v>
      </c>
      <c r="M13" s="17"/>
      <c r="N13" s="199">
        <v>3.25638777478314</v>
      </c>
      <c r="O13" s="199" t="s">
        <v>117</v>
      </c>
    </row>
    <row r="14" spans="1:15">
      <c r="A14" s="79">
        <v>41</v>
      </c>
      <c r="B14" s="83">
        <v>513.66803117999996</v>
      </c>
      <c r="C14" s="81">
        <v>1.7088611675200001</v>
      </c>
      <c r="D14" s="82">
        <v>0.19174958218079999</v>
      </c>
      <c r="E14" s="50"/>
      <c r="F14" s="74">
        <f t="shared" si="0"/>
        <v>0.20508291938727927</v>
      </c>
      <c r="G14" s="104">
        <f t="shared" si="1"/>
        <v>0.64530234907974404</v>
      </c>
      <c r="H14" s="104">
        <v>0.75119999999999998</v>
      </c>
      <c r="I14" s="67">
        <f t="shared" si="2"/>
        <v>0.15405828904372418</v>
      </c>
      <c r="J14" s="68">
        <f t="shared" si="3"/>
        <v>0.11245142742662848</v>
      </c>
      <c r="K14" s="67">
        <f>IF(J14&gt;0, ('BPV Calcs - T6'!$B$8/12)+(J14/(PI()*(('BPV Calcs - T6'!$B$8/12)^2))), "Need to Use Goal Seek tool")</f>
        <v>0.75882327448495346</v>
      </c>
      <c r="L14" s="75">
        <f t="shared" si="4"/>
        <v>9.1058792938194415</v>
      </c>
      <c r="M14" s="17"/>
      <c r="N14" s="199">
        <f>N13/12</f>
        <v>0.27136564789859502</v>
      </c>
      <c r="O14" s="199" t="s">
        <v>118</v>
      </c>
    </row>
    <row r="15" spans="1:15">
      <c r="A15" s="79">
        <v>41.9</v>
      </c>
      <c r="B15" s="83">
        <v>520.06565735999993</v>
      </c>
      <c r="C15" s="81">
        <v>1.7035330488</v>
      </c>
      <c r="D15" s="82">
        <v>0.19463846641919999</v>
      </c>
      <c r="E15" s="50"/>
      <c r="F15" s="74">
        <f t="shared" si="0"/>
        <v>0.20257287261474624</v>
      </c>
      <c r="G15" s="104">
        <f t="shared" si="1"/>
        <v>0.6472513373024722</v>
      </c>
      <c r="H15" s="104">
        <v>0.75119999999999998</v>
      </c>
      <c r="I15" s="67">
        <f t="shared" si="2"/>
        <v>0.15217274190819738</v>
      </c>
      <c r="J15" s="68">
        <f t="shared" si="3"/>
        <v>0.11056588029110168</v>
      </c>
      <c r="K15" s="67">
        <f>IF(J15&gt;0, ('BPV Calcs - T6'!$B$8/12)+(J15/(PI()*(('BPV Calcs - T6'!$B$8/12)^2))), "Need to Use Goal Seek tool")</f>
        <v>0.75064082578900704</v>
      </c>
      <c r="L15" s="75">
        <f t="shared" si="4"/>
        <v>9.007689909468084</v>
      </c>
      <c r="M15" s="17"/>
      <c r="N15" s="199"/>
      <c r="O15" s="199"/>
    </row>
    <row r="16" spans="1:15">
      <c r="A16" s="79">
        <v>42.8</v>
      </c>
      <c r="B16" s="83">
        <v>526.52129874000002</v>
      </c>
      <c r="C16" s="81">
        <v>1.6981603027200001</v>
      </c>
      <c r="D16" s="82">
        <v>0.19757531536799999</v>
      </c>
      <c r="E16" s="50"/>
      <c r="F16" s="74">
        <f t="shared" si="0"/>
        <v>0.2000163429782873</v>
      </c>
      <c r="G16" s="104">
        <f t="shared" si="1"/>
        <v>0.64922813224697018</v>
      </c>
      <c r="H16" s="104">
        <v>0.75119999999999998</v>
      </c>
      <c r="I16" s="67">
        <f t="shared" si="2"/>
        <v>0.15025227684528941</v>
      </c>
      <c r="J16" s="68">
        <f t="shared" si="3"/>
        <v>0.10864541522819371</v>
      </c>
      <c r="K16" s="67">
        <f>IF(J16&gt;0, ('BPV Calcs - T6'!$B$8/12)+(J16/(PI()*(('BPV Calcs - T6'!$B$8/12)^2))), "Need to Use Goal Seek tool")</f>
        <v>0.74230684858232654</v>
      </c>
      <c r="L16" s="75">
        <f t="shared" si="4"/>
        <v>8.9076821829879194</v>
      </c>
      <c r="M16" s="17"/>
      <c r="N16" s="199">
        <f>(2/3)*PI()*(_MailAutoSig^3)</f>
        <v>4.1852675134105212E-2</v>
      </c>
      <c r="O16" s="199" t="s">
        <v>119</v>
      </c>
    </row>
    <row r="17" spans="1:15">
      <c r="A17" s="79">
        <v>43.7</v>
      </c>
      <c r="B17" s="83">
        <v>533.03640570000005</v>
      </c>
      <c r="C17" s="81">
        <v>1.69274292928</v>
      </c>
      <c r="D17" s="82">
        <v>0.20056135142879999</v>
      </c>
      <c r="E17" s="50"/>
      <c r="F17" s="74">
        <f t="shared" si="0"/>
        <v>0.19741219877504856</v>
      </c>
      <c r="G17" s="104">
        <f t="shared" si="1"/>
        <v>0.65123311146832652</v>
      </c>
      <c r="H17" s="104">
        <v>0.75119999999999998</v>
      </c>
      <c r="I17" s="67">
        <f t="shared" si="2"/>
        <v>0.14829604371981647</v>
      </c>
      <c r="J17" s="68">
        <f t="shared" si="3"/>
        <v>0.10668918210272077</v>
      </c>
      <c r="K17" s="67">
        <f>IF(J17&gt;0, ('BPV Calcs - T6'!$B$8/12)+(J17/(PI()*(('BPV Calcs - T6'!$B$8/12)^2))), "Need to Use Goal Seek tool")</f>
        <v>0.73381765365057472</v>
      </c>
      <c r="L17" s="75">
        <f t="shared" si="4"/>
        <v>8.8058118438068966</v>
      </c>
      <c r="M17" s="17"/>
      <c r="N17" s="199">
        <f>G57*PI()*_MailAutoSig^2</f>
        <v>0.67089971867548348</v>
      </c>
      <c r="O17" s="199" t="s">
        <v>120</v>
      </c>
    </row>
    <row r="18" spans="1:15">
      <c r="A18" s="79">
        <v>44.6</v>
      </c>
      <c r="B18" s="83">
        <v>539.61097824000001</v>
      </c>
      <c r="C18" s="81">
        <v>1.6872809284800001</v>
      </c>
      <c r="D18" s="82">
        <v>0.20359789401919998</v>
      </c>
      <c r="E18" s="50"/>
      <c r="F18" s="74">
        <f t="shared" si="0"/>
        <v>0.19475926570173455</v>
      </c>
      <c r="G18" s="104">
        <f t="shared" si="1"/>
        <v>0.65326665910188353</v>
      </c>
      <c r="H18" s="104">
        <v>0.75119999999999998</v>
      </c>
      <c r="I18" s="67">
        <f t="shared" si="2"/>
        <v>0.14630316039514299</v>
      </c>
      <c r="J18" s="68">
        <f t="shared" si="3"/>
        <v>0.10469629877804729</v>
      </c>
      <c r="K18" s="67">
        <f>IF(J18&gt;0, ('BPV Calcs - T6'!$B$8/12)+(J18/(PI()*(('BPV Calcs - T6'!$B$8/12)^2))), "Need to Use Goal Seek tool")</f>
        <v>0.72516941290713033</v>
      </c>
      <c r="L18" s="75">
        <f t="shared" si="4"/>
        <v>8.7020329548855635</v>
      </c>
      <c r="M18" s="17"/>
      <c r="N18" s="199">
        <f>N17+(2*N16)</f>
        <v>0.75460506894369395</v>
      </c>
      <c r="O18" s="199" t="s">
        <v>114</v>
      </c>
    </row>
    <row r="19" spans="1:15">
      <c r="A19" s="79">
        <v>45.5</v>
      </c>
      <c r="B19" s="83">
        <v>546.24646674000007</v>
      </c>
      <c r="C19" s="81">
        <v>1.6817723599999999</v>
      </c>
      <c r="D19" s="82">
        <v>0.20668630136319999</v>
      </c>
      <c r="E19" s="50"/>
      <c r="F19" s="74">
        <f t="shared" si="0"/>
        <v>0.19205525523054301</v>
      </c>
      <c r="G19" s="104">
        <f t="shared" si="1"/>
        <v>0.6553299184222835</v>
      </c>
      <c r="H19" s="104">
        <v>0.75119999999999998</v>
      </c>
      <c r="I19" s="67">
        <f t="shared" si="2"/>
        <v>0.14427190772918391</v>
      </c>
      <c r="J19" s="68">
        <f t="shared" si="3"/>
        <v>0.10266504611208821</v>
      </c>
      <c r="K19" s="67">
        <f>IF(J19&gt;0, ('BPV Calcs - T6'!$B$8/12)+(J19/(PI()*(('BPV Calcs - T6'!$B$8/12)^2))), "Need to Use Goal Seek tool")</f>
        <v>0.71635466602833064</v>
      </c>
      <c r="L19" s="75">
        <f t="shared" si="4"/>
        <v>8.5962559923399677</v>
      </c>
      <c r="M19" s="17"/>
      <c r="N19" s="200">
        <f>N18-H4</f>
        <v>3.4050689436939674E-3</v>
      </c>
      <c r="O19" s="199" t="s">
        <v>115</v>
      </c>
    </row>
    <row r="20" spans="1:15">
      <c r="A20" s="79">
        <v>46.4</v>
      </c>
      <c r="B20" s="83">
        <v>552.93997044000002</v>
      </c>
      <c r="C20" s="81">
        <v>1.6762152835199999</v>
      </c>
      <c r="D20" s="82">
        <v>0.2098279704912</v>
      </c>
      <c r="E20" s="50"/>
      <c r="F20" s="74">
        <f t="shared" si="0"/>
        <v>0.18929778447739115</v>
      </c>
      <c r="G20" s="104">
        <f t="shared" si="1"/>
        <v>0.65742406004832554</v>
      </c>
      <c r="H20" s="104">
        <v>0.75119999999999998</v>
      </c>
      <c r="I20" s="67">
        <f t="shared" si="2"/>
        <v>0.14220049569941623</v>
      </c>
      <c r="J20" s="68">
        <f t="shared" si="3"/>
        <v>0.10059363408232053</v>
      </c>
      <c r="K20" s="67">
        <f>IF(J20&gt;0, ('BPV Calcs - T6'!$B$8/12)+(J20/(PI()*(('BPV Calcs - T6'!$B$8/12)^2))), "Need to Use Goal Seek tool")</f>
        <v>0.70736564510045818</v>
      </c>
      <c r="L20" s="75">
        <f t="shared" si="4"/>
        <v>8.4883877412054982</v>
      </c>
      <c r="M20" s="17"/>
    </row>
    <row r="21" spans="1:15">
      <c r="A21" s="79">
        <v>47.3</v>
      </c>
      <c r="B21" s="83">
        <v>559.69439009999996</v>
      </c>
      <c r="C21" s="81">
        <v>1.6706096990399999</v>
      </c>
      <c r="D21" s="82">
        <v>0.21302437604639998</v>
      </c>
      <c r="E21" s="50"/>
      <c r="F21" s="74">
        <f t="shared" si="0"/>
        <v>0.18648545680062392</v>
      </c>
      <c r="G21" s="104">
        <f t="shared" si="1"/>
        <v>0.65954952128797284</v>
      </c>
      <c r="H21" s="104">
        <v>0.75119999999999998</v>
      </c>
      <c r="I21" s="67">
        <f t="shared" si="2"/>
        <v>0.14008787514862869</v>
      </c>
      <c r="J21" s="68">
        <f t="shared" si="3"/>
        <v>9.848101353153299E-2</v>
      </c>
      <c r="K21" s="67">
        <f>IF(J21&gt;0, ('BPV Calcs - T6'!$B$8/12)+(J21/(PI()*(('BPV Calcs - T6'!$B$8/12)^2))), "Need to Use Goal Seek tool")</f>
        <v>0.69819779724074849</v>
      </c>
      <c r="L21" s="75">
        <f t="shared" si="4"/>
        <v>8.3783735668889818</v>
      </c>
      <c r="M21" s="17"/>
    </row>
    <row r="22" spans="1:15">
      <c r="A22" s="79">
        <v>48.2</v>
      </c>
      <c r="B22" s="83">
        <v>566.51117609999994</v>
      </c>
      <c r="C22" s="81">
        <v>1.66495172592</v>
      </c>
      <c r="D22" s="82">
        <v>0.21627710909119999</v>
      </c>
      <c r="E22" s="50"/>
      <c r="F22" s="74">
        <f t="shared" si="0"/>
        <v>0.18361463086471771</v>
      </c>
      <c r="G22" s="104">
        <f t="shared" si="1"/>
        <v>0.66170827922610209</v>
      </c>
      <c r="H22" s="104">
        <v>0.75119999999999998</v>
      </c>
      <c r="I22" s="67">
        <f t="shared" si="2"/>
        <v>0.13793131070557593</v>
      </c>
      <c r="J22" s="68">
        <f t="shared" si="3"/>
        <v>9.632444908848023E-2</v>
      </c>
      <c r="K22" s="67">
        <f>IF(J22&gt;0, ('BPV Calcs - T6'!$B$8/12)+(J22/(PI()*(('BPV Calcs - T6'!$B$8/12)^2))), "Need to Use Goal Seek tool")</f>
        <v>0.68883925213609309</v>
      </c>
      <c r="L22" s="75">
        <f t="shared" si="4"/>
        <v>8.2660710256331171</v>
      </c>
      <c r="M22" s="17"/>
    </row>
    <row r="23" spans="1:15">
      <c r="A23" s="79">
        <v>49.1</v>
      </c>
      <c r="B23" s="83">
        <v>573.38742767999997</v>
      </c>
      <c r="C23" s="81">
        <v>1.6592413641600001</v>
      </c>
      <c r="D23" s="82">
        <v>0.21958774128479999</v>
      </c>
      <c r="E23" s="50"/>
      <c r="F23" s="74">
        <f t="shared" si="0"/>
        <v>0.18068371274121117</v>
      </c>
      <c r="G23" s="104">
        <f t="shared" si="1"/>
        <v>0.66390082060067979</v>
      </c>
      <c r="H23" s="104">
        <v>0.75119999999999998</v>
      </c>
      <c r="I23" s="67">
        <f t="shared" si="2"/>
        <v>0.13572960501119782</v>
      </c>
      <c r="J23" s="68">
        <f t="shared" si="3"/>
        <v>9.4122743394102121E-2</v>
      </c>
      <c r="K23" s="67">
        <f>IF(J23&gt;0, ('BPV Calcs - T6'!$B$8/12)+(J23/(PI()*(('BPV Calcs - T6'!$B$8/12)^2))), "Need to Use Goal Seek tool")</f>
        <v>0.67928481377261574</v>
      </c>
      <c r="L23" s="75">
        <f t="shared" si="4"/>
        <v>8.1514177652713897</v>
      </c>
      <c r="M23" s="17"/>
    </row>
    <row r="24" spans="1:15">
      <c r="A24" s="79">
        <v>50</v>
      </c>
      <c r="B24" s="83">
        <v>580.32604560000004</v>
      </c>
      <c r="C24" s="81">
        <v>1.6534766734399999</v>
      </c>
      <c r="D24" s="82">
        <v>0.22295801891519998</v>
      </c>
      <c r="E24" s="50"/>
      <c r="F24" s="74">
        <f t="shared" si="0"/>
        <v>0.17768992822071569</v>
      </c>
      <c r="G24" s="104">
        <f t="shared" si="1"/>
        <v>0.66612841666901734</v>
      </c>
      <c r="H24" s="104">
        <v>0.75119999999999998</v>
      </c>
      <c r="I24" s="67">
        <f t="shared" si="2"/>
        <v>0.13348067407940162</v>
      </c>
      <c r="J24" s="68">
        <f t="shared" si="3"/>
        <v>9.1873812462305915E-2</v>
      </c>
      <c r="K24" s="67">
        <f>IF(J24&gt;0, ('BPV Calcs - T6'!$B$8/12)+(J24/(PI()*(('BPV Calcs - T6'!$B$8/12)^2))), "Need to Use Goal Seek tool")</f>
        <v>0.66952543856346303</v>
      </c>
      <c r="L24" s="75">
        <f t="shared" si="4"/>
        <v>8.0343052627615563</v>
      </c>
      <c r="M24" s="17"/>
    </row>
    <row r="25" spans="1:15">
      <c r="A25" s="79">
        <v>50.9</v>
      </c>
      <c r="B25" s="83">
        <v>587.32702986000004</v>
      </c>
      <c r="C25" s="81">
        <v>1.6476576537600001</v>
      </c>
      <c r="D25" s="82">
        <v>0.22638970767359998</v>
      </c>
      <c r="E25" s="50"/>
      <c r="F25" s="74">
        <f t="shared" si="0"/>
        <v>0.17463149971574637</v>
      </c>
      <c r="G25" s="104">
        <f t="shared" si="1"/>
        <v>0.66839159019203187</v>
      </c>
      <c r="H25" s="104">
        <v>0.75119999999999998</v>
      </c>
      <c r="I25" s="67">
        <f t="shared" si="2"/>
        <v>0.13118318258646866</v>
      </c>
      <c r="J25" s="68">
        <f t="shared" si="3"/>
        <v>8.9576320969372958E-2</v>
      </c>
      <c r="K25" s="67">
        <f>IF(J25&gt;0, ('BPV Calcs - T6'!$B$8/12)+(J25/(PI()*(('BPV Calcs - T6'!$B$8/12)^2))), "Need to Use Goal Seek tool")</f>
        <v>0.65955533178856918</v>
      </c>
      <c r="L25" s="75">
        <f t="shared" si="4"/>
        <v>7.9146639814628301</v>
      </c>
      <c r="M25" s="17"/>
    </row>
    <row r="26" spans="1:15">
      <c r="A26" s="79">
        <v>51.8</v>
      </c>
      <c r="B26" s="83">
        <v>594.39038045999996</v>
      </c>
      <c r="C26" s="81">
        <v>1.6417804244800001</v>
      </c>
      <c r="D26" s="82">
        <v>0.22988470907359998</v>
      </c>
      <c r="E26" s="50"/>
      <c r="F26" s="74">
        <f t="shared" si="0"/>
        <v>0.17150429095486508</v>
      </c>
      <c r="G26" s="104">
        <f t="shared" si="1"/>
        <v>0.67069244791814919</v>
      </c>
      <c r="H26" s="104">
        <v>0.75119999999999998</v>
      </c>
      <c r="I26" s="67">
        <f t="shared" si="2"/>
        <v>0.12883402336529465</v>
      </c>
      <c r="J26" s="68">
        <f t="shared" si="3"/>
        <v>8.7227161748198945E-2</v>
      </c>
      <c r="K26" s="67">
        <f>IF(J26&gt;0, ('BPV Calcs - T6'!$B$8/12)+(J26/(PI()*(('BPV Calcs - T6'!$B$8/12)^2))), "Need to Use Goal Seek tool")</f>
        <v>0.6493610097036453</v>
      </c>
      <c r="L26" s="75">
        <f t="shared" si="4"/>
        <v>7.7923321164437436</v>
      </c>
      <c r="M26" s="17"/>
    </row>
    <row r="27" spans="1:15">
      <c r="A27" s="79">
        <v>52.7</v>
      </c>
      <c r="B27" s="83">
        <v>601.51754778000009</v>
      </c>
      <c r="C27" s="81">
        <v>1.6358430452799999</v>
      </c>
      <c r="D27" s="82">
        <v>0.23344498283839998</v>
      </c>
      <c r="E27" s="50"/>
      <c r="F27" s="74">
        <f t="shared" si="0"/>
        <v>0.16830512463331032</v>
      </c>
      <c r="G27" s="104">
        <f t="shared" si="1"/>
        <v>0.67303236043869552</v>
      </c>
      <c r="H27" s="104">
        <v>0.75119999999999998</v>
      </c>
      <c r="I27" s="67">
        <f t="shared" si="2"/>
        <v>0.1264308096245427</v>
      </c>
      <c r="J27" s="68">
        <f t="shared" si="3"/>
        <v>8.4823948007446998E-2</v>
      </c>
      <c r="K27" s="67">
        <f>IF(J27&gt;0, ('BPV Calcs - T6'!$B$8/12)+(J27/(PI()*(('BPV Calcs - T6'!$B$8/12)^2))), "Need to Use Goal Seek tool")</f>
        <v>0.63893211467970712</v>
      </c>
      <c r="L27" s="75">
        <f t="shared" si="4"/>
        <v>7.6671853761564854</v>
      </c>
      <c r="M27" s="17"/>
    </row>
    <row r="28" spans="1:15">
      <c r="A28" s="79">
        <v>53.6</v>
      </c>
      <c r="B28" s="83">
        <v>608.70708144000002</v>
      </c>
      <c r="C28" s="81">
        <v>1.6298455161600001</v>
      </c>
      <c r="D28" s="82">
        <v>0.23707262451360001</v>
      </c>
      <c r="E28" s="50"/>
      <c r="F28" s="74">
        <f t="shared" si="0"/>
        <v>0.16503183746581837</v>
      </c>
      <c r="G28" s="104">
        <f t="shared" si="1"/>
        <v>0.67541193501759944</v>
      </c>
      <c r="H28" s="104">
        <v>0.75119999999999998</v>
      </c>
      <c r="I28" s="67">
        <f t="shared" si="2"/>
        <v>0.12397191630432276</v>
      </c>
      <c r="J28" s="68">
        <f t="shared" si="3"/>
        <v>8.2365054687227046E-2</v>
      </c>
      <c r="K28" s="67">
        <f>IF(J28&gt;0, ('BPV Calcs - T6'!$B$8/12)+(J28/(PI()*(('BPV Calcs - T6'!$B$8/12)^2))), "Need to Use Goal Seek tool")</f>
        <v>0.62826159466861031</v>
      </c>
      <c r="L28" s="75">
        <f t="shared" si="4"/>
        <v>7.5391391360233238</v>
      </c>
      <c r="M28" s="17"/>
    </row>
    <row r="29" spans="1:15">
      <c r="A29" s="79">
        <v>54.5</v>
      </c>
      <c r="B29" s="83">
        <v>615.96188219999999</v>
      </c>
      <c r="C29" s="81">
        <v>1.6237820161600001</v>
      </c>
      <c r="D29" s="82">
        <v>0.2407698072576</v>
      </c>
      <c r="E29" s="50"/>
      <c r="F29" s="74">
        <f t="shared" si="0"/>
        <v>0.16167862359020316</v>
      </c>
      <c r="G29" s="104">
        <f t="shared" si="1"/>
        <v>0.67783420448493126</v>
      </c>
      <c r="H29" s="104">
        <v>0.75119999999999998</v>
      </c>
      <c r="I29" s="67">
        <f t="shared" si="2"/>
        <v>0.12145298204096061</v>
      </c>
      <c r="J29" s="68">
        <f t="shared" si="3"/>
        <v>7.9846120423864908E-2</v>
      </c>
      <c r="K29" s="67">
        <f>IF(J29&gt;0, ('BPV Calcs - T6'!$B$8/12)+(J29/(PI()*(('BPV Calcs - T6'!$B$8/12)^2))), "Need to Use Goal Seek tool")</f>
        <v>0.6173305232622921</v>
      </c>
      <c r="L29" s="75">
        <f t="shared" si="4"/>
        <v>7.4079662791475052</v>
      </c>
      <c r="M29" s="17"/>
    </row>
    <row r="30" spans="1:15">
      <c r="A30" s="79">
        <v>55.4</v>
      </c>
      <c r="B30" s="83">
        <v>623.28049967999993</v>
      </c>
      <c r="C30" s="81">
        <v>1.6176544856000001</v>
      </c>
      <c r="D30" s="82">
        <v>0.24453885945439999</v>
      </c>
      <c r="E30" s="50"/>
      <c r="F30" s="74">
        <f t="shared" si="0"/>
        <v>0.15824415878499831</v>
      </c>
      <c r="G30" s="104">
        <f t="shared" si="1"/>
        <v>0.68029904688732323</v>
      </c>
      <c r="H30" s="104">
        <v>0.75119999999999998</v>
      </c>
      <c r="I30" s="67">
        <f t="shared" si="2"/>
        <v>0.11887301207929073</v>
      </c>
      <c r="J30" s="68">
        <f t="shared" si="3"/>
        <v>7.726615046219501E-2</v>
      </c>
      <c r="K30" s="67">
        <f>IF(J30&gt;0, ('BPV Calcs - T6'!$B$8/12)+(J30/(PI()*(('BPV Calcs - T6'!$B$8/12)^2))), "Need to Use Goal Seek tool")</f>
        <v>0.60613458365903794</v>
      </c>
      <c r="L30" s="75">
        <f t="shared" si="4"/>
        <v>7.2736150039084553</v>
      </c>
      <c r="M30" s="17"/>
    </row>
    <row r="31" spans="1:15">
      <c r="A31" s="79">
        <v>56.3</v>
      </c>
      <c r="B31" s="83">
        <v>630.66438426000002</v>
      </c>
      <c r="C31" s="81">
        <v>1.6114590438399998</v>
      </c>
      <c r="D31" s="82">
        <v>0.24838222590720002</v>
      </c>
      <c r="E31" s="50">
        <f t="shared" ref="E31:E35" si="5">D31/C31</f>
        <v>0.1541349914269752</v>
      </c>
      <c r="F31" s="74">
        <f t="shared" si="0"/>
        <v>0.15472342740825912</v>
      </c>
      <c r="G31" s="104">
        <f t="shared" si="1"/>
        <v>0.68280877959219222</v>
      </c>
      <c r="H31" s="104">
        <v>0.75119999999999998</v>
      </c>
      <c r="I31" s="67">
        <f t="shared" si="2"/>
        <v>0.11622823866908424</v>
      </c>
      <c r="J31" s="68">
        <f t="shared" si="3"/>
        <v>7.4621377051988541E-2</v>
      </c>
      <c r="K31" s="67">
        <f>IF(J31&gt;0, ('BPV Calcs - T6'!$B$8/12)+(J31/(PI()*(('BPV Calcs - T6'!$B$8/12)^2))), "Need to Use Goal Seek tool")</f>
        <v>0.59465742547313483</v>
      </c>
      <c r="L31" s="75">
        <f t="shared" si="4"/>
        <v>7.1358891056776184</v>
      </c>
      <c r="M31" s="17"/>
    </row>
    <row r="32" spans="1:15">
      <c r="A32" s="79">
        <v>57.2</v>
      </c>
      <c r="B32" s="83">
        <v>638.11353594000002</v>
      </c>
      <c r="C32" s="81">
        <v>1.60519375056</v>
      </c>
      <c r="D32" s="82">
        <v>0.25230250664479997</v>
      </c>
      <c r="E32" s="50">
        <f t="shared" si="5"/>
        <v>0.15717884931758538</v>
      </c>
      <c r="F32" s="74">
        <f t="shared" si="0"/>
        <v>0.15111237558371021</v>
      </c>
      <c r="G32" s="104">
        <f t="shared" si="1"/>
        <v>0.6853649627177969</v>
      </c>
      <c r="H32" s="104">
        <v>0.75119999999999998</v>
      </c>
      <c r="I32" s="67">
        <f t="shared" si="2"/>
        <v>0.11351561653848311</v>
      </c>
      <c r="J32" s="68">
        <f t="shared" si="3"/>
        <v>7.1908754921387402E-2</v>
      </c>
      <c r="K32" s="67">
        <f>IF(J32&gt;0, ('BPV Calcs - T6'!$B$8/12)+(J32/(PI()*(('BPV Calcs - T6'!$B$8/12)^2))), "Need to Use Goal Seek tool")</f>
        <v>0.58288583355855172</v>
      </c>
      <c r="L32" s="75">
        <f t="shared" si="4"/>
        <v>6.9946300027026211</v>
      </c>
      <c r="M32" s="17"/>
    </row>
    <row r="33" spans="1:14">
      <c r="A33" s="79">
        <v>58.1</v>
      </c>
      <c r="B33" s="83">
        <v>645.62795472000005</v>
      </c>
      <c r="C33" s="81">
        <v>1.5988547251199998</v>
      </c>
      <c r="D33" s="82">
        <v>0.25630243751839998</v>
      </c>
      <c r="E33" s="50">
        <f t="shared" si="5"/>
        <v>0.16030376837342966</v>
      </c>
      <c r="F33" s="74">
        <f t="shared" si="0"/>
        <v>0.14740549743822917</v>
      </c>
      <c r="G33" s="104">
        <f t="shared" si="1"/>
        <v>0.6879700272792022</v>
      </c>
      <c r="H33" s="104">
        <v>0.75119999999999998</v>
      </c>
      <c r="I33" s="67">
        <f t="shared" si="2"/>
        <v>0.11073100967559775</v>
      </c>
      <c r="J33" s="68">
        <f t="shared" si="3"/>
        <v>6.9124148058502033E-2</v>
      </c>
      <c r="K33" s="67">
        <f>IF(J33&gt;0, ('BPV Calcs - T6'!$B$8/12)+(J33/(PI()*(('BPV Calcs - T6'!$B$8/12)^2))), "Need to Use Goal Seek tool")</f>
        <v>0.57080185943526685</v>
      </c>
      <c r="L33" s="75">
        <f t="shared" si="4"/>
        <v>6.8496223132232021</v>
      </c>
      <c r="M33" s="17"/>
    </row>
    <row r="34" spans="1:14">
      <c r="A34" s="79">
        <v>59</v>
      </c>
      <c r="B34" s="83">
        <v>653.21054135999998</v>
      </c>
      <c r="C34" s="81">
        <v>1.5924400272000001</v>
      </c>
      <c r="D34" s="82">
        <v>0.26038490960479999</v>
      </c>
      <c r="E34" s="50">
        <f t="shared" si="5"/>
        <v>0.16351316542993261</v>
      </c>
      <c r="F34" s="74">
        <f t="shared" si="0"/>
        <v>0.14359823684454714</v>
      </c>
      <c r="G34" s="104">
        <f t="shared" si="1"/>
        <v>0.69062564007775507</v>
      </c>
      <c r="H34" s="104">
        <v>0.75119999999999998</v>
      </c>
      <c r="I34" s="67">
        <f t="shared" si="2"/>
        <v>0.10787099551762382</v>
      </c>
      <c r="J34" s="68">
        <f t="shared" si="3"/>
        <v>6.6264133900528099E-2</v>
      </c>
      <c r="K34" s="67">
        <f>IF(J34&gt;0, ('BPV Calcs - T6'!$B$8/12)+(J34/(PI()*(('BPV Calcs - T6'!$B$8/12)^2))), "Need to Use Goal Seek tool")</f>
        <v>0.55839065067979654</v>
      </c>
      <c r="L34" s="75">
        <f t="shared" si="4"/>
        <v>6.7006878081575589</v>
      </c>
      <c r="M34" s="17"/>
    </row>
    <row r="35" spans="1:14">
      <c r="A35" s="79">
        <v>59.9</v>
      </c>
      <c r="B35" s="83">
        <v>660.85839510000005</v>
      </c>
      <c r="C35" s="81">
        <v>1.58594577616</v>
      </c>
      <c r="D35" s="82">
        <v>0.26455302741599995</v>
      </c>
      <c r="E35" s="50">
        <f t="shared" si="5"/>
        <v>0.16681089063243623</v>
      </c>
      <c r="F35" s="74">
        <f t="shared" si="0"/>
        <v>0.13968451810509044</v>
      </c>
      <c r="G35" s="104">
        <f t="shared" si="1"/>
        <v>0.69333435489392103</v>
      </c>
      <c r="H35" s="104">
        <v>0.75119999999999998</v>
      </c>
      <c r="I35" s="67">
        <f t="shared" si="2"/>
        <v>0.10493101000054395</v>
      </c>
      <c r="J35" s="68">
        <f t="shared" si="3"/>
        <v>6.3324148383448242E-2</v>
      </c>
      <c r="K35" s="67">
        <f>IF(J35&gt;0, ('BPV Calcs - T6'!$B$8/12)+(J35/(PI()*(('BPV Calcs - T6'!$B$8/12)^2))), "Need to Use Goal Seek tool")</f>
        <v>0.54563240125337198</v>
      </c>
      <c r="L35" s="75">
        <f t="shared" si="4"/>
        <v>6.5475888150404637</v>
      </c>
      <c r="M35" s="17"/>
    </row>
    <row r="36" spans="1:14">
      <c r="A36" s="79">
        <v>60.8</v>
      </c>
      <c r="B36" s="83">
        <v>668.57586708000008</v>
      </c>
      <c r="C36" s="81">
        <v>1.5793700316800001</v>
      </c>
      <c r="D36" s="82">
        <v>0.2688100700928</v>
      </c>
      <c r="E36" s="50">
        <f t="shared" ref="E36:E46" si="6">D36/C36</f>
        <v>0.1702008172251202</v>
      </c>
      <c r="F36" s="74">
        <f t="shared" ref="F36:F52" si="7">(($C$53*(1-$O$11))+(D36*$O$11)-C36)/(D36-C36)</f>
        <v>0.13565919754385622</v>
      </c>
      <c r="G36" s="104">
        <f t="shared" si="1"/>
        <v>0.69609795392828255</v>
      </c>
      <c r="H36" s="104">
        <v>0.75119999999999998</v>
      </c>
      <c r="I36" s="67">
        <f t="shared" si="2"/>
        <v>0.10190718919494479</v>
      </c>
      <c r="J36" s="68">
        <f t="shared" si="3"/>
        <v>6.0300327577849082E-2</v>
      </c>
      <c r="K36" s="67">
        <f>IF(J36&gt;0, ('BPV Calcs - T6'!$B$8/12)+(J36/(PI()*(('BPV Calcs - T6'!$B$8/12)^2))), "Need to Use Goal Seek tool")</f>
        <v>0.53251034339474523</v>
      </c>
      <c r="L36" s="75">
        <f t="shared" si="4"/>
        <v>6.3901241207369424</v>
      </c>
      <c r="M36" s="17"/>
    </row>
    <row r="37" spans="1:14">
      <c r="A37" s="79">
        <v>61.7</v>
      </c>
      <c r="B37" s="83">
        <v>676.36005653999996</v>
      </c>
      <c r="C37" s="81">
        <v>1.5727089131200001</v>
      </c>
      <c r="D37" s="82">
        <v>0.27315953021120004</v>
      </c>
      <c r="E37" s="50">
        <f t="shared" si="6"/>
        <v>0.17368727800321021</v>
      </c>
      <c r="F37" s="74">
        <f t="shared" si="7"/>
        <v>0.13151552638465669</v>
      </c>
      <c r="G37" s="104">
        <f t="shared" si="1"/>
        <v>0.69891912539950762</v>
      </c>
      <c r="H37" s="104">
        <v>0.75119999999999998</v>
      </c>
      <c r="I37" s="67">
        <f t="shared" si="2"/>
        <v>9.8794463420154105E-2</v>
      </c>
      <c r="J37" s="68">
        <f t="shared" si="3"/>
        <v>5.7187601803058395E-2</v>
      </c>
      <c r="K37" s="67">
        <f>IF(J37&gt;0, ('BPV Calcs - T6'!$B$8/12)+(J37/(PI()*(('BPV Calcs - T6'!$B$8/12)^2))), "Need to Use Goal Seek tool")</f>
        <v>0.51900247691032608</v>
      </c>
      <c r="L37" s="75">
        <f t="shared" si="4"/>
        <v>6.228029722923913</v>
      </c>
      <c r="M37" s="17"/>
    </row>
    <row r="38" spans="1:14">
      <c r="A38" s="79">
        <v>62.6</v>
      </c>
      <c r="B38" s="83">
        <v>684.21241385999997</v>
      </c>
      <c r="C38" s="81">
        <v>1.56595853984</v>
      </c>
      <c r="D38" s="82">
        <v>0.27760515258880003</v>
      </c>
      <c r="E38" s="50">
        <f t="shared" si="6"/>
        <v>0.17727490576932134</v>
      </c>
      <c r="F38" s="74">
        <f t="shared" si="7"/>
        <v>0.12724635055836772</v>
      </c>
      <c r="G38" s="104">
        <f t="shared" si="1"/>
        <v>0.70180063884972277</v>
      </c>
      <c r="H38" s="104">
        <v>0.75119999999999998</v>
      </c>
      <c r="I38" s="67">
        <f t="shared" si="2"/>
        <v>9.5587458539445835E-2</v>
      </c>
      <c r="J38" s="68">
        <f t="shared" si="3"/>
        <v>5.3980596922350126E-2</v>
      </c>
      <c r="K38" s="67">
        <f>IF(J38&gt;0, ('BPV Calcs - T6'!$B$8/12)+(J38/(PI()*(('BPV Calcs - T6'!$B$8/12)^2))), "Need to Use Goal Seek tool")</f>
        <v>0.50508548040060286</v>
      </c>
      <c r="L38" s="75">
        <f t="shared" si="4"/>
        <v>6.0610257648072343</v>
      </c>
      <c r="M38" s="50"/>
    </row>
    <row r="39" spans="1:14">
      <c r="A39" s="79">
        <v>63.5</v>
      </c>
      <c r="B39" s="83">
        <v>692.13438942000005</v>
      </c>
      <c r="C39" s="81">
        <v>1.5591150311999999</v>
      </c>
      <c r="D39" s="82">
        <v>0.28215091488159999</v>
      </c>
      <c r="E39" s="50">
        <f t="shared" si="6"/>
        <v>0.1809686323557779</v>
      </c>
      <c r="F39" s="74">
        <f t="shared" si="7"/>
        <v>0.12284407055606952</v>
      </c>
      <c r="G39" s="104">
        <f t="shared" si="1"/>
        <v>0.70474534997414762</v>
      </c>
      <c r="H39" s="104">
        <v>0.75119999999999998</v>
      </c>
      <c r="I39" s="67">
        <f t="shared" si="2"/>
        <v>9.2280465801719419E-2</v>
      </c>
      <c r="J39" s="68">
        <f t="shared" si="3"/>
        <v>5.0673604184623709E-2</v>
      </c>
      <c r="K39" s="67">
        <f>IF(J39&gt;0, ('BPV Calcs - T6'!$B$8/12)+(J39/(PI()*(('BPV Calcs - T6'!$B$8/12)^2))), "Need to Use Goal Seek tool")</f>
        <v>0.49073458038623985</v>
      </c>
      <c r="L39" s="75">
        <f t="shared" si="4"/>
        <v>5.8888149646348786</v>
      </c>
      <c r="M39" s="50"/>
    </row>
    <row r="40" spans="1:14">
      <c r="A40" s="79">
        <v>64.400000000000006</v>
      </c>
      <c r="B40" s="83">
        <v>700.12743360000002</v>
      </c>
      <c r="C40" s="81">
        <v>1.5521764468799999</v>
      </c>
      <c r="D40" s="82">
        <v>0.28680106639039998</v>
      </c>
      <c r="E40" s="50">
        <f t="shared" si="6"/>
        <v>0.18477349464160039</v>
      </c>
      <c r="F40" s="74">
        <f t="shared" si="7"/>
        <v>0.11830195246032517</v>
      </c>
      <c r="G40" s="104">
        <f t="shared" si="1"/>
        <v>0.70775532817306941</v>
      </c>
      <c r="H40" s="104">
        <v>0.75119999999999998</v>
      </c>
      <c r="I40" s="67">
        <f t="shared" si="2"/>
        <v>8.8868426688196264E-2</v>
      </c>
      <c r="J40" s="68">
        <f t="shared" si="3"/>
        <v>4.7261565071100554E-2</v>
      </c>
      <c r="K40" s="67">
        <f>IF(J40&gt;0, ('BPV Calcs - T6'!$B$8/12)+(J40/(PI()*(('BPV Calcs - T6'!$B$8/12)^2))), "Need to Use Goal Seek tool")</f>
        <v>0.4759278251113761</v>
      </c>
      <c r="L40" s="75">
        <f t="shared" si="4"/>
        <v>5.7111339013365132</v>
      </c>
      <c r="M40" s="50"/>
    </row>
    <row r="41" spans="1:14">
      <c r="A41" s="79">
        <v>65.3</v>
      </c>
      <c r="B41" s="83">
        <v>708.18864564</v>
      </c>
      <c r="C41" s="81">
        <v>1.5451350256</v>
      </c>
      <c r="D41" s="82">
        <v>0.29156020567359997</v>
      </c>
      <c r="E41" s="50">
        <f t="shared" si="6"/>
        <v>0.18869561613903782</v>
      </c>
      <c r="F41" s="74">
        <f t="shared" si="7"/>
        <v>0.11360869538792116</v>
      </c>
      <c r="G41" s="104">
        <f t="shared" si="1"/>
        <v>0.71083535690346122</v>
      </c>
      <c r="H41" s="104">
        <v>0.75119999999999998</v>
      </c>
      <c r="I41" s="67">
        <f t="shared" si="2"/>
        <v>8.5342851975406378E-2</v>
      </c>
      <c r="J41" s="68">
        <f t="shared" si="3"/>
        <v>4.3735990358310668E-2</v>
      </c>
      <c r="K41" s="67">
        <f>IF(J41&gt;0, ('BPV Calcs - T6'!$B$8/12)+(J41/(PI()*(('BPV Calcs - T6'!$B$8/12)^2))), "Need to Use Goal Seek tool")</f>
        <v>0.46062837506444343</v>
      </c>
      <c r="L41" s="75">
        <f t="shared" si="4"/>
        <v>5.5275405007733216</v>
      </c>
      <c r="M41" s="50"/>
    </row>
    <row r="42" spans="1:14">
      <c r="A42" s="79">
        <v>66.2</v>
      </c>
      <c r="B42" s="83">
        <v>716.32237667999993</v>
      </c>
      <c r="C42" s="81">
        <v>1.5379868867199999</v>
      </c>
      <c r="D42" s="82">
        <v>0.29643326114399998</v>
      </c>
      <c r="E42" s="50">
        <f t="shared" si="6"/>
        <v>0.19274108492315611</v>
      </c>
      <c r="F42" s="74">
        <f t="shared" si="7"/>
        <v>0.10875503516557621</v>
      </c>
      <c r="G42" s="104">
        <f t="shared" si="1"/>
        <v>0.71398859650382374</v>
      </c>
      <c r="H42" s="104">
        <v>0.75119999999999998</v>
      </c>
      <c r="I42" s="67">
        <f t="shared" si="2"/>
        <v>8.1696782416380842E-2</v>
      </c>
      <c r="J42" s="68">
        <f t="shared" si="3"/>
        <v>4.0089920799285132E-2</v>
      </c>
      <c r="K42" s="67">
        <f>IF(J42&gt;0, ('BPV Calcs - T6'!$B$8/12)+(J42/(PI()*(('BPV Calcs - T6'!$B$8/12)^2))), "Need to Use Goal Seek tool")</f>
        <v>0.44480603016175646</v>
      </c>
      <c r="L42" s="75">
        <f t="shared" si="4"/>
        <v>5.3376723619410775</v>
      </c>
      <c r="M42" s="184" t="s">
        <v>53</v>
      </c>
    </row>
    <row r="43" spans="1:14">
      <c r="A43" s="79">
        <v>67.099999999999994</v>
      </c>
      <c r="B43" s="83">
        <v>724.52862672000003</v>
      </c>
      <c r="C43" s="81">
        <v>1.5307281495999998</v>
      </c>
      <c r="D43" s="82">
        <v>0.301425510472</v>
      </c>
      <c r="E43" s="50">
        <f t="shared" si="6"/>
        <v>0.19691642212940724</v>
      </c>
      <c r="F43" s="74">
        <f t="shared" si="7"/>
        <v>0.10373105414751235</v>
      </c>
      <c r="G43" s="104">
        <f t="shared" si="1"/>
        <v>0.71721831251840096</v>
      </c>
      <c r="H43" s="104">
        <v>0.75119999999999998</v>
      </c>
      <c r="I43" s="67">
        <f t="shared" si="2"/>
        <v>7.7922767875611282E-2</v>
      </c>
      <c r="J43" s="68">
        <f t="shared" si="3"/>
        <v>3.6315906258515572E-2</v>
      </c>
      <c r="K43" s="67">
        <f>IF(J43&gt;0, ('BPV Calcs - T6'!$B$8/12)+(J43/(PI()*(('BPV Calcs - T6'!$B$8/12)^2))), "Need to Use Goal Seek tool")</f>
        <v>0.42842846007837854</v>
      </c>
      <c r="L43" s="75">
        <f t="shared" si="4"/>
        <v>5.1411415209405424</v>
      </c>
      <c r="M43" s="184"/>
    </row>
    <row r="44" spans="1:14">
      <c r="A44" s="79">
        <v>68</v>
      </c>
      <c r="B44" s="83">
        <v>732.80594538000003</v>
      </c>
      <c r="C44" s="81">
        <v>1.5233529932800001</v>
      </c>
      <c r="D44" s="82">
        <v>0.30654265819839999</v>
      </c>
      <c r="E44" s="50">
        <f t="shared" si="6"/>
        <v>0.20122890725305181</v>
      </c>
      <c r="F44" s="74">
        <f t="shared" si="7"/>
        <v>9.8524676739129582E-2</v>
      </c>
      <c r="G44" s="104">
        <f t="shared" si="1"/>
        <v>0.72052878800952913</v>
      </c>
      <c r="H44" s="104">
        <v>0.75119999999999998</v>
      </c>
      <c r="I44" s="67">
        <f t="shared" si="2"/>
        <v>7.4011737166434138E-2</v>
      </c>
      <c r="J44" s="68">
        <f t="shared" si="3"/>
        <v>3.2404875549338429E-2</v>
      </c>
      <c r="K44" s="67">
        <f>IF(J44&gt;0, ('BPV Calcs - T6'!$B$8/12)+(J44/(PI()*(('BPV Calcs - T6'!$B$8/12)^2))), "Need to Use Goal Seek tool")</f>
        <v>0.41145629983738197</v>
      </c>
      <c r="L44" s="75">
        <f t="shared" si="4"/>
        <v>4.937475598048584</v>
      </c>
      <c r="M44" s="50" t="s">
        <v>50</v>
      </c>
    </row>
    <row r="45" spans="1:14">
      <c r="A45" s="79">
        <v>68.900000000000006</v>
      </c>
      <c r="B45" s="83">
        <v>741.15723342000001</v>
      </c>
      <c r="C45" s="81">
        <v>1.51585365648</v>
      </c>
      <c r="D45" s="82">
        <v>0.31179093275039999</v>
      </c>
      <c r="E45" s="50">
        <f t="shared" si="6"/>
        <v>0.20568669766870315</v>
      </c>
      <c r="F45" s="74">
        <f t="shared" si="7"/>
        <v>9.3121472975959893E-2</v>
      </c>
      <c r="G45" s="104">
        <f t="shared" si="1"/>
        <v>0.72392537045742922</v>
      </c>
      <c r="H45" s="104">
        <v>0.75119999999999998</v>
      </c>
      <c r="I45" s="67">
        <f t="shared" si="2"/>
        <v>6.9952850499541072E-2</v>
      </c>
      <c r="J45" s="68">
        <f t="shared" si="3"/>
        <v>2.8345988882445362E-2</v>
      </c>
      <c r="K45" s="100">
        <v>0.24687064833561331</v>
      </c>
      <c r="L45" s="76">
        <f t="shared" si="4"/>
        <v>2.9624477800273596</v>
      </c>
      <c r="M45" s="50">
        <f>((1/3)*PI()*(K45^2)*((3*('BPV Calcs - T6'!$B$8/12))-K45))-I45</f>
        <v>-3.3853493114861223E-2</v>
      </c>
    </row>
    <row r="46" spans="1:14">
      <c r="A46" s="79">
        <v>69.8</v>
      </c>
      <c r="B46" s="83">
        <v>749.58104045999994</v>
      </c>
      <c r="C46" s="81">
        <v>1.5082262585599999</v>
      </c>
      <c r="D46" s="82">
        <v>0.31717698942559996</v>
      </c>
      <c r="E46" s="50">
        <f t="shared" si="6"/>
        <v>0.21029801571577802</v>
      </c>
      <c r="F46" s="74">
        <f t="shared" si="7"/>
        <v>8.7508885095185257E-2</v>
      </c>
      <c r="G46" s="104">
        <f t="shared" si="1"/>
        <v>0.72741175116300716</v>
      </c>
      <c r="H46" s="104">
        <v>0.75119999999999998</v>
      </c>
      <c r="I46" s="67">
        <f t="shared" si="2"/>
        <v>6.5736674483503163E-2</v>
      </c>
      <c r="J46" s="68">
        <f t="shared" si="3"/>
        <v>2.4129812866407453E-2</v>
      </c>
      <c r="K46" s="100">
        <v>0.22573990311305595</v>
      </c>
      <c r="L46" s="76">
        <f t="shared" si="4"/>
        <v>2.7088788373566715</v>
      </c>
      <c r="M46" s="50">
        <f>((1/3)*PI()*(K46^2)*((3*('BPV Calcs - T6'!$B$8/12))-K46))-I46</f>
        <v>-3.4425031376727561E-2</v>
      </c>
    </row>
    <row r="47" spans="1:14">
      <c r="A47" s="84">
        <v>70</v>
      </c>
      <c r="B47" s="85">
        <f>B46+(((B48-B46)/($A$48-$A$46))*($A$47-$A$46))</f>
        <v>751.46975752666663</v>
      </c>
      <c r="C47" s="86">
        <f>C46+(((C48-C46)/($A$48-$A$46))*($A$47-$A$46))</f>
        <v>1.5065010984888887</v>
      </c>
      <c r="D47" s="87">
        <f>D46+(((D48-D46)/($A$48-$A$46))*($A$47-$A$46))</f>
        <v>0.31840613902737774</v>
      </c>
      <c r="E47" s="47">
        <f t="shared" ref="E47:E52" si="8">D47/C47</f>
        <v>0.21135473405678779</v>
      </c>
      <c r="F47" s="74">
        <f t="shared" si="7"/>
        <v>8.6222717526397333E-2</v>
      </c>
      <c r="G47" s="104">
        <f t="shared" si="1"/>
        <v>0.72820468504700364</v>
      </c>
      <c r="H47" s="104">
        <v>0.75119999999999998</v>
      </c>
      <c r="I47" s="67">
        <f t="shared" si="2"/>
        <v>6.4770505405829681E-2</v>
      </c>
      <c r="J47" s="69">
        <f t="shared" si="3"/>
        <v>2.3163643788733972E-2</v>
      </c>
      <c r="K47" s="101">
        <v>0.22082528187997902</v>
      </c>
      <c r="L47" s="76">
        <f t="shared" si="4"/>
        <v>2.6499033825597484</v>
      </c>
      <c r="M47" s="50">
        <f>((1/3)*PI()*(K47^2)*((3*('BPV Calcs - T6'!$B$8/12))-K47))-I47</f>
        <v>-3.4556436349633679E-2</v>
      </c>
      <c r="N47" s="49"/>
    </row>
    <row r="48" spans="1:14">
      <c r="A48" s="79">
        <v>70.7</v>
      </c>
      <c r="B48" s="83">
        <v>758.08026725999991</v>
      </c>
      <c r="C48" s="81">
        <v>1.5004630382399999</v>
      </c>
      <c r="D48" s="82">
        <v>0.32270816263359997</v>
      </c>
      <c r="E48" s="50">
        <f t="shared" si="8"/>
        <v>0.21507238393031486</v>
      </c>
      <c r="F48" s="74">
        <f t="shared" si="7"/>
        <v>8.1670317522957905E-2</v>
      </c>
      <c r="G48" s="104">
        <f t="shared" si="1"/>
        <v>0.73099361941757379</v>
      </c>
      <c r="H48" s="104">
        <v>0.75119999999999998</v>
      </c>
      <c r="I48" s="67">
        <f t="shared" si="2"/>
        <v>6.1350742523245974E-2</v>
      </c>
      <c r="J48" s="68">
        <f t="shared" si="3"/>
        <v>1.9743880906150264E-2</v>
      </c>
      <c r="K48" s="100">
        <v>0.20311497711219526</v>
      </c>
      <c r="L48" s="76">
        <f t="shared" si="4"/>
        <v>2.437379725346343</v>
      </c>
      <c r="M48" s="50">
        <f>((1/3)*PI()*(K48^2)*((3*('BPV Calcs - T6'!$B$8/12))-K48))-I48</f>
        <v>-3.5023565685665392E-2</v>
      </c>
    </row>
    <row r="49" spans="1:14">
      <c r="A49" s="79">
        <v>71.599999999999994</v>
      </c>
      <c r="B49" s="83">
        <v>766.65491381999993</v>
      </c>
      <c r="C49" s="81">
        <v>1.4925542939199998</v>
      </c>
      <c r="D49" s="82">
        <v>0.32839236888000001</v>
      </c>
      <c r="E49" s="50">
        <f t="shared" si="8"/>
        <v>0.22002038399388482</v>
      </c>
      <c r="F49" s="74">
        <f t="shared" si="7"/>
        <v>7.5586272089806575E-2</v>
      </c>
      <c r="G49" s="104">
        <f t="shared" si="1"/>
        <v>0.73467782315964236</v>
      </c>
      <c r="H49" s="104">
        <v>0.75119999999999998</v>
      </c>
      <c r="I49" s="67">
        <f t="shared" si="2"/>
        <v>5.67804075938627E-2</v>
      </c>
      <c r="J49" s="68">
        <f t="shared" si="3"/>
        <v>1.517354597676699E-2</v>
      </c>
      <c r="K49" s="100">
        <v>0.17870440324472858</v>
      </c>
      <c r="L49" s="76">
        <f t="shared" si="4"/>
        <v>2.144452838936743</v>
      </c>
      <c r="M49" s="50">
        <f>((1/3)*PI()*(K49^2)*((3*('BPV Calcs - T6'!$B$8/12))-K49))-I49</f>
        <v>-3.5584679345422088E-2</v>
      </c>
    </row>
    <row r="50" spans="1:14">
      <c r="A50" s="79">
        <v>72.5</v>
      </c>
      <c r="B50" s="83">
        <v>775.30498014</v>
      </c>
      <c r="C50" s="81">
        <v>1.48449226432</v>
      </c>
      <c r="D50" s="82">
        <v>0.33423830079839995</v>
      </c>
      <c r="E50" s="50">
        <f t="shared" si="8"/>
        <v>0.2251532788899403</v>
      </c>
      <c r="F50" s="74">
        <f t="shared" si="7"/>
        <v>6.9237174008877994E-2</v>
      </c>
      <c r="G50" s="104">
        <f t="shared" si="1"/>
        <v>0.73847051994419055</v>
      </c>
      <c r="H50" s="104">
        <v>0.75119999999999998</v>
      </c>
      <c r="I50" s="67">
        <f t="shared" si="2"/>
        <v>5.2010965115469147E-2</v>
      </c>
      <c r="J50" s="68">
        <f t="shared" si="3"/>
        <v>1.0404103498373438E-2</v>
      </c>
      <c r="K50" s="100">
        <v>0.14877637433762442</v>
      </c>
      <c r="L50" s="76">
        <f t="shared" si="4"/>
        <v>1.785316492051493</v>
      </c>
      <c r="M50" s="50">
        <f>((1/3)*PI()*(K50^2)*((3*('BPV Calcs - T6'!$B$8/12))-K50))-I50</f>
        <v>-3.662644916270065E-2</v>
      </c>
    </row>
    <row r="51" spans="1:14">
      <c r="A51" s="79">
        <v>73.400000000000006</v>
      </c>
      <c r="B51" s="83">
        <v>784.03191660000005</v>
      </c>
      <c r="C51" s="81">
        <v>1.4762691881599999</v>
      </c>
      <c r="D51" s="82">
        <v>0.34025552416639998</v>
      </c>
      <c r="E51" s="50">
        <f t="shared" si="8"/>
        <v>0.2304833880536987</v>
      </c>
      <c r="F51" s="74">
        <f t="shared" si="7"/>
        <v>6.2601708722710397E-2</v>
      </c>
      <c r="G51" s="104">
        <f t="shared" si="1"/>
        <v>0.74237810735328269</v>
      </c>
      <c r="H51" s="104">
        <v>0.75119999999999998</v>
      </c>
      <c r="I51" s="67">
        <f t="shared" si="2"/>
        <v>4.702640359250005E-2</v>
      </c>
      <c r="J51" s="68">
        <f t="shared" si="3"/>
        <v>5.4195419754043406E-3</v>
      </c>
      <c r="K51" s="100">
        <v>0.11973998427717275</v>
      </c>
      <c r="L51" s="76">
        <f t="shared" si="4"/>
        <v>1.436879811326073</v>
      </c>
      <c r="M51" s="50">
        <f>((1/3)*PI()*(K51^2)*((3*('BPV Calcs - T6'!$B$8/12))-K51))-I51</f>
        <v>-3.662505084928188E-2</v>
      </c>
    </row>
    <row r="52" spans="1:14">
      <c r="A52" s="79">
        <v>74.3</v>
      </c>
      <c r="B52" s="83">
        <v>792.83572320000007</v>
      </c>
      <c r="C52" s="81">
        <v>1.4678734235199999</v>
      </c>
      <c r="D52" s="82">
        <v>0.34645449730880001</v>
      </c>
      <c r="E52" s="50">
        <f t="shared" si="8"/>
        <v>0.23602477690344226</v>
      </c>
      <c r="F52" s="74">
        <f t="shared" si="7"/>
        <v>5.5653317188150059E-2</v>
      </c>
      <c r="G52" s="104">
        <f t="shared" si="1"/>
        <v>0.7464091890835437</v>
      </c>
      <c r="H52" s="104">
        <v>0.75119999999999998</v>
      </c>
      <c r="I52" s="67">
        <f t="shared" si="2"/>
        <v>4.180677187173832E-2</v>
      </c>
      <c r="J52" s="68">
        <f t="shared" si="3"/>
        <v>1.9991025464261014E-4</v>
      </c>
      <c r="K52" s="100">
        <v>7.5494467975184554E-2</v>
      </c>
      <c r="L52" s="76">
        <f t="shared" si="4"/>
        <v>0.90593361570221465</v>
      </c>
      <c r="M52" s="50">
        <f>((1/3)*PI()*(K52^2)*((3*('BPV Calcs - T6'!$B$8/12))-K52))-I52</f>
        <v>-3.7408018391000608E-2</v>
      </c>
    </row>
    <row r="53" spans="1:14" ht="15.75" thickBot="1">
      <c r="A53" s="84">
        <v>75</v>
      </c>
      <c r="B53" s="85">
        <f>B52+(((B54-B52)/($A$54-$A$52))*($A$53-$A$52))</f>
        <v>799.74517236666668</v>
      </c>
      <c r="C53" s="86">
        <f t="shared" ref="C53:D53" si="9">C52+(((C54-C52)/($A$54-$A$52))*($A$53-$A$52))</f>
        <v>1.4612000162666667</v>
      </c>
      <c r="D53" s="87">
        <f t="shared" si="9"/>
        <v>0.35142632153493331</v>
      </c>
      <c r="E53" s="47">
        <f>D53/C53</f>
        <v>0.24050528170183003</v>
      </c>
      <c r="F53" s="168">
        <f>(($C$53*(1-$O$11))+(D53*$O$11)-C53)/(D53-C53)</f>
        <v>5.0000000000000072E-2</v>
      </c>
      <c r="G53" s="169">
        <f t="shared" si="1"/>
        <v>0.74964348548931559</v>
      </c>
      <c r="H53" s="169">
        <v>0.75119999999999998</v>
      </c>
      <c r="I53" s="170">
        <f t="shared" si="2"/>
        <v>3.7560000000000052E-2</v>
      </c>
      <c r="J53" s="77">
        <f t="shared" si="3"/>
        <v>-4.0468616170956581E-3</v>
      </c>
      <c r="K53" s="102">
        <v>0</v>
      </c>
      <c r="L53" s="78">
        <f t="shared" si="4"/>
        <v>0</v>
      </c>
      <c r="M53" s="50">
        <f>((1/3)*PI()*(K53^2)*((3*('BPV Calcs - T6'!$B$8/12))-K53))-I53</f>
        <v>-3.7560000000000052E-2</v>
      </c>
      <c r="N53" s="40"/>
    </row>
    <row r="54" spans="1:14" ht="15.75" thickBot="1">
      <c r="A54" s="79">
        <v>75.2</v>
      </c>
      <c r="B54" s="83">
        <v>801.71930069999996</v>
      </c>
      <c r="C54" s="81">
        <v>1.45929332848</v>
      </c>
      <c r="D54" s="82">
        <v>0.35284684274239997</v>
      </c>
      <c r="E54" s="50"/>
      <c r="F54" s="17"/>
      <c r="G54" s="38"/>
      <c r="H54" s="38"/>
      <c r="I54" s="38">
        <f>H53*O11</f>
        <v>3.7560000000000003E-2</v>
      </c>
      <c r="J54" s="17">
        <f t="shared" si="3"/>
        <v>-4.0468616170957067E-3</v>
      </c>
      <c r="K54" s="50"/>
      <c r="L54" s="50"/>
      <c r="M54" s="17"/>
    </row>
    <row r="55" spans="1:14">
      <c r="A55" s="79">
        <v>76.099999999999994</v>
      </c>
      <c r="B55" s="83">
        <v>810.68264910000005</v>
      </c>
      <c r="C55" s="81">
        <v>1.4505153208000001</v>
      </c>
      <c r="D55" s="82">
        <v>0.35944542478879998</v>
      </c>
      <c r="E55" s="50"/>
      <c r="F55" s="70" t="s">
        <v>43</v>
      </c>
      <c r="G55" s="105">
        <f>(2/3)*PI()*(('BPV Calcs - T6'!B8/12)^3)</f>
        <v>4.160686161709571E-2</v>
      </c>
      <c r="H55" s="38"/>
      <c r="I55" s="17"/>
      <c r="K55" s="50"/>
      <c r="L55" s="50"/>
      <c r="M55" s="17"/>
    </row>
    <row r="56" spans="1:14">
      <c r="A56" s="79">
        <v>77</v>
      </c>
      <c r="B56" s="83">
        <v>819.72576839999999</v>
      </c>
      <c r="C56" s="81">
        <v>1.4415277585599999</v>
      </c>
      <c r="D56" s="82">
        <v>0.36626458241279997</v>
      </c>
      <c r="E56" s="50"/>
      <c r="F56" s="71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</row>
    <row r="57" spans="1:14">
      <c r="A57" s="79">
        <v>77.900000000000006</v>
      </c>
      <c r="B57" s="83">
        <v>828.85010898000007</v>
      </c>
      <c r="C57" s="81">
        <v>1.4323131788799999</v>
      </c>
      <c r="D57" s="82">
        <v>0.37332036206079999</v>
      </c>
      <c r="E57" s="50"/>
      <c r="F57" s="71" t="s">
        <v>44</v>
      </c>
      <c r="G57" s="38">
        <f>34.8/12</f>
        <v>2.9</v>
      </c>
      <c r="H57" s="38"/>
      <c r="I57" s="38"/>
      <c r="J57" s="17"/>
      <c r="K57" s="17"/>
      <c r="L57" s="17"/>
      <c r="M57" s="17"/>
    </row>
    <row r="58" spans="1:14" ht="15.75" thickBot="1">
      <c r="A58" s="79">
        <v>78.8</v>
      </c>
      <c r="B58" s="83">
        <v>838.05712122</v>
      </c>
      <c r="C58" s="81">
        <v>1.4228541188799999</v>
      </c>
      <c r="D58" s="82">
        <v>0.38063080870880001</v>
      </c>
      <c r="E58" s="50"/>
      <c r="F58" s="72" t="s">
        <v>46</v>
      </c>
      <c r="G58" s="106">
        <f>G57+(2*'BPV Calcs - T6'!B8/12)</f>
        <v>3.4416666666666664</v>
      </c>
      <c r="H58" s="38"/>
      <c r="I58" s="38"/>
      <c r="J58" s="17"/>
      <c r="K58" s="17"/>
      <c r="L58" s="17"/>
      <c r="M58" s="17"/>
    </row>
    <row r="59" spans="1:14">
      <c r="A59" s="79">
        <v>79.7</v>
      </c>
      <c r="B59" s="83">
        <v>847.34825549999994</v>
      </c>
      <c r="C59" s="81">
        <v>1.41312923504</v>
      </c>
      <c r="D59" s="82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</row>
    <row r="60" spans="1:14">
      <c r="A60" s="79">
        <v>80.599999999999994</v>
      </c>
      <c r="B60" s="83">
        <v>856.72351182</v>
      </c>
      <c r="C60" s="81">
        <v>1.4031171838399998</v>
      </c>
      <c r="D60" s="82">
        <v>0.3961002815536</v>
      </c>
      <c r="E60" s="50"/>
      <c r="F60" s="185"/>
      <c r="G60" s="185"/>
      <c r="H60" s="143"/>
      <c r="I60" s="38"/>
      <c r="J60" s="17"/>
      <c r="K60" s="17"/>
      <c r="L60" s="17"/>
      <c r="M60" s="17"/>
    </row>
    <row r="61" spans="1:14">
      <c r="A61" s="79">
        <v>81.5</v>
      </c>
      <c r="B61" s="83">
        <v>866.18579093999995</v>
      </c>
      <c r="C61" s="81">
        <v>1.3927888604799998</v>
      </c>
      <c r="D61" s="82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</row>
    <row r="62" spans="1:14">
      <c r="A62" s="79">
        <v>82.4</v>
      </c>
      <c r="B62" s="83">
        <v>875.73364248000007</v>
      </c>
      <c r="C62" s="81">
        <v>1.3821171004799999</v>
      </c>
      <c r="D62" s="82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</row>
    <row r="63" spans="1:14">
      <c r="A63" s="79">
        <v>83.3</v>
      </c>
      <c r="B63" s="83">
        <v>885.37141757999996</v>
      </c>
      <c r="C63" s="81">
        <v>1.37106309744</v>
      </c>
      <c r="D63" s="82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</row>
    <row r="64" spans="1:14">
      <c r="A64" s="79">
        <v>84.2</v>
      </c>
      <c r="B64" s="83">
        <v>895.10056662</v>
      </c>
      <c r="C64" s="81">
        <v>1.35958416432</v>
      </c>
      <c r="D64" s="82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</row>
    <row r="65" spans="1:14">
      <c r="A65" s="79">
        <v>85.1</v>
      </c>
      <c r="B65" s="83">
        <v>904.91963922000002</v>
      </c>
      <c r="C65" s="81">
        <v>1.3476317931200001</v>
      </c>
      <c r="D65" s="82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</row>
    <row r="66" spans="1:14">
      <c r="A66" s="79">
        <v>86</v>
      </c>
      <c r="B66" s="83">
        <v>914.83443690000001</v>
      </c>
      <c r="C66" s="81">
        <v>1.33514583392</v>
      </c>
      <c r="D66" s="82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</row>
    <row r="67" spans="1:14">
      <c r="A67" s="79">
        <v>86.9</v>
      </c>
      <c r="B67" s="83">
        <v>924.84350928000003</v>
      </c>
      <c r="C67" s="81">
        <v>1.3220506142399999</v>
      </c>
      <c r="D67" s="82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</row>
    <row r="68" spans="1:14">
      <c r="A68" s="79">
        <v>87.8</v>
      </c>
      <c r="B68" s="83">
        <v>934.95120750000012</v>
      </c>
      <c r="C68" s="81">
        <v>1.30825687936</v>
      </c>
      <c r="D68" s="82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</row>
    <row r="69" spans="1:14">
      <c r="A69" s="79">
        <v>88.7</v>
      </c>
      <c r="B69" s="83">
        <v>945.16043231999993</v>
      </c>
      <c r="C69" s="81">
        <v>1.29364626976</v>
      </c>
      <c r="D69" s="82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</row>
    <row r="70" spans="1:14">
      <c r="A70" s="79">
        <v>89.6</v>
      </c>
      <c r="B70" s="83">
        <v>955.47118374000013</v>
      </c>
      <c r="C70" s="81">
        <v>1.2780693808000001</v>
      </c>
      <c r="D70" s="82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</row>
    <row r="71" spans="1:14">
      <c r="A71" s="79">
        <v>90.5</v>
      </c>
      <c r="B71" s="83">
        <v>965.88781289999997</v>
      </c>
      <c r="C71" s="81">
        <v>1.2613302401599999</v>
      </c>
      <c r="D71" s="82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</row>
    <row r="72" spans="1:14">
      <c r="A72" s="79">
        <v>91.4</v>
      </c>
      <c r="B72" s="83">
        <v>976.41612132</v>
      </c>
      <c r="C72" s="81">
        <v>1.24315138208</v>
      </c>
      <c r="D72" s="82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</row>
    <row r="73" spans="1:14">
      <c r="A73" s="79">
        <v>92.3</v>
      </c>
      <c r="B73" s="83">
        <v>987.05610900000011</v>
      </c>
      <c r="C73" s="81">
        <v>1.2231428022399999</v>
      </c>
      <c r="D73" s="82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</row>
    <row r="74" spans="1:14">
      <c r="A74" s="79">
        <v>93.2</v>
      </c>
      <c r="B74" s="83">
        <v>997.81792859999996</v>
      </c>
      <c r="C74" s="81">
        <v>1.20071076272</v>
      </c>
      <c r="D74" s="82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</row>
    <row r="75" spans="1:14">
      <c r="A75" s="79">
        <v>94.1</v>
      </c>
      <c r="B75" s="83">
        <v>1008.70448088</v>
      </c>
      <c r="C75" s="81">
        <v>1.1748812228800001</v>
      </c>
      <c r="D75" s="82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</row>
    <row r="76" spans="1:14">
      <c r="A76" s="79">
        <v>95</v>
      </c>
      <c r="B76" s="83">
        <v>1019.7259185</v>
      </c>
      <c r="C76" s="81">
        <v>1.143867148</v>
      </c>
      <c r="D76" s="82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</row>
    <row r="77" spans="1:14">
      <c r="A77" s="79">
        <v>95.9</v>
      </c>
      <c r="B77" s="83">
        <v>1030.8938445000001</v>
      </c>
      <c r="C77" s="81">
        <v>1.1037122256</v>
      </c>
      <c r="D77" s="82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</row>
    <row r="78" spans="1:14">
      <c r="A78" s="79">
        <v>96.8</v>
      </c>
      <c r="B78" s="83">
        <v>1042.23146496</v>
      </c>
      <c r="C78" s="81">
        <v>1.04153273088</v>
      </c>
      <c r="D78" s="82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</row>
    <row r="79" spans="1:14" ht="15.75" thickBot="1">
      <c r="A79" s="88">
        <v>97.47</v>
      </c>
      <c r="B79" s="89">
        <v>1050.8003100000001</v>
      </c>
      <c r="C79" s="90">
        <v>0.87704598352000007</v>
      </c>
      <c r="D79" s="91">
        <v>0.8770468760672</v>
      </c>
      <c r="E79" s="64"/>
      <c r="F79" s="17"/>
      <c r="G79" s="38"/>
      <c r="H79" s="38"/>
      <c r="I79" s="38"/>
      <c r="J79" s="17"/>
      <c r="K79" s="17"/>
      <c r="L79" s="17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C9" sqref="C9"/>
    </sheetView>
  </sheetViews>
  <sheetFormatPr defaultColWidth="8.85546875" defaultRowHeight="15"/>
  <cols>
    <col min="1" max="1" width="34.42578125" customWidth="1"/>
    <col min="8" max="8" width="27.42578125" customWidth="1"/>
    <col min="9" max="9" width="10.85546875" customWidth="1"/>
    <col min="12" max="12" width="15.42578125" bestFit="1" customWidth="1"/>
  </cols>
  <sheetData>
    <row r="1" spans="1:13" ht="21.75" customHeight="1">
      <c r="A1" s="133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7631.0572946588263</v>
      </c>
      <c r="H2" s="136" t="s">
        <v>71</v>
      </c>
      <c r="I2" s="136">
        <f>'BPV Calcs - T6'!B11</f>
        <v>33000</v>
      </c>
    </row>
    <row r="3" spans="1:13">
      <c r="A3" t="s">
        <v>91</v>
      </c>
      <c r="B3">
        <f>I6</f>
        <v>72000</v>
      </c>
      <c r="H3" s="136" t="s">
        <v>96</v>
      </c>
      <c r="I3" s="136">
        <v>85000</v>
      </c>
      <c r="J3" t="s">
        <v>95</v>
      </c>
    </row>
    <row r="4" spans="1:13">
      <c r="A4" s="40" t="s">
        <v>5</v>
      </c>
      <c r="B4" s="40">
        <f>B3/B2</f>
        <v>9.4351276919902904</v>
      </c>
      <c r="H4" s="137" t="s">
        <v>76</v>
      </c>
      <c r="I4">
        <v>120000</v>
      </c>
    </row>
    <row r="5" spans="1:13">
      <c r="A5" s="40"/>
      <c r="B5" s="40"/>
      <c r="H5" s="137" t="s">
        <v>77</v>
      </c>
      <c r="I5">
        <v>0.6</v>
      </c>
    </row>
    <row r="6" spans="1:13">
      <c r="A6" s="40"/>
      <c r="B6" s="40"/>
      <c r="H6" s="137" t="s">
        <v>78</v>
      </c>
      <c r="I6">
        <f>I4*I5</f>
        <v>72000</v>
      </c>
    </row>
    <row r="7" spans="1:13" ht="20.25" customHeight="1">
      <c r="A7" s="134" t="s">
        <v>81</v>
      </c>
      <c r="H7" s="135" t="s">
        <v>61</v>
      </c>
      <c r="I7" s="135"/>
    </row>
    <row r="8" spans="1:13">
      <c r="A8" s="129" t="s">
        <v>84</v>
      </c>
      <c r="B8">
        <f>I16*I18/(PI()*('BPV Calcs - T6'!B12-(2*'RT Mounting Bolt Calcs'!I1))*'RT Mounting Bolt Calcs'!I1)</f>
        <v>587.00440728144804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29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2" t="s">
        <v>5</v>
      </c>
      <c r="B10" s="40">
        <f>B9/B8</f>
        <v>56.217635831442159</v>
      </c>
      <c r="H10" s="40" t="s">
        <v>64</v>
      </c>
      <c r="I10" s="128">
        <f>I8*I9</f>
        <v>199.06040000000004</v>
      </c>
    </row>
    <row r="12" spans="1:13">
      <c r="H12" t="s">
        <v>69</v>
      </c>
      <c r="I12" s="122">
        <v>26.631841000000001</v>
      </c>
    </row>
    <row r="13" spans="1:13" ht="18.75" customHeight="1">
      <c r="A13" s="134" t="s">
        <v>85</v>
      </c>
      <c r="H13" s="40" t="s">
        <v>70</v>
      </c>
      <c r="I13" s="127">
        <f>I12/M1</f>
        <v>0.82800152344235789</v>
      </c>
    </row>
    <row r="14" spans="1:13">
      <c r="A14" t="s">
        <v>86</v>
      </c>
      <c r="B14">
        <v>0.3715</v>
      </c>
      <c r="H14" s="40" t="s">
        <v>65</v>
      </c>
      <c r="I14" s="127">
        <f>'N2O Pressure Calcs'!M7</f>
        <v>1.0537823421600361</v>
      </c>
    </row>
    <row r="15" spans="1:13" ht="15.75" thickBot="1">
      <c r="A15" t="s">
        <v>87</v>
      </c>
      <c r="B15">
        <f>I16/(2*B14*I1)</f>
        <v>2016.627989234772</v>
      </c>
    </row>
    <row r="16" spans="1:13">
      <c r="A16" t="s">
        <v>89</v>
      </c>
      <c r="B16">
        <v>25000</v>
      </c>
      <c r="H16" s="138" t="s">
        <v>79</v>
      </c>
      <c r="I16" s="140">
        <f>I10*(I13+I14)</f>
        <v>374.58864900035888</v>
      </c>
      <c r="J16" t="s">
        <v>80</v>
      </c>
    </row>
    <row r="17" spans="1:10" ht="15.75" thickBot="1">
      <c r="A17" s="40" t="s">
        <v>5</v>
      </c>
      <c r="B17" s="40">
        <f>B16/B15</f>
        <v>12.396931974293622</v>
      </c>
      <c r="H17" s="139" t="s">
        <v>94</v>
      </c>
      <c r="I17" s="141">
        <v>1</v>
      </c>
    </row>
    <row r="18" spans="1:10" ht="15.75" thickBot="1">
      <c r="H18" s="130" t="s">
        <v>72</v>
      </c>
      <c r="I18" s="126">
        <v>8</v>
      </c>
    </row>
    <row r="19" spans="1:10" ht="15.75" thickBot="1">
      <c r="H19" s="132" t="s">
        <v>73</v>
      </c>
      <c r="I19" s="126">
        <v>0.25</v>
      </c>
      <c r="J19" s="131" t="s">
        <v>75</v>
      </c>
    </row>
    <row r="20" spans="1:10">
      <c r="A20" s="66" t="s">
        <v>92</v>
      </c>
      <c r="H20" s="4"/>
    </row>
    <row r="21" spans="1:10">
      <c r="A21" t="s">
        <v>93</v>
      </c>
      <c r="B21">
        <f>I16/(I1*I19)</f>
        <v>5993.4183840057422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5.5060397732394284</v>
      </c>
    </row>
    <row r="25" spans="1:10">
      <c r="A25" s="66" t="s">
        <v>98</v>
      </c>
    </row>
    <row r="26" spans="1:10">
      <c r="A26" t="s">
        <v>99</v>
      </c>
      <c r="B26">
        <f>I16/(I1*I19)</f>
        <v>5993.4183840057422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14.182223658343982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D16" sqref="D16"/>
    </sheetView>
  </sheetViews>
  <sheetFormatPr defaultColWidth="8.85546875" defaultRowHeight="15"/>
  <cols>
    <col min="1" max="1" width="49.85546875" bestFit="1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1" t="s">
        <v>6</v>
      </c>
      <c r="B1" s="171"/>
      <c r="C1" s="171"/>
      <c r="D1" s="171"/>
      <c r="E1" s="171"/>
      <c r="F1" s="171"/>
      <c r="G1" s="171"/>
    </row>
    <row r="2" spans="1:7" ht="15.75">
      <c r="A2" s="172" t="s">
        <v>11</v>
      </c>
      <c r="B2" s="172"/>
      <c r="C2" s="172"/>
      <c r="D2" s="172"/>
      <c r="E2" s="172"/>
      <c r="F2" s="172"/>
      <c r="G2" s="172"/>
    </row>
    <row r="3" spans="1:7" ht="15.75" thickBot="1">
      <c r="A3" s="174" t="s">
        <v>12</v>
      </c>
      <c r="B3" s="174"/>
      <c r="C3" s="174"/>
      <c r="D3" s="174"/>
      <c r="E3" s="174"/>
      <c r="F3" s="174"/>
      <c r="G3" s="174"/>
    </row>
    <row r="4" spans="1:7" ht="24" thickBot="1">
      <c r="A4" s="196" t="s">
        <v>113</v>
      </c>
      <c r="B4" s="197"/>
      <c r="C4" s="197"/>
      <c r="D4" s="197"/>
      <c r="E4" s="197"/>
      <c r="F4" s="198"/>
    </row>
    <row r="5" spans="1:7">
      <c r="A5" s="173" t="s">
        <v>4</v>
      </c>
      <c r="B5" s="173"/>
      <c r="C5" s="147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0.22502898694663789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0.10660922203137681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0.22502898694663789</v>
      </c>
    </row>
    <row r="11" spans="1:7" ht="29.1" customHeight="1">
      <c r="A11" s="164" t="s">
        <v>109</v>
      </c>
      <c r="B11" s="165">
        <v>27000</v>
      </c>
      <c r="C11" s="166" t="s">
        <v>111</v>
      </c>
      <c r="E11" s="7"/>
      <c r="F11" s="6"/>
    </row>
    <row r="12" spans="1:7" ht="15.75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0.10874959929483145</v>
      </c>
    </row>
    <row r="13" spans="1:7" ht="16.5" thickBot="1">
      <c r="A13" s="120" t="s">
        <v>66</v>
      </c>
      <c r="B13" s="160">
        <f>0.25-0.025</f>
        <v>0.22500000000000001</v>
      </c>
      <c r="C13" s="161">
        <f>B13/F10</f>
        <v>0.99987118572130995</v>
      </c>
      <c r="E13" s="110" t="s">
        <v>55</v>
      </c>
      <c r="F13" s="111">
        <f>F12</f>
        <v>0.10874959929483145</v>
      </c>
    </row>
    <row r="14" spans="1:7" ht="15.75" thickBot="1">
      <c r="A14" s="120" t="s">
        <v>67</v>
      </c>
      <c r="B14" s="162">
        <v>0.15</v>
      </c>
      <c r="C14" s="163">
        <f>B14/F13</f>
        <v>1.3793154271155925</v>
      </c>
      <c r="E14" s="5"/>
      <c r="F14" s="5"/>
    </row>
    <row r="15" spans="1:7">
      <c r="C15" s="40" t="s">
        <v>108</v>
      </c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defaultColWidth="8.85546875" defaultRowHeight="15"/>
  <cols>
    <col min="1" max="1" width="49.85546875" bestFit="1" customWidth="1"/>
    <col min="2" max="2" width="9.42578125" customWidth="1"/>
    <col min="3" max="3" width="13.8554687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1" t="s">
        <v>6</v>
      </c>
      <c r="B1" s="171"/>
      <c r="C1" s="171"/>
      <c r="D1" s="171"/>
      <c r="E1" s="171"/>
      <c r="F1" s="171"/>
      <c r="G1" s="171"/>
    </row>
    <row r="2" spans="1:7" ht="15.75">
      <c r="A2" s="172" t="s">
        <v>11</v>
      </c>
      <c r="B2" s="172"/>
      <c r="C2" s="172"/>
      <c r="D2" s="172"/>
      <c r="E2" s="172"/>
      <c r="F2" s="172"/>
      <c r="G2" s="172"/>
    </row>
    <row r="3" spans="1:7" ht="15.75" thickBot="1">
      <c r="A3" s="174" t="s">
        <v>12</v>
      </c>
      <c r="B3" s="174"/>
      <c r="C3" s="174"/>
      <c r="D3" s="174"/>
      <c r="E3" s="174"/>
      <c r="F3" s="174"/>
      <c r="G3" s="174"/>
    </row>
    <row r="4" spans="1:7" ht="24" thickBot="1">
      <c r="A4" s="196" t="s">
        <v>112</v>
      </c>
      <c r="B4" s="197"/>
      <c r="C4" s="197"/>
      <c r="D4" s="197"/>
      <c r="E4" s="197"/>
      <c r="F4" s="198"/>
    </row>
    <row r="5" spans="1:7">
      <c r="A5" s="173" t="s">
        <v>4</v>
      </c>
      <c r="B5" s="173"/>
      <c r="C5" s="147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0.31492853601239978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0.14613570124845895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0.31492853601239978</v>
      </c>
    </row>
    <row r="11" spans="1:7" ht="29.1" customHeight="1">
      <c r="A11" s="164" t="s">
        <v>109</v>
      </c>
      <c r="B11" s="165">
        <v>19600</v>
      </c>
      <c r="C11" s="167" t="s">
        <v>110</v>
      </c>
      <c r="E11" s="7"/>
      <c r="F11" s="6"/>
    </row>
    <row r="12" spans="1:7" ht="15.75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0.15018759721861846</v>
      </c>
    </row>
    <row r="13" spans="1:7" ht="16.5" thickBot="1">
      <c r="A13" s="120" t="s">
        <v>66</v>
      </c>
      <c r="B13" s="160">
        <f>0.25-0.025</f>
        <v>0.22500000000000001</v>
      </c>
      <c r="C13" s="161">
        <f>B13/F10</f>
        <v>0.71444780091678006</v>
      </c>
      <c r="E13" s="110" t="s">
        <v>55</v>
      </c>
      <c r="F13" s="111">
        <f>F12</f>
        <v>0.15018759721861846</v>
      </c>
    </row>
    <row r="14" spans="1:7" ht="15.75" thickBot="1">
      <c r="A14" s="120" t="s">
        <v>67</v>
      </c>
      <c r="B14" s="162">
        <v>0.15</v>
      </c>
      <c r="C14" s="163">
        <f>B14/F13</f>
        <v>0.99875091404288596</v>
      </c>
      <c r="E14" s="5"/>
      <c r="F14" s="5"/>
    </row>
    <row r="15" spans="1:7">
      <c r="C15" s="40" t="s">
        <v>108</v>
      </c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0" spans="1:6">
      <c r="E20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171" t="s">
        <v>6</v>
      </c>
      <c r="B1" s="171"/>
      <c r="C1" s="171"/>
      <c r="D1" s="171"/>
      <c r="E1" s="171"/>
      <c r="F1" s="171"/>
      <c r="G1" s="171"/>
    </row>
    <row r="2" spans="1:7" ht="15.75">
      <c r="A2" s="172" t="s">
        <v>11</v>
      </c>
      <c r="B2" s="172"/>
      <c r="C2" s="172"/>
      <c r="D2" s="172"/>
      <c r="E2" s="172"/>
      <c r="F2" s="172"/>
      <c r="G2" s="172"/>
    </row>
    <row r="3" spans="1:7" ht="15.75" thickBot="1">
      <c r="A3" s="174" t="s">
        <v>12</v>
      </c>
      <c r="B3" s="174"/>
      <c r="C3" s="174"/>
      <c r="D3" s="174"/>
      <c r="E3" s="174"/>
      <c r="F3" s="174"/>
      <c r="G3" s="174"/>
    </row>
    <row r="4" spans="1:7" ht="15.75" thickBot="1">
      <c r="C4" s="157" t="s">
        <v>105</v>
      </c>
    </row>
    <row r="5" spans="1:7">
      <c r="A5" s="173" t="s">
        <v>4</v>
      </c>
      <c r="B5" s="173"/>
      <c r="C5" s="147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0.36635171282138734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0.16802366954715292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0.36635171282138734</v>
      </c>
    </row>
    <row r="11" spans="1:7">
      <c r="A11" t="s">
        <v>7</v>
      </c>
      <c r="B11">
        <v>17000</v>
      </c>
      <c r="E11" s="7"/>
      <c r="F11" s="6"/>
    </row>
    <row r="12" spans="1:7" ht="15.75" thickBot="1">
      <c r="A12" t="s">
        <v>83</v>
      </c>
      <c r="B12">
        <v>7</v>
      </c>
      <c r="E12" s="108" t="s">
        <v>54</v>
      </c>
      <c r="F12" s="109">
        <f>(B17*B8)/((2*B11*B9)-(0.2*B17))</f>
        <v>0.17340257482678134</v>
      </c>
    </row>
    <row r="13" spans="1:7" ht="16.5" thickBot="1">
      <c r="A13" s="120" t="s">
        <v>66</v>
      </c>
      <c r="B13" s="144">
        <f>0.25-0.025</f>
        <v>0.22500000000000001</v>
      </c>
      <c r="C13" s="153">
        <f>B13/F10</f>
        <v>0.61416390895843154</v>
      </c>
      <c r="E13" s="110" t="s">
        <v>55</v>
      </c>
      <c r="F13" s="111">
        <f>F12</f>
        <v>0.17340257482678134</v>
      </c>
    </row>
    <row r="14" spans="1:7" ht="16.5" thickBot="1">
      <c r="A14" s="120" t="s">
        <v>67</v>
      </c>
      <c r="B14" s="144">
        <v>0.15</v>
      </c>
      <c r="C14" s="153">
        <f>B14/F13</f>
        <v>0.86503905809842152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BPV Calcs - T6</vt:lpstr>
      <vt:lpstr>BPV Calcs - T51</vt:lpstr>
      <vt:lpstr>N2O Pressure Calcs</vt:lpstr>
      <vt:lpstr>N2O Ullage Calcs</vt:lpstr>
      <vt:lpstr>RT Mounting Bolt Calcs</vt:lpstr>
      <vt:lpstr>Min Yield Strength Allow -Shell</vt:lpstr>
      <vt:lpstr>Min Yield Strength Allow - Head</vt:lpstr>
      <vt:lpstr>BPV Calcs for No PWHT</vt:lpstr>
      <vt:lpstr>'N2O Ullage Calcs'!_MailAutoSig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2019-02-07T18:29:24Z</dcterms:modified>
</cp:coreProperties>
</file>