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ndrew/Documents/School Documents/Hopkins Rocketry/Propulsion/"/>
    </mc:Choice>
  </mc:AlternateContent>
  <bookViews>
    <workbookView xWindow="0" yWindow="1000" windowWidth="33240" windowHeight="18300" tabRatio="500"/>
  </bookViews>
  <sheets>
    <sheet name="Overview" sheetId="1" r:id="rId1"/>
    <sheet name="Flange" sheetId="2" r:id="rId2"/>
    <sheet name="Injector Plate" sheetId="3" r:id="rId3"/>
    <sheet name="Aft Closeout" sheetId="4" r:id="rId4"/>
    <sheet name="Proof Test Caps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1" l="1"/>
  <c r="H20" i="1"/>
  <c r="I20" i="1"/>
  <c r="E20" i="1"/>
  <c r="J20" i="1"/>
  <c r="K20" i="1"/>
  <c r="E31" i="1"/>
  <c r="E29" i="1"/>
  <c r="D31" i="1"/>
  <c r="C31" i="1"/>
  <c r="G32" i="5"/>
  <c r="C8" i="4"/>
  <c r="F8" i="1"/>
  <c r="F7" i="1"/>
  <c r="F6" i="1"/>
  <c r="F5" i="1"/>
  <c r="N14" i="5"/>
  <c r="C7" i="5"/>
  <c r="C8" i="5"/>
  <c r="C19" i="5"/>
  <c r="C20" i="5"/>
  <c r="C21" i="5"/>
  <c r="G8" i="1"/>
  <c r="C11" i="4"/>
  <c r="C12" i="4"/>
  <c r="C9" i="4"/>
  <c r="C10" i="4"/>
  <c r="C19" i="4"/>
  <c r="C13" i="4"/>
  <c r="C17" i="4"/>
  <c r="C18" i="4"/>
  <c r="C16" i="4"/>
  <c r="C20" i="4"/>
  <c r="C21" i="4"/>
  <c r="C22" i="4"/>
  <c r="G7" i="1"/>
  <c r="C8" i="3"/>
  <c r="C14" i="3"/>
  <c r="C15" i="3"/>
  <c r="C16" i="3"/>
  <c r="G6" i="1"/>
  <c r="C9" i="2"/>
  <c r="C10" i="2"/>
  <c r="C11" i="2"/>
  <c r="C12" i="2"/>
  <c r="C14" i="2"/>
  <c r="C18" i="2"/>
  <c r="C19" i="2"/>
  <c r="C17" i="2"/>
  <c r="C20" i="2"/>
  <c r="C21" i="2"/>
  <c r="C22" i="2"/>
  <c r="G5" i="1"/>
  <c r="E6" i="1"/>
  <c r="E7" i="1"/>
  <c r="D8" i="1"/>
  <c r="E8" i="1"/>
  <c r="E5" i="1"/>
  <c r="C9" i="3"/>
  <c r="C11" i="3"/>
  <c r="C10" i="3"/>
  <c r="C26" i="2"/>
  <c r="C28" i="2"/>
  <c r="C31" i="2"/>
  <c r="C27" i="2"/>
  <c r="C29" i="2"/>
  <c r="C30" i="2"/>
  <c r="C29" i="1"/>
  <c r="C25" i="2"/>
  <c r="C32" i="2"/>
  <c r="C33" i="2"/>
  <c r="C34" i="2"/>
  <c r="C35" i="2"/>
  <c r="C14" i="5"/>
  <c r="C15" i="5"/>
  <c r="C16" i="5"/>
  <c r="C9" i="5"/>
  <c r="C11" i="5"/>
  <c r="C10" i="5"/>
</calcChain>
</file>

<file path=xl/sharedStrings.xml><?xml version="1.0" encoding="utf-8"?>
<sst xmlns="http://schemas.openxmlformats.org/spreadsheetml/2006/main" count="176" uniqueCount="84">
  <si>
    <t>Component</t>
  </si>
  <si>
    <t>Safety Factor</t>
  </si>
  <si>
    <t>Combustion Chamber Mechanical Calculations</t>
  </si>
  <si>
    <t>Flanges</t>
  </si>
  <si>
    <t>Injector Plate</t>
  </si>
  <si>
    <t>Aft Closeout</t>
  </si>
  <si>
    <t>Proof Test Caps</t>
  </si>
  <si>
    <t>t</t>
  </si>
  <si>
    <t>Max Expected Pressure (psi)</t>
  </si>
  <si>
    <t>t_min (in)</t>
  </si>
  <si>
    <t>a</t>
  </si>
  <si>
    <t>b</t>
  </si>
  <si>
    <t>D_bolt</t>
  </si>
  <si>
    <t>D_o</t>
  </si>
  <si>
    <t>D_gasket</t>
  </si>
  <si>
    <t>in</t>
  </si>
  <si>
    <t>q</t>
  </si>
  <si>
    <t>D_i</t>
  </si>
  <si>
    <t>Mrb</t>
  </si>
  <si>
    <t>(2e)</t>
  </si>
  <si>
    <t>Mra</t>
  </si>
  <si>
    <t>Mtb</t>
  </si>
  <si>
    <t>M_ra</t>
  </si>
  <si>
    <t>K_m</t>
  </si>
  <si>
    <t>Material Properties</t>
  </si>
  <si>
    <t>6061-T6</t>
  </si>
  <si>
    <t>nu</t>
  </si>
  <si>
    <t>Syt (psi)</t>
  </si>
  <si>
    <t>r0</t>
  </si>
  <si>
    <t>C4</t>
  </si>
  <si>
    <t>D</t>
  </si>
  <si>
    <t>iterated parameter(s)</t>
  </si>
  <si>
    <t>psi</t>
  </si>
  <si>
    <t>sigma_ra</t>
  </si>
  <si>
    <t>FS_ra</t>
  </si>
  <si>
    <t>sigma_tb</t>
  </si>
  <si>
    <t>FS_tb</t>
  </si>
  <si>
    <t>b/a</t>
  </si>
  <si>
    <t>Ktb</t>
  </si>
  <si>
    <t>since ro=b, can use K correlation</t>
  </si>
  <si>
    <t>(1l)</t>
  </si>
  <si>
    <t>lbf-in</t>
  </si>
  <si>
    <t>C9</t>
  </si>
  <si>
    <t>C8</t>
  </si>
  <si>
    <t>w</t>
  </si>
  <si>
    <t>F</t>
  </si>
  <si>
    <t>lbf</t>
  </si>
  <si>
    <t>lbf/in</t>
  </si>
  <si>
    <t>L9</t>
  </si>
  <si>
    <t>sigma_rb</t>
  </si>
  <si>
    <t>C5</t>
  </si>
  <si>
    <t>C6</t>
  </si>
  <si>
    <t>L6</t>
  </si>
  <si>
    <t>theta_a</t>
  </si>
  <si>
    <t>Mta</t>
  </si>
  <si>
    <t>sigma_ta</t>
  </si>
  <si>
    <t>(10b)</t>
  </si>
  <si>
    <t>Mc</t>
  </si>
  <si>
    <t>sigma_c</t>
  </si>
  <si>
    <t>rad</t>
  </si>
  <si>
    <t>(1e)</t>
  </si>
  <si>
    <t>C7</t>
  </si>
  <si>
    <t>Design Pressure (psi)</t>
  </si>
  <si>
    <t>FS_c</t>
  </si>
  <si>
    <t>FS_rb</t>
  </si>
  <si>
    <t>FS_ta</t>
  </si>
  <si>
    <t>Et (psi)</t>
  </si>
  <si>
    <t>Calculations competed utilizing Roark's Formulas for Stress &amp; Strain, Section 11.2</t>
  </si>
  <si>
    <t>ta = tangential moment at the outer edge</t>
  </si>
  <si>
    <t>rb = radial moment at the inner edge</t>
  </si>
  <si>
    <t>6061, 4043 filler, PWHT &amp; Age</t>
  </si>
  <si>
    <t>Mild Steel, 1/4-20 Bolts</t>
  </si>
  <si>
    <t>Bolted Connection</t>
  </si>
  <si>
    <t>Tensile area (in2)</t>
  </si>
  <si>
    <t>Preload stress (psi)</t>
  </si>
  <si>
    <t>Preload per bolt (lbs)</t>
  </si>
  <si>
    <t>Pressure-induced stress (psi)</t>
  </si>
  <si>
    <t>Pressure area (in2)</t>
  </si>
  <si>
    <t>Pressure-induced force (lbs)</t>
  </si>
  <si>
    <t>FS</t>
  </si>
  <si>
    <t>Sy,allow (psi)</t>
  </si>
  <si>
    <t>N, bolts</t>
  </si>
  <si>
    <t>Total Stress (psi)</t>
  </si>
  <si>
    <t>FS,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</si>
</sst>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Moment Correlation</a:t>
            </a:r>
            <a:r>
              <a:rPr lang="en-US" baseline="0"/>
              <a:t> Factor vs Plate Diameter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66267935258093"/>
                  <c:y val="-0.06763815981335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0.2727x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- 0.4537x + 0.1878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'Proof Test Caps'!$M$8:$M$12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'Proof Test Caps'!$N$8:$N$12</c:f>
              <c:numCache>
                <c:formatCode>General</c:formatCode>
                <c:ptCount val="5"/>
                <c:pt idx="0">
                  <c:v>0.1448</c:v>
                </c:pt>
                <c:pt idx="1">
                  <c:v>0.0778</c:v>
                </c:pt>
                <c:pt idx="2">
                  <c:v>0.0271</c:v>
                </c:pt>
                <c:pt idx="3">
                  <c:v>0.0052</c:v>
                </c:pt>
                <c:pt idx="4">
                  <c:v>0.00016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38800"/>
        <c:axId val="688019888"/>
      </c:scatterChart>
      <c:valAx>
        <c:axId val="6546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019888"/>
        <c:crosses val="autoZero"/>
        <c:crossBetween val="midCat"/>
      </c:valAx>
      <c:valAx>
        <c:axId val="6880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3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15</xdr:row>
      <xdr:rowOff>127000</xdr:rowOff>
    </xdr:from>
    <xdr:to>
      <xdr:col>17</xdr:col>
      <xdr:colOff>508000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tabSelected="1" workbookViewId="0">
      <selection activeCell="D31" sqref="D31"/>
    </sheetView>
  </sheetViews>
  <sheetFormatPr baseColWidth="10" defaultRowHeight="16" x14ac:dyDescent="0.2"/>
  <cols>
    <col min="2" max="2" width="15.5" customWidth="1"/>
    <col min="3" max="3" width="27.6640625" customWidth="1"/>
    <col min="4" max="4" width="22.1640625" customWidth="1"/>
    <col min="5" max="5" width="21.6640625" customWidth="1"/>
    <col min="6" max="6" width="24.5" customWidth="1"/>
    <col min="7" max="7" width="23.83203125" customWidth="1"/>
    <col min="8" max="8" width="24" customWidth="1"/>
    <col min="9" max="9" width="24.5" customWidth="1"/>
    <col min="10" max="10" width="16.83203125" customWidth="1"/>
  </cols>
  <sheetData>
    <row r="2" spans="2:7" x14ac:dyDescent="0.2">
      <c r="B2" s="2" t="s">
        <v>2</v>
      </c>
    </row>
    <row r="4" spans="2:7" x14ac:dyDescent="0.2">
      <c r="B4" s="1" t="s">
        <v>0</v>
      </c>
      <c r="C4" s="1" t="s">
        <v>8</v>
      </c>
      <c r="D4" s="1" t="s">
        <v>1</v>
      </c>
      <c r="E4" s="1" t="s">
        <v>62</v>
      </c>
      <c r="F4" s="1" t="s">
        <v>9</v>
      </c>
      <c r="G4" s="1" t="s">
        <v>79</v>
      </c>
    </row>
    <row r="5" spans="2:7" x14ac:dyDescent="0.2">
      <c r="B5" t="s">
        <v>3</v>
      </c>
      <c r="C5">
        <v>600</v>
      </c>
      <c r="D5">
        <v>2</v>
      </c>
      <c r="E5">
        <f>D5*C5</f>
        <v>1200</v>
      </c>
      <c r="F5">
        <f>Flange!H3</f>
        <v>0.5</v>
      </c>
      <c r="G5">
        <f>Flange!C22</f>
        <v>4.6400374793493206</v>
      </c>
    </row>
    <row r="6" spans="2:7" x14ac:dyDescent="0.2">
      <c r="B6" t="s">
        <v>4</v>
      </c>
      <c r="C6">
        <v>600</v>
      </c>
      <c r="D6">
        <v>2</v>
      </c>
      <c r="E6">
        <f t="shared" ref="E6:E8" si="0">D6*C6</f>
        <v>1200</v>
      </c>
      <c r="F6">
        <f>'Injector Plate'!H3</f>
        <v>0.42499999999999999</v>
      </c>
      <c r="G6">
        <f>'Injector Plate'!C16</f>
        <v>1.7133500417710945</v>
      </c>
    </row>
    <row r="7" spans="2:7" x14ac:dyDescent="0.2">
      <c r="B7" t="s">
        <v>5</v>
      </c>
      <c r="C7">
        <v>600</v>
      </c>
      <c r="D7">
        <v>2</v>
      </c>
      <c r="E7">
        <f t="shared" si="0"/>
        <v>1200</v>
      </c>
      <c r="F7">
        <f>'Aft Closeout'!H3</f>
        <v>0.28000000000000003</v>
      </c>
      <c r="G7">
        <f>'Aft Closeout'!C22</f>
        <v>1.5558223019949586</v>
      </c>
    </row>
    <row r="8" spans="2:7" x14ac:dyDescent="0.2">
      <c r="B8" t="s">
        <v>6</v>
      </c>
      <c r="C8">
        <v>900</v>
      </c>
      <c r="D8">
        <f>4/3</f>
        <v>1.3333333333333333</v>
      </c>
      <c r="E8">
        <f t="shared" si="0"/>
        <v>1200</v>
      </c>
      <c r="F8">
        <f>'Proof Test Caps'!H3</f>
        <v>0.57999999999999996</v>
      </c>
      <c r="G8">
        <f>'Proof Test Caps'!C21</f>
        <v>2.2664573295873365</v>
      </c>
    </row>
    <row r="12" spans="2:7" x14ac:dyDescent="0.2">
      <c r="B12" s="3" t="s">
        <v>67</v>
      </c>
    </row>
    <row r="13" spans="2:7" x14ac:dyDescent="0.2">
      <c r="B13" s="3" t="s">
        <v>69</v>
      </c>
    </row>
    <row r="14" spans="2:7" x14ac:dyDescent="0.2">
      <c r="B14" s="3" t="s">
        <v>68</v>
      </c>
    </row>
    <row r="18" spans="2:11" x14ac:dyDescent="0.2">
      <c r="B18" s="1" t="s">
        <v>72</v>
      </c>
    </row>
    <row r="19" spans="2:11" x14ac:dyDescent="0.2">
      <c r="B19" t="s">
        <v>81</v>
      </c>
      <c r="C19" t="s">
        <v>73</v>
      </c>
      <c r="D19" t="s">
        <v>75</v>
      </c>
      <c r="E19" t="s">
        <v>74</v>
      </c>
      <c r="F19" t="s">
        <v>62</v>
      </c>
      <c r="G19" t="s">
        <v>77</v>
      </c>
      <c r="H19" t="s">
        <v>78</v>
      </c>
      <c r="I19" t="s">
        <v>76</v>
      </c>
      <c r="J19" t="s">
        <v>82</v>
      </c>
      <c r="K19" t="s">
        <v>79</v>
      </c>
    </row>
    <row r="20" spans="2:11" x14ac:dyDescent="0.2">
      <c r="B20">
        <v>15</v>
      </c>
      <c r="C20">
        <v>3.1E-2</v>
      </c>
      <c r="D20">
        <v>2115</v>
      </c>
      <c r="E20">
        <f>D20/C20</f>
        <v>68225.806451612909</v>
      </c>
      <c r="F20">
        <v>1200</v>
      </c>
      <c r="G20">
        <f>PI()*4</f>
        <v>12.566370614359172</v>
      </c>
      <c r="H20">
        <f>G20*F20</f>
        <v>15079.644737231007</v>
      </c>
      <c r="I20">
        <f>H20/(B20*C20)</f>
        <v>32429.343520926897</v>
      </c>
      <c r="J20">
        <f>I20+E20</f>
        <v>100655.1499725398</v>
      </c>
      <c r="K20">
        <f>D27/J20</f>
        <v>1.2915384859638668</v>
      </c>
    </row>
    <row r="24" spans="2:11" x14ac:dyDescent="0.2">
      <c r="B24" s="2" t="s">
        <v>24</v>
      </c>
    </row>
    <row r="26" spans="2:11" x14ac:dyDescent="0.2">
      <c r="C26" t="s">
        <v>70</v>
      </c>
      <c r="D26" t="s">
        <v>71</v>
      </c>
      <c r="E26" t="s">
        <v>25</v>
      </c>
    </row>
    <row r="27" spans="2:11" x14ac:dyDescent="0.2">
      <c r="B27" t="s">
        <v>27</v>
      </c>
      <c r="C27">
        <v>37700</v>
      </c>
      <c r="D27">
        <v>130000</v>
      </c>
      <c r="E27">
        <v>33000</v>
      </c>
    </row>
    <row r="28" spans="2:11" x14ac:dyDescent="0.2">
      <c r="B28" t="s">
        <v>26</v>
      </c>
      <c r="C28">
        <v>0.33</v>
      </c>
      <c r="D28">
        <v>0.28999999999999998</v>
      </c>
      <c r="E28">
        <v>0.33</v>
      </c>
    </row>
    <row r="29" spans="2:11" x14ac:dyDescent="0.2">
      <c r="B29" t="s">
        <v>66</v>
      </c>
      <c r="C29">
        <f>9900000</f>
        <v>9900000</v>
      </c>
      <c r="D29">
        <v>29000000</v>
      </c>
      <c r="E29">
        <f>9900000</f>
        <v>9900000</v>
      </c>
    </row>
    <row r="30" spans="2:11" x14ac:dyDescent="0.2">
      <c r="B30" t="s">
        <v>83</v>
      </c>
      <c r="C30">
        <v>2</v>
      </c>
      <c r="D30">
        <v>1.25</v>
      </c>
      <c r="E30">
        <v>2</v>
      </c>
    </row>
    <row r="31" spans="2:11" x14ac:dyDescent="0.2">
      <c r="B31" t="s">
        <v>80</v>
      </c>
      <c r="C31">
        <f>C27/C30</f>
        <v>18850</v>
      </c>
      <c r="D31">
        <f>D27/D30</f>
        <v>104000</v>
      </c>
      <c r="E31">
        <f>E27/E30</f>
        <v>16500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C22" sqref="C22"/>
    </sheetView>
  </sheetViews>
  <sheetFormatPr baseColWidth="10" defaultRowHeight="16" x14ac:dyDescent="0.2"/>
  <sheetData>
    <row r="1" spans="1:9" x14ac:dyDescent="0.2">
      <c r="A1" t="s">
        <v>40</v>
      </c>
    </row>
    <row r="2" spans="1:9" x14ac:dyDescent="0.2">
      <c r="G2" t="s">
        <v>31</v>
      </c>
    </row>
    <row r="3" spans="1:9" x14ac:dyDescent="0.2">
      <c r="B3" t="s">
        <v>13</v>
      </c>
      <c r="C3">
        <v>5.75</v>
      </c>
      <c r="D3" t="s">
        <v>15</v>
      </c>
      <c r="G3" t="s">
        <v>7</v>
      </c>
      <c r="H3">
        <v>0.5</v>
      </c>
      <c r="I3" t="s">
        <v>15</v>
      </c>
    </row>
    <row r="4" spans="1:9" x14ac:dyDescent="0.2">
      <c r="B4" t="s">
        <v>12</v>
      </c>
      <c r="C4">
        <v>5</v>
      </c>
      <c r="D4" t="s">
        <v>15</v>
      </c>
    </row>
    <row r="5" spans="1:9" x14ac:dyDescent="0.2">
      <c r="B5" t="s">
        <v>14</v>
      </c>
      <c r="C5">
        <v>4.3179999999999996</v>
      </c>
      <c r="D5" t="s">
        <v>15</v>
      </c>
    </row>
    <row r="6" spans="1:9" x14ac:dyDescent="0.2">
      <c r="B6" t="s">
        <v>17</v>
      </c>
      <c r="C6">
        <v>4</v>
      </c>
      <c r="D6" t="s">
        <v>15</v>
      </c>
    </row>
    <row r="8" spans="1:9" x14ac:dyDescent="0.2">
      <c r="B8" t="s">
        <v>16</v>
      </c>
      <c r="C8">
        <v>1200</v>
      </c>
      <c r="D8" t="s">
        <v>32</v>
      </c>
    </row>
    <row r="9" spans="1:9" x14ac:dyDescent="0.2">
      <c r="B9" t="s">
        <v>45</v>
      </c>
      <c r="C9">
        <f>C8*(PI()*(C5/2)^2)</f>
        <v>17572.615375101217</v>
      </c>
      <c r="D9" t="s">
        <v>46</v>
      </c>
    </row>
    <row r="10" spans="1:9" x14ac:dyDescent="0.2">
      <c r="B10" t="s">
        <v>44</v>
      </c>
      <c r="C10">
        <f>C9/(2*PI()*C13)</f>
        <v>1118.7074399999997</v>
      </c>
      <c r="D10" t="s">
        <v>47</v>
      </c>
    </row>
    <row r="11" spans="1:9" x14ac:dyDescent="0.2">
      <c r="B11" t="s">
        <v>10</v>
      </c>
      <c r="C11">
        <f>C3/2</f>
        <v>2.875</v>
      </c>
      <c r="D11" t="s">
        <v>15</v>
      </c>
    </row>
    <row r="12" spans="1:9" x14ac:dyDescent="0.2">
      <c r="B12" t="s">
        <v>11</v>
      </c>
      <c r="C12">
        <f>C6/2</f>
        <v>2</v>
      </c>
      <c r="D12" t="s">
        <v>15</v>
      </c>
    </row>
    <row r="13" spans="1:9" x14ac:dyDescent="0.2">
      <c r="B13" t="s">
        <v>28</v>
      </c>
      <c r="C13">
        <v>2.5</v>
      </c>
      <c r="D13" t="s">
        <v>15</v>
      </c>
    </row>
    <row r="14" spans="1:9" x14ac:dyDescent="0.2">
      <c r="B14" t="s">
        <v>37</v>
      </c>
      <c r="C14">
        <f>C12/C11</f>
        <v>0.69565217391304346</v>
      </c>
    </row>
    <row r="17" spans="2:4" x14ac:dyDescent="0.2">
      <c r="B17" t="s">
        <v>43</v>
      </c>
      <c r="C17">
        <f>0.5*(1+Flange!C24+(1-Flange!C24)*(Flange!C14)^2)</f>
        <v>0.74196597353497162</v>
      </c>
    </row>
    <row r="18" spans="2:4" x14ac:dyDescent="0.2">
      <c r="B18" t="s">
        <v>42</v>
      </c>
      <c r="C18">
        <f>C14*((1+Flange!C24)*LN(Flange!C11/Flange!C12)/2+(1-Flange!C24)*(1-Flange!C14^2)/4)</f>
        <v>0.21597896353196411</v>
      </c>
    </row>
    <row r="19" spans="2:4" x14ac:dyDescent="0.2">
      <c r="B19" t="s">
        <v>48</v>
      </c>
      <c r="C19">
        <f>(C13/C11)*((1+Flange!C24)*LN(Flange!C11/Flange!C13)/2+(1-Flange!C24)*(1-(Flange!C13/Flange!C11)^2)/4)</f>
        <v>0.11377830814207193</v>
      </c>
    </row>
    <row r="20" spans="2:4" x14ac:dyDescent="0.2">
      <c r="B20" t="s">
        <v>18</v>
      </c>
      <c r="C20">
        <f>C10*C11*(C13*C18/C12-C19)/C17</f>
        <v>677.07786427346423</v>
      </c>
      <c r="D20" t="s">
        <v>41</v>
      </c>
    </row>
    <row r="21" spans="2:4" x14ac:dyDescent="0.2">
      <c r="B21" t="s">
        <v>49</v>
      </c>
      <c r="C21">
        <f>6*C20/H3</f>
        <v>8124.9343712815707</v>
      </c>
      <c r="D21" t="s">
        <v>32</v>
      </c>
    </row>
    <row r="22" spans="2:4" x14ac:dyDescent="0.2">
      <c r="B22" t="s">
        <v>64</v>
      </c>
      <c r="C22" s="2">
        <f>Overview!C27/Flange!C21</f>
        <v>4.6400374793493206</v>
      </c>
    </row>
    <row r="25" spans="2:4" x14ac:dyDescent="0.2">
      <c r="B25" t="s">
        <v>30</v>
      </c>
      <c r="C25">
        <f>Overview!C29*(Flange!H3^3)/(12*(1-Overview!C28^2))</f>
        <v>115727.75221636178</v>
      </c>
    </row>
    <row r="26" spans="2:4" x14ac:dyDescent="0.2">
      <c r="B26" t="s">
        <v>50</v>
      </c>
      <c r="C26">
        <f>0.5*(1-C14^2)</f>
        <v>0.25803402646502838</v>
      </c>
    </row>
    <row r="27" spans="2:4" x14ac:dyDescent="0.2">
      <c r="B27" t="s">
        <v>43</v>
      </c>
      <c r="C27">
        <f>0.5*(1+Flange!C22+(1-Flange!C22)*Flange!C14^2)</f>
        <v>1.9392535272801177</v>
      </c>
    </row>
    <row r="28" spans="2:4" x14ac:dyDescent="0.2">
      <c r="B28" t="s">
        <v>42</v>
      </c>
      <c r="C28">
        <f>C14*((1+Overview!C28)*LN(Flange!C11/Flange!C12)/2+(1-Overview!C28)*(1+Flange!C14^2)/4)</f>
        <v>0.34079356830444907</v>
      </c>
    </row>
    <row r="29" spans="2:4" x14ac:dyDescent="0.2">
      <c r="B29" t="s">
        <v>51</v>
      </c>
      <c r="C29">
        <f>(C14/4)*((C14^2)-1+2*LN(C11/C12))</f>
        <v>3.6477032078031338E-2</v>
      </c>
    </row>
    <row r="30" spans="2:4" x14ac:dyDescent="0.2">
      <c r="B30" t="s">
        <v>52</v>
      </c>
      <c r="C30">
        <f>(C13/(4*C11)*(((C13/C11)^2)-1+2*LN(C11/C13)))</f>
        <v>7.7538156624138354E-3</v>
      </c>
    </row>
    <row r="31" spans="2:4" x14ac:dyDescent="0.2">
      <c r="B31" t="s">
        <v>48</v>
      </c>
      <c r="C31">
        <f>(C13/C11)*((1+Overview!C28)*LN(Flange!C11/Flange!C13)/2+(1-Overview!C28)*(1-(Flange!C13/Flange!C11^2))*4)</f>
        <v>1.7063962437715872</v>
      </c>
    </row>
    <row r="32" spans="2:4" x14ac:dyDescent="0.2">
      <c r="B32" t="s">
        <v>53</v>
      </c>
      <c r="C32">
        <f>C10*(C11^2)*(C26*(C13*C28/C12-C31)/C27-C13*C29/C12+C30)/C25</f>
        <v>-1.6636367037529708E-2</v>
      </c>
      <c r="D32" t="s">
        <v>59</v>
      </c>
    </row>
    <row r="33" spans="2:4" x14ac:dyDescent="0.2">
      <c r="B33" t="s">
        <v>54</v>
      </c>
      <c r="C33">
        <f>-1*C32*C25*(1-Overview!C28^2)/Flange!C11</f>
        <v>596.73925243313079</v>
      </c>
      <c r="D33" t="s">
        <v>41</v>
      </c>
    </row>
    <row r="34" spans="2:4" x14ac:dyDescent="0.2">
      <c r="B34" t="s">
        <v>55</v>
      </c>
      <c r="C34">
        <f>C33*6/H3</f>
        <v>7160.8710291975694</v>
      </c>
      <c r="D34" t="s">
        <v>32</v>
      </c>
    </row>
    <row r="35" spans="2:4" x14ac:dyDescent="0.2">
      <c r="B35" t="s">
        <v>65</v>
      </c>
      <c r="C35" s="2">
        <f>ABS(Overview!C27/Flange!C34)</f>
        <v>5.2647226638048492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4" sqref="H4"/>
    </sheetView>
  </sheetViews>
  <sheetFormatPr baseColWidth="10" defaultRowHeight="16" x14ac:dyDescent="0.2"/>
  <sheetData>
    <row r="1" spans="1:9" x14ac:dyDescent="0.2">
      <c r="A1" t="s">
        <v>56</v>
      </c>
    </row>
    <row r="2" spans="1:9" x14ac:dyDescent="0.2">
      <c r="B2" t="s">
        <v>13</v>
      </c>
      <c r="C2">
        <v>6.5</v>
      </c>
      <c r="D2" t="s">
        <v>15</v>
      </c>
      <c r="G2" t="s">
        <v>31</v>
      </c>
    </row>
    <row r="3" spans="1:9" x14ac:dyDescent="0.2">
      <c r="B3" t="s">
        <v>12</v>
      </c>
      <c r="C3">
        <v>5</v>
      </c>
      <c r="D3" t="s">
        <v>15</v>
      </c>
      <c r="G3" t="s">
        <v>7</v>
      </c>
      <c r="H3">
        <v>0.42499999999999999</v>
      </c>
      <c r="I3" t="s">
        <v>15</v>
      </c>
    </row>
    <row r="4" spans="1:9" x14ac:dyDescent="0.2">
      <c r="B4" t="s">
        <v>14</v>
      </c>
      <c r="C4">
        <v>4.3179999999999996</v>
      </c>
      <c r="D4" t="s">
        <v>15</v>
      </c>
    </row>
    <row r="5" spans="1:9" x14ac:dyDescent="0.2">
      <c r="B5" t="s">
        <v>17</v>
      </c>
      <c r="C5">
        <v>0</v>
      </c>
      <c r="D5" t="s">
        <v>15</v>
      </c>
    </row>
    <row r="7" spans="1:9" x14ac:dyDescent="0.2">
      <c r="B7" t="s">
        <v>16</v>
      </c>
      <c r="C7">
        <v>1200</v>
      </c>
      <c r="D7" t="s">
        <v>32</v>
      </c>
    </row>
    <row r="8" spans="1:9" x14ac:dyDescent="0.2">
      <c r="B8" t="s">
        <v>10</v>
      </c>
      <c r="C8">
        <f>C3/2</f>
        <v>2.5</v>
      </c>
      <c r="D8" t="s">
        <v>15</v>
      </c>
    </row>
    <row r="9" spans="1:9" x14ac:dyDescent="0.2">
      <c r="B9" t="s">
        <v>11</v>
      </c>
      <c r="C9">
        <f>C5/2</f>
        <v>0</v>
      </c>
      <c r="D9" t="s">
        <v>15</v>
      </c>
    </row>
    <row r="10" spans="1:9" x14ac:dyDescent="0.2">
      <c r="B10" t="s">
        <v>28</v>
      </c>
      <c r="C10">
        <f>C9</f>
        <v>0</v>
      </c>
      <c r="D10" t="s">
        <v>15</v>
      </c>
    </row>
    <row r="11" spans="1:9" x14ac:dyDescent="0.2">
      <c r="B11" t="s">
        <v>37</v>
      </c>
      <c r="C11">
        <f>C9/C8</f>
        <v>0</v>
      </c>
    </row>
    <row r="14" spans="1:9" x14ac:dyDescent="0.2">
      <c r="B14" t="s">
        <v>57</v>
      </c>
      <c r="C14">
        <f>C7*(C8^3)*(1+Overview!C28)/16</f>
        <v>1558.59375</v>
      </c>
      <c r="D14" t="s">
        <v>41</v>
      </c>
    </row>
    <row r="15" spans="1:9" x14ac:dyDescent="0.2">
      <c r="B15" t="s">
        <v>58</v>
      </c>
      <c r="C15">
        <f>6*C14/H3</f>
        <v>22003.676470588234</v>
      </c>
      <c r="D15" t="s">
        <v>32</v>
      </c>
    </row>
    <row r="16" spans="1:9" x14ac:dyDescent="0.2">
      <c r="B16" t="s">
        <v>63</v>
      </c>
      <c r="C16" s="2">
        <f>Overview!C27/'Injector Plate'!C15</f>
        <v>1.7133500417710945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H4" sqref="H4"/>
    </sheetView>
  </sheetViews>
  <sheetFormatPr baseColWidth="10" defaultRowHeight="16" x14ac:dyDescent="0.2"/>
  <sheetData>
    <row r="1" spans="1:9" x14ac:dyDescent="0.2">
      <c r="A1" t="s">
        <v>60</v>
      </c>
    </row>
    <row r="2" spans="1:9" x14ac:dyDescent="0.2">
      <c r="B2" t="s">
        <v>13</v>
      </c>
      <c r="C2">
        <v>5.75</v>
      </c>
      <c r="D2" t="s">
        <v>15</v>
      </c>
      <c r="G2" t="s">
        <v>31</v>
      </c>
    </row>
    <row r="3" spans="1:9" x14ac:dyDescent="0.2">
      <c r="B3" t="s">
        <v>12</v>
      </c>
      <c r="C3">
        <v>5</v>
      </c>
      <c r="D3" t="s">
        <v>15</v>
      </c>
      <c r="G3" t="s">
        <v>7</v>
      </c>
      <c r="H3">
        <v>0.28000000000000003</v>
      </c>
      <c r="I3" t="s">
        <v>15</v>
      </c>
    </row>
    <row r="4" spans="1:9" x14ac:dyDescent="0.2">
      <c r="B4" t="s">
        <v>14</v>
      </c>
      <c r="C4">
        <v>4.3179999999999996</v>
      </c>
      <c r="D4" t="s">
        <v>15</v>
      </c>
    </row>
    <row r="5" spans="1:9" x14ac:dyDescent="0.2">
      <c r="B5" t="s">
        <v>17</v>
      </c>
      <c r="C5">
        <v>3.1</v>
      </c>
      <c r="D5" t="s">
        <v>15</v>
      </c>
    </row>
    <row r="7" spans="1:9" x14ac:dyDescent="0.2">
      <c r="B7" t="s">
        <v>16</v>
      </c>
      <c r="C7">
        <v>1200</v>
      </c>
      <c r="D7" t="s">
        <v>32</v>
      </c>
    </row>
    <row r="8" spans="1:9" x14ac:dyDescent="0.2">
      <c r="B8" t="s">
        <v>45</v>
      </c>
      <c r="C8">
        <f>C7*(PI()*(C4/2)^2)</f>
        <v>17572.615375101217</v>
      </c>
      <c r="D8" t="s">
        <v>46</v>
      </c>
    </row>
    <row r="9" spans="1:9" x14ac:dyDescent="0.2">
      <c r="B9" t="s">
        <v>44</v>
      </c>
      <c r="C9">
        <f>C8/(2*PI()*C12)</f>
        <v>1804.366838709677</v>
      </c>
      <c r="D9" t="s">
        <v>47</v>
      </c>
    </row>
    <row r="10" spans="1:9" x14ac:dyDescent="0.2">
      <c r="B10" t="s">
        <v>10</v>
      </c>
      <c r="C10">
        <f>C3/2</f>
        <v>2.5</v>
      </c>
      <c r="D10" t="s">
        <v>15</v>
      </c>
    </row>
    <row r="11" spans="1:9" x14ac:dyDescent="0.2">
      <c r="B11" t="s">
        <v>11</v>
      </c>
      <c r="C11">
        <f>C5/2</f>
        <v>1.55</v>
      </c>
      <c r="D11" t="s">
        <v>15</v>
      </c>
    </row>
    <row r="12" spans="1:9" x14ac:dyDescent="0.2">
      <c r="B12" t="s">
        <v>28</v>
      </c>
      <c r="C12">
        <f>C11</f>
        <v>1.55</v>
      </c>
      <c r="D12" t="s">
        <v>15</v>
      </c>
    </row>
    <row r="13" spans="1:9" x14ac:dyDescent="0.2">
      <c r="B13" t="s">
        <v>37</v>
      </c>
      <c r="C13">
        <f>C11/C10</f>
        <v>0.62</v>
      </c>
    </row>
    <row r="16" spans="1:9" x14ac:dyDescent="0.2">
      <c r="B16" t="s">
        <v>29</v>
      </c>
      <c r="C16">
        <f>0.5*((1+Overview!C28)*'Aft Closeout'!C13+(1-Overview!C28)*'Aft Closeout'!C10/'Aft Closeout'!C11)</f>
        <v>0.95262258064516125</v>
      </c>
    </row>
    <row r="17" spans="2:4" x14ac:dyDescent="0.2">
      <c r="B17" t="s">
        <v>61</v>
      </c>
      <c r="C17">
        <f>0.5*(1-Overview!C28^2)*('Aft Closeout'!C10/'Aft Closeout'!C11-'Aft Closeout'!C13)</f>
        <v>0.4423880322580645</v>
      </c>
    </row>
    <row r="18" spans="2:4" x14ac:dyDescent="0.2">
      <c r="B18" t="s">
        <v>52</v>
      </c>
      <c r="C18">
        <f>(C12/(4*C10))*(((C12/C10)^2)-1+2*LN(C10/C12))</f>
        <v>5.2773098292329935E-2</v>
      </c>
    </row>
    <row r="19" spans="2:4" x14ac:dyDescent="0.2">
      <c r="B19" t="s">
        <v>48</v>
      </c>
      <c r="C19">
        <f>(C12/C10)*((1+Overview!C28)*LN('Aft Closeout'!C10/'Aft Closeout'!C12)/2+(1-Overview!C28)*(1-('Aft Closeout'!C12/'Aft Closeout'!C10^2))/4)</f>
        <v>0.27518936072879879</v>
      </c>
    </row>
    <row r="20" spans="2:4" x14ac:dyDescent="0.2">
      <c r="B20" t="s">
        <v>20</v>
      </c>
      <c r="C20">
        <f>C9*C10*(C19-C17*C18/C16)</f>
        <v>1130.8060895369749</v>
      </c>
      <c r="D20" t="s">
        <v>41</v>
      </c>
    </row>
    <row r="21" spans="2:4" x14ac:dyDescent="0.2">
      <c r="B21" t="s">
        <v>33</v>
      </c>
      <c r="C21">
        <f>6*C20/H3</f>
        <v>24231.559061506603</v>
      </c>
      <c r="D21" t="s">
        <v>32</v>
      </c>
    </row>
    <row r="22" spans="2:4" x14ac:dyDescent="0.2">
      <c r="B22" t="s">
        <v>34</v>
      </c>
      <c r="C22" s="2">
        <f>Overview!C27/'Aft Closeout'!C21</f>
        <v>1.5558223019949586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G33" sqref="G33"/>
    </sheetView>
  </sheetViews>
  <sheetFormatPr baseColWidth="10" defaultRowHeight="16" x14ac:dyDescent="0.2"/>
  <sheetData>
    <row r="1" spans="1:14" x14ac:dyDescent="0.2">
      <c r="A1" t="s">
        <v>19</v>
      </c>
    </row>
    <row r="2" spans="1:14" x14ac:dyDescent="0.2">
      <c r="B2" t="s">
        <v>13</v>
      </c>
      <c r="C2">
        <v>5.75</v>
      </c>
      <c r="D2" t="s">
        <v>15</v>
      </c>
      <c r="G2" t="s">
        <v>31</v>
      </c>
    </row>
    <row r="3" spans="1:14" x14ac:dyDescent="0.2">
      <c r="B3" t="s">
        <v>12</v>
      </c>
      <c r="C3">
        <v>5</v>
      </c>
      <c r="D3" t="s">
        <v>15</v>
      </c>
      <c r="G3" t="s">
        <v>7</v>
      </c>
      <c r="H3">
        <v>0.57999999999999996</v>
      </c>
      <c r="I3" t="s">
        <v>15</v>
      </c>
    </row>
    <row r="4" spans="1:14" x14ac:dyDescent="0.2">
      <c r="B4" t="s">
        <v>14</v>
      </c>
      <c r="C4">
        <v>4.3179999999999996</v>
      </c>
      <c r="D4" t="s">
        <v>15</v>
      </c>
    </row>
    <row r="5" spans="1:14" x14ac:dyDescent="0.2">
      <c r="B5" t="s">
        <v>17</v>
      </c>
      <c r="C5">
        <v>0.25</v>
      </c>
      <c r="D5" t="s">
        <v>15</v>
      </c>
    </row>
    <row r="7" spans="1:14" x14ac:dyDescent="0.2">
      <c r="B7" t="s">
        <v>16</v>
      </c>
      <c r="C7">
        <f>Overview!C8</f>
        <v>900</v>
      </c>
      <c r="D7" t="s">
        <v>32</v>
      </c>
      <c r="M7" t="s">
        <v>37</v>
      </c>
      <c r="N7" t="s">
        <v>38</v>
      </c>
    </row>
    <row r="8" spans="1:14" x14ac:dyDescent="0.2">
      <c r="B8" t="s">
        <v>10</v>
      </c>
      <c r="C8">
        <f>C3/2</f>
        <v>2.5</v>
      </c>
      <c r="D8" t="s">
        <v>15</v>
      </c>
      <c r="M8">
        <v>0.1</v>
      </c>
      <c r="N8">
        <v>0.14480000000000001</v>
      </c>
    </row>
    <row r="9" spans="1:14" x14ac:dyDescent="0.2">
      <c r="B9" t="s">
        <v>11</v>
      </c>
      <c r="C9">
        <f>C5/2</f>
        <v>0.125</v>
      </c>
      <c r="D9" t="s">
        <v>15</v>
      </c>
      <c r="M9">
        <v>0.3</v>
      </c>
      <c r="N9">
        <v>7.7799999999999994E-2</v>
      </c>
    </row>
    <row r="10" spans="1:14" x14ac:dyDescent="0.2">
      <c r="B10" t="s">
        <v>28</v>
      </c>
      <c r="C10">
        <f>C9</f>
        <v>0.125</v>
      </c>
      <c r="D10" t="s">
        <v>15</v>
      </c>
      <c r="M10">
        <v>0.5</v>
      </c>
      <c r="N10">
        <v>2.7099999999999999E-2</v>
      </c>
    </row>
    <row r="11" spans="1:14" x14ac:dyDescent="0.2">
      <c r="B11" t="s">
        <v>37</v>
      </c>
      <c r="C11">
        <f>C9/C8</f>
        <v>0.05</v>
      </c>
      <c r="M11">
        <v>0.7</v>
      </c>
      <c r="N11">
        <v>5.1999999999999998E-3</v>
      </c>
    </row>
    <row r="12" spans="1:14" x14ac:dyDescent="0.2">
      <c r="M12">
        <v>0.9</v>
      </c>
      <c r="N12">
        <v>1.6000000000000001E-4</v>
      </c>
    </row>
    <row r="13" spans="1:14" x14ac:dyDescent="0.2">
      <c r="B13" t="s">
        <v>23</v>
      </c>
      <c r="C13">
        <v>0.12737499999999999</v>
      </c>
    </row>
    <row r="14" spans="1:14" x14ac:dyDescent="0.2">
      <c r="B14" t="s">
        <v>22</v>
      </c>
      <c r="C14">
        <f>C13*C7*C8^2</f>
        <v>716.48437499999989</v>
      </c>
      <c r="D14" t="s">
        <v>41</v>
      </c>
      <c r="M14">
        <v>0.05</v>
      </c>
      <c r="N14">
        <f>0.2727*(M14^2)-0.4537*M14+0.1878</f>
        <v>0.16579674999999999</v>
      </c>
    </row>
    <row r="15" spans="1:14" x14ac:dyDescent="0.2">
      <c r="B15" t="s">
        <v>33</v>
      </c>
      <c r="C15">
        <f>C14*6/H3^2</f>
        <v>12779.150564803804</v>
      </c>
      <c r="D15" t="s">
        <v>32</v>
      </c>
    </row>
    <row r="16" spans="1:14" x14ac:dyDescent="0.2">
      <c r="B16" t="s">
        <v>34</v>
      </c>
      <c r="C16" s="2">
        <f>Overview!C27/'Proof Test Caps'!C15</f>
        <v>2.9501178352051762</v>
      </c>
    </row>
    <row r="18" spans="2:7" x14ac:dyDescent="0.2">
      <c r="B18" t="s">
        <v>39</v>
      </c>
    </row>
    <row r="19" spans="2:7" x14ac:dyDescent="0.2">
      <c r="B19" t="s">
        <v>21</v>
      </c>
      <c r="C19">
        <f>N14*C7*C8^2</f>
        <v>932.60671874999991</v>
      </c>
      <c r="D19" t="s">
        <v>41</v>
      </c>
    </row>
    <row r="20" spans="2:7" x14ac:dyDescent="0.2">
      <c r="B20" t="s">
        <v>35</v>
      </c>
      <c r="C20">
        <f>C19*6/H3^2</f>
        <v>16633.88915725327</v>
      </c>
      <c r="D20" t="s">
        <v>32</v>
      </c>
    </row>
    <row r="21" spans="2:7" x14ac:dyDescent="0.2">
      <c r="B21" t="s">
        <v>36</v>
      </c>
      <c r="C21" s="2">
        <f>Overview!C27/'Proof Test Caps'!C20</f>
        <v>2.2664573295873365</v>
      </c>
    </row>
    <row r="32" spans="2:7" x14ac:dyDescent="0.2">
      <c r="G32">
        <f>600*1.5*2/0.125</f>
        <v>14400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Flange</vt:lpstr>
      <vt:lpstr>Injector Plate</vt:lpstr>
      <vt:lpstr>Aft Closeout</vt:lpstr>
      <vt:lpstr>Proof Test Caps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2018-10-20T19:42:31Z</dcterms:created>
  <dcterms:modified xsi:type="dcterms:W3CDTF">2019-01-29T20:27:18Z</dcterms:modified>
</cp:coreProperties>
</file>