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9A6F2B51-AC73-FC47-AA46-0EA94B45A354}" xr6:coauthVersionLast="38" xr6:coauthVersionMax="38" xr10:uidLastSave="{00000000-0000-0000-0000-000000000000}"/>
  <bookViews>
    <workbookView xWindow="0" yWindow="460" windowWidth="33600" windowHeight="20540" activeTab="5" xr2:uid="{838B0196-D158-479E-A7C6-911A07F6EFB7}"/>
  </bookViews>
  <sheets>
    <sheet name="BPV Calcs" sheetId="1" r:id="rId1"/>
    <sheet name="N2O Pressure Calcs" sheetId="2" r:id="rId2"/>
    <sheet name="N2O Ullage Calcs" sheetId="3" r:id="rId3"/>
    <sheet name="RT Head thickness Mass" sheetId="4" r:id="rId4"/>
    <sheet name="RT Mounting Bolt Calcs" sheetId="5" r:id="rId5"/>
    <sheet name="BPV Calcs for No PWHT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3" l="1"/>
  <c r="J5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4" i="3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B3" i="5"/>
  <c r="I6" i="5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C4" i="4"/>
  <c r="C3" i="4"/>
  <c r="D3" i="4" s="1"/>
  <c r="D4" i="4" s="1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F26" i="3"/>
  <c r="F38" i="3"/>
  <c r="F50" i="3"/>
  <c r="F27" i="3"/>
  <c r="F51" i="3"/>
  <c r="F41" i="3"/>
  <c r="F18" i="3"/>
  <c r="F4" i="3"/>
  <c r="E4" i="3" s="1"/>
  <c r="F31" i="3"/>
  <c r="F32" i="3"/>
  <c r="F21" i="3"/>
  <c r="F45" i="3"/>
  <c r="F23" i="3"/>
  <c r="F35" i="3"/>
  <c r="F36" i="3"/>
  <c r="F49" i="3"/>
  <c r="G53" i="3"/>
  <c r="F15" i="3"/>
  <c r="F39" i="3"/>
  <c r="F5" i="3"/>
  <c r="F53" i="3"/>
  <c r="F30" i="3"/>
  <c r="F19" i="3"/>
  <c r="F8" i="3"/>
  <c r="F22" i="3"/>
  <c r="F24" i="3"/>
  <c r="F37" i="3"/>
  <c r="F16" i="3"/>
  <c r="F28" i="3"/>
  <c r="F40" i="3"/>
  <c r="F52" i="3"/>
  <c r="F17" i="3"/>
  <c r="F6" i="3"/>
  <c r="F42" i="3"/>
  <c r="F7" i="3"/>
  <c r="F20" i="3"/>
  <c r="F10" i="3"/>
  <c r="F47" i="3"/>
  <c r="F25" i="3"/>
  <c r="F29" i="3"/>
  <c r="F43" i="3"/>
  <c r="F44" i="3"/>
  <c r="F9" i="3"/>
  <c r="F33" i="3"/>
  <c r="F46" i="3"/>
  <c r="F11" i="3"/>
  <c r="F48" i="3"/>
  <c r="F13" i="3"/>
  <c r="F34" i="3"/>
  <c r="F12" i="3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G56" i="3" l="1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J53" i="2" l="1"/>
  <c r="B19" i="6" s="1"/>
  <c r="B16" i="6"/>
  <c r="B17" i="6" s="1"/>
  <c r="B16" i="1"/>
  <c r="B17" i="1" s="1"/>
  <c r="E8" i="1" s="1"/>
  <c r="B19" i="1" l="1"/>
  <c r="E12" i="6"/>
  <c r="E13" i="6" s="1"/>
  <c r="E9" i="6"/>
  <c r="E8" i="6"/>
  <c r="E10" i="6" s="1"/>
  <c r="E9" i="1"/>
  <c r="E10" i="1" s="1"/>
  <c r="E12" i="1"/>
  <c r="E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<sst xmlns="http://schemas.openxmlformats.org/spreadsheetml/2006/main" count="161" uniqueCount="112">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</sst>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zoomScale="132" zoomScaleNormal="70" workbookViewId="0">
      <selection activeCell="B10" sqref="B10"/>
    </sheetView>
  </sheetViews>
  <sheetFormatPr baseColWidth="10" defaultColWidth="8.83203125" defaultRowHeight="15" x14ac:dyDescent="0.2"/>
  <cols>
    <col min="1" max="1" width="45.1640625" customWidth="1"/>
    <col min="2" max="2" width="9.5" customWidth="1"/>
    <col min="3" max="3" width="3.6640625" customWidth="1"/>
    <col min="4" max="4" width="35.33203125" bestFit="1" customWidth="1"/>
    <col min="5" max="5" width="21.83203125" customWidth="1"/>
  </cols>
  <sheetData>
    <row r="1" spans="1:6" ht="16" x14ac:dyDescent="0.2">
      <c r="A1" s="147" t="s">
        <v>6</v>
      </c>
      <c r="B1" s="147"/>
      <c r="C1" s="147"/>
      <c r="D1" s="147"/>
      <c r="E1" s="147"/>
      <c r="F1" s="147"/>
    </row>
    <row r="2" spans="1:6" ht="16" x14ac:dyDescent="0.2">
      <c r="A2" s="148" t="s">
        <v>11</v>
      </c>
      <c r="B2" s="148"/>
      <c r="C2" s="148"/>
      <c r="D2" s="148"/>
      <c r="E2" s="148"/>
      <c r="F2" s="148"/>
    </row>
    <row r="3" spans="1:6" x14ac:dyDescent="0.2">
      <c r="A3" s="150" t="s">
        <v>12</v>
      </c>
      <c r="B3" s="150"/>
      <c r="C3" s="150"/>
      <c r="D3" s="150"/>
      <c r="E3" s="150"/>
      <c r="F3" s="150"/>
    </row>
    <row r="5" spans="1:6" x14ac:dyDescent="0.2">
      <c r="A5" s="149" t="s">
        <v>4</v>
      </c>
      <c r="B5" s="149"/>
      <c r="D5" s="149" t="s">
        <v>3</v>
      </c>
      <c r="E5" s="149"/>
    </row>
    <row r="6" spans="1:6" x14ac:dyDescent="0.2">
      <c r="A6" t="s">
        <v>1</v>
      </c>
      <c r="B6">
        <v>825</v>
      </c>
      <c r="D6" s="1"/>
      <c r="E6" s="2"/>
    </row>
    <row r="7" spans="1:6" x14ac:dyDescent="0.2">
      <c r="A7" s="3" t="s">
        <v>2</v>
      </c>
      <c r="B7" s="3">
        <v>0</v>
      </c>
    </row>
    <row r="8" spans="1:6" x14ac:dyDescent="0.2">
      <c r="A8" t="s">
        <v>0</v>
      </c>
      <c r="B8">
        <v>3.25</v>
      </c>
      <c r="D8" s="8" t="s">
        <v>8</v>
      </c>
      <c r="E8" s="9">
        <f>B17*B8/((B11*B9)-(0.6*B17))</f>
        <v>0.18247949121636881</v>
      </c>
    </row>
    <row r="9" spans="1:6" x14ac:dyDescent="0.2">
      <c r="A9" t="s">
        <v>9</v>
      </c>
      <c r="B9" s="3">
        <v>0.9</v>
      </c>
      <c r="D9" s="10" t="s">
        <v>10</v>
      </c>
      <c r="E9" s="11">
        <f>B17*B8/((2*B11*B9)+(0.4*B17))</f>
        <v>8.731761067402441E-2</v>
      </c>
    </row>
    <row r="10" spans="1:6" ht="16" x14ac:dyDescent="0.2">
      <c r="A10" s="4" t="s">
        <v>5</v>
      </c>
      <c r="B10">
        <v>2</v>
      </c>
      <c r="D10" s="12" t="s">
        <v>15</v>
      </c>
      <c r="E10" s="13">
        <f>MAX(E8:E9)</f>
        <v>0.18247949121636881</v>
      </c>
    </row>
    <row r="11" spans="1:6" x14ac:dyDescent="0.2">
      <c r="A11" t="s">
        <v>7</v>
      </c>
      <c r="B11">
        <v>33000</v>
      </c>
      <c r="D11" s="7"/>
      <c r="E11" s="6"/>
    </row>
    <row r="12" spans="1:6" ht="16" thickBot="1" x14ac:dyDescent="0.25">
      <c r="A12" t="s">
        <v>91</v>
      </c>
      <c r="B12">
        <v>7</v>
      </c>
      <c r="D12" s="110" t="s">
        <v>54</v>
      </c>
      <c r="E12" s="111">
        <f>(B17*B8)/((2*B11*B9)-(0.2*B17))</f>
        <v>8.874824789701645E-2</v>
      </c>
    </row>
    <row r="13" spans="1:6" ht="16" thickBot="1" x14ac:dyDescent="0.25">
      <c r="A13" s="122" t="s">
        <v>74</v>
      </c>
      <c r="B13" s="123">
        <f>0.25-0.025</f>
        <v>0.22500000000000001</v>
      </c>
      <c r="D13" s="112" t="s">
        <v>55</v>
      </c>
      <c r="E13" s="113">
        <f>E12</f>
        <v>8.874824789701645E-2</v>
      </c>
    </row>
    <row r="14" spans="1:6" ht="16" thickBot="1" x14ac:dyDescent="0.25">
      <c r="A14" s="122" t="s">
        <v>75</v>
      </c>
      <c r="B14" s="123">
        <v>0.125</v>
      </c>
      <c r="D14" s="5"/>
      <c r="E14" s="5"/>
    </row>
    <row r="15" spans="1:6" x14ac:dyDescent="0.2">
      <c r="D15" s="5"/>
      <c r="E15" s="5"/>
    </row>
    <row r="16" spans="1:6" ht="32" x14ac:dyDescent="0.2">
      <c r="A16" s="57" t="s">
        <v>41</v>
      </c>
      <c r="B16" s="126">
        <f>'N2O Pressure Calcs'!H53</f>
        <v>806.61716630606907</v>
      </c>
      <c r="D16" s="5"/>
      <c r="E16" s="5"/>
    </row>
    <row r="17" spans="1:5" ht="16" x14ac:dyDescent="0.2">
      <c r="A17" s="56" t="s">
        <v>42</v>
      </c>
      <c r="B17" s="128">
        <f>B10*B16</f>
        <v>1613.2343326121381</v>
      </c>
      <c r="D17" s="5"/>
      <c r="E17" s="5"/>
    </row>
    <row r="18" spans="1:5" x14ac:dyDescent="0.2">
      <c r="A18" s="60"/>
      <c r="B18" s="58"/>
      <c r="C18" s="59"/>
      <c r="D18" s="5"/>
      <c r="E18" s="5"/>
    </row>
    <row r="19" spans="1:5" ht="46.5" customHeight="1" x14ac:dyDescent="0.2">
      <c r="A19" s="57" t="s">
        <v>58</v>
      </c>
      <c r="B19" s="127">
        <f>'N2O Pressure Calcs'!J53</f>
        <v>809.64703151146546</v>
      </c>
      <c r="D19" s="5"/>
      <c r="E19" s="5"/>
    </row>
    <row r="24" spans="1:5" ht="33.75" customHeight="1" x14ac:dyDescent="0.2">
      <c r="A24" s="53"/>
      <c r="B24" s="21"/>
    </row>
    <row r="25" spans="1:5" ht="15" customHeight="1" x14ac:dyDescent="0.2">
      <c r="A25" s="54"/>
      <c r="B25" s="22"/>
    </row>
    <row r="26" spans="1:5" x14ac:dyDescent="0.2">
      <c r="A26" s="22"/>
      <c r="B26" s="22"/>
    </row>
    <row r="27" spans="1:5" x14ac:dyDescent="0.2">
      <c r="A27" s="52"/>
      <c r="B27" s="22"/>
    </row>
    <row r="28" spans="1:5" ht="15" customHeight="1" x14ac:dyDescent="0.2">
      <c r="A28" s="55"/>
      <c r="B28" s="21"/>
    </row>
    <row r="29" spans="1:5" x14ac:dyDescent="0.2">
      <c r="A29" s="55"/>
      <c r="B29" s="22"/>
    </row>
    <row r="30" spans="1:5" x14ac:dyDescent="0.2">
      <c r="A30" s="55"/>
      <c r="B30" s="21"/>
    </row>
    <row r="31" spans="1:5" x14ac:dyDescent="0.2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G53" sqref="G53"/>
    </sheetView>
  </sheetViews>
  <sheetFormatPr baseColWidth="10" defaultColWidth="11.5" defaultRowHeight="15" x14ac:dyDescent="0.2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 x14ac:dyDescent="0.2">
      <c r="A1" s="67"/>
      <c r="B1" s="157" t="s">
        <v>17</v>
      </c>
      <c r="C1" s="158"/>
      <c r="D1" s="159"/>
      <c r="E1" s="14"/>
      <c r="F1" s="14"/>
      <c r="G1" s="154" t="s">
        <v>34</v>
      </c>
      <c r="H1" s="155"/>
      <c r="I1" s="155"/>
      <c r="J1" s="156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 x14ac:dyDescent="0.2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1" t="s">
        <v>24</v>
      </c>
      <c r="H2" s="152"/>
      <c r="I2" s="152" t="s">
        <v>25</v>
      </c>
      <c r="J2" s="153"/>
      <c r="K2" s="43"/>
      <c r="L2" t="s">
        <v>14</v>
      </c>
      <c r="M2">
        <f>P1+(2*P3)</f>
        <v>2.9021285470867113</v>
      </c>
      <c r="O2" t="s">
        <v>31</v>
      </c>
      <c r="P2">
        <f>'BPV Calcs'!B8</f>
        <v>3.25</v>
      </c>
    </row>
    <row r="3" spans="1:16" x14ac:dyDescent="0.2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 x14ac:dyDescent="0.2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 x14ac:dyDescent="0.2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 x14ac:dyDescent="0.2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 x14ac:dyDescent="0.2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 x14ac:dyDescent="0.2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 x14ac:dyDescent="0.2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 x14ac:dyDescent="0.2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 x14ac:dyDescent="0.2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 x14ac:dyDescent="0.2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 x14ac:dyDescent="0.2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 x14ac:dyDescent="0.2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 x14ac:dyDescent="0.2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 x14ac:dyDescent="0.2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 x14ac:dyDescent="0.2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 x14ac:dyDescent="0.2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 x14ac:dyDescent="0.2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 x14ac:dyDescent="0.2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 x14ac:dyDescent="0.2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 x14ac:dyDescent="0.2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 x14ac:dyDescent="0.2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 x14ac:dyDescent="0.2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 x14ac:dyDescent="0.2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 x14ac:dyDescent="0.2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 x14ac:dyDescent="0.2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 x14ac:dyDescent="0.2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 x14ac:dyDescent="0.2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 x14ac:dyDescent="0.2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 x14ac:dyDescent="0.2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 x14ac:dyDescent="0.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 x14ac:dyDescent="0.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 x14ac:dyDescent="0.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 x14ac:dyDescent="0.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 x14ac:dyDescent="0.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 x14ac:dyDescent="0.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 x14ac:dyDescent="0.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 x14ac:dyDescent="0.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 x14ac:dyDescent="0.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 x14ac:dyDescent="0.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 x14ac:dyDescent="0.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 x14ac:dyDescent="0.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 x14ac:dyDescent="0.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 x14ac:dyDescent="0.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 x14ac:dyDescent="0.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 x14ac:dyDescent="0.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 x14ac:dyDescent="0.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 x14ac:dyDescent="0.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 x14ac:dyDescent="0.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 x14ac:dyDescent="0.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 x14ac:dyDescent="0.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 x14ac:dyDescent="0.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 x14ac:dyDescent="0.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 x14ac:dyDescent="0.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 x14ac:dyDescent="0.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 x14ac:dyDescent="0.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 x14ac:dyDescent="0.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 x14ac:dyDescent="0.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 x14ac:dyDescent="0.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 x14ac:dyDescent="0.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 x14ac:dyDescent="0.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 x14ac:dyDescent="0.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 x14ac:dyDescent="0.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 x14ac:dyDescent="0.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 x14ac:dyDescent="0.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 x14ac:dyDescent="0.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 x14ac:dyDescent="0.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 x14ac:dyDescent="0.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 x14ac:dyDescent="0.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 x14ac:dyDescent="0.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 x14ac:dyDescent="0.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 x14ac:dyDescent="0.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 x14ac:dyDescent="0.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 x14ac:dyDescent="0.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 x14ac:dyDescent="0.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 x14ac:dyDescent="0.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 x14ac:dyDescent="0.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zoomScale="125" zoomScaleNormal="73" workbookViewId="0">
      <pane xSplit="1" topLeftCell="B1" activePane="topRight" state="frozen"/>
      <selection pane="topRight" activeCell="G6" sqref="G6"/>
    </sheetView>
  </sheetViews>
  <sheetFormatPr baseColWidth="10" defaultColWidth="11.5" defaultRowHeight="15" x14ac:dyDescent="0.2"/>
  <cols>
    <col min="1" max="1" width="11.5" style="24"/>
    <col min="3" max="3" width="11.83203125" customWidth="1"/>
    <col min="4" max="4" width="11.5" style="23"/>
    <col min="5" max="5" width="11.5" style="59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10.83203125" bestFit="1" customWidth="1"/>
    <col min="15" max="15" width="40.6640625" bestFit="1" customWidth="1"/>
    <col min="18" max="18" width="23.5" bestFit="1" customWidth="1"/>
  </cols>
  <sheetData>
    <row r="1" spans="1:16" ht="23.25" customHeight="1" x14ac:dyDescent="0.2">
      <c r="A1" s="164" t="s">
        <v>17</v>
      </c>
      <c r="B1" s="165"/>
      <c r="C1" s="165"/>
      <c r="D1" s="166"/>
      <c r="E1" s="63"/>
      <c r="F1" s="167" t="s">
        <v>108</v>
      </c>
      <c r="G1" s="109"/>
      <c r="H1" s="109"/>
      <c r="I1" s="109"/>
      <c r="J1" s="170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8" customHeight="1" x14ac:dyDescent="0.2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68"/>
      <c r="G2" s="105" t="s">
        <v>39</v>
      </c>
      <c r="H2" s="105" t="s">
        <v>111</v>
      </c>
      <c r="I2" s="105" t="s">
        <v>35</v>
      </c>
      <c r="J2" s="171"/>
      <c r="K2" s="161" t="s">
        <v>48</v>
      </c>
      <c r="L2" s="162"/>
      <c r="M2" s="64"/>
      <c r="N2" s="66"/>
      <c r="O2" t="s">
        <v>14</v>
      </c>
      <c r="P2">
        <f>S1+(2*S3)</f>
        <v>0</v>
      </c>
    </row>
    <row r="3" spans="1:16" ht="16" thickBot="1" x14ac:dyDescent="0.25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69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 x14ac:dyDescent="0.2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Calcs'!$B$8/12)+(J4/(PI()*(('BPV Calcs'!$B$8/12)^2))),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 x14ac:dyDescent="0.2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Calcs'!$B$8/12)+(J5/(PI()*(('BPV Calcs'!$B$8/12)^2))),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 x14ac:dyDescent="0.2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Calcs'!$B$8/12)+(J6/(PI()*(('BPV Calcs'!$B$8/12)^2))),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 x14ac:dyDescent="0.2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Calcs'!$B$8/12)+(J7/(PI()*(('BPV Calcs'!$B$8/12)^2))),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 x14ac:dyDescent="0.2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Calcs'!$B$8/12)+(J8/(PI()*(('BPV Calcs'!$B$8/12)^2))),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 x14ac:dyDescent="0.2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Calcs'!$B$8/12)+(J9/(PI()*(('BPV Calcs'!$B$8/12)^2))),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 x14ac:dyDescent="0.2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Calcs'!$B$8/12)+(J10/(PI()*(('BPV Calcs'!$B$8/12)^2))),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110</v>
      </c>
    </row>
    <row r="11" spans="1:16" x14ac:dyDescent="0.2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Calcs'!$B$8/12)+(J11/(PI()*(('BPV Calcs'!$B$8/12)^2))),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109</v>
      </c>
      <c r="P11" s="40">
        <v>0.05</v>
      </c>
    </row>
    <row r="12" spans="1:16" x14ac:dyDescent="0.2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Calcs'!$B$8/12)+(J12/(PI()*(('BPV Calcs'!$B$8/12)^2))),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 x14ac:dyDescent="0.2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Calcs'!$B$8/12)+(J13/(PI()*(('BPV Calcs'!$B$8/12)^2))),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 x14ac:dyDescent="0.2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Calcs'!$B$8/12)+(J14/(PI()*(('BPV Calcs'!$B$8/12)^2))),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 x14ac:dyDescent="0.2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Calcs'!$B$8/12)+(J15/(PI()*(('BPV Calcs'!$B$8/12)^2))),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 x14ac:dyDescent="0.2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Calcs'!$B$8/12)+(J16/(PI()*(('BPV Calcs'!$B$8/12)^2))),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 x14ac:dyDescent="0.2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Calcs'!$B$8/12)+(J17/(PI()*(('BPV Calcs'!$B$8/12)^2))),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 x14ac:dyDescent="0.2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Calcs'!$B$8/12)+(J18/(PI()*(('BPV Calcs'!$B$8/12)^2))),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 x14ac:dyDescent="0.2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Calcs'!$B$8/12)+(J19/(PI()*(('BPV Calcs'!$B$8/12)^2))),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 x14ac:dyDescent="0.2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Calcs'!$B$8/12)+(J20/(PI()*(('BPV Calcs'!$B$8/12)^2))),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 x14ac:dyDescent="0.2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Calcs'!$B$8/12)+(J21/(PI()*(('BPV Calcs'!$B$8/12)^2))),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 x14ac:dyDescent="0.2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Calcs'!$B$8/12)+(J22/(PI()*(('BPV Calcs'!$B$8/12)^2))),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 x14ac:dyDescent="0.2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Calcs'!$B$8/12)+(J23/(PI()*(('BPV Calcs'!$B$8/12)^2))),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 x14ac:dyDescent="0.2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Calcs'!$B$8/12)+(J24/(PI()*(('BPV Calcs'!$B$8/12)^2))),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 x14ac:dyDescent="0.2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Calcs'!$B$8/12)+(J25/(PI()*(('BPV Calcs'!$B$8/12)^2))),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 x14ac:dyDescent="0.2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Calcs'!$B$8/12)+(J26/(PI()*(('BPV Calcs'!$B$8/12)^2))),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 x14ac:dyDescent="0.2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Calcs'!$B$8/12)+(J27/(PI()*(('BPV Calcs'!$B$8/12)^2))),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 x14ac:dyDescent="0.2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Calcs'!$B$8/12)+(J28/(PI()*(('BPV Calcs'!$B$8/12)^2))),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 x14ac:dyDescent="0.2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Calcs'!$B$8/12)+(J29/(PI()*(('BPV Calcs'!$B$8/12)^2))),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 x14ac:dyDescent="0.2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Calcs'!$B$8/12)+(J30/(PI()*(('BPV Calcs'!$B$8/12)^2))),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 x14ac:dyDescent="0.2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Calcs'!$B$8/12)+(J31/(PI()*(('BPV Calcs'!$B$8/12)^2))),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 x14ac:dyDescent="0.2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Calcs'!$B$8/12)+(J32/(PI()*(('BPV Calcs'!$B$8/12)^2))),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 x14ac:dyDescent="0.2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Calcs'!$B$8/12)+(J33/(PI()*(('BPV Calcs'!$B$8/12)^2))),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 x14ac:dyDescent="0.2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Calcs'!$B$8/12)+(J34/(PI()*(('BPV Calcs'!$B$8/12)^2))),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 x14ac:dyDescent="0.2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Calcs'!$B$8/12)+(J35/(PI()*(('BPV Calcs'!$B$8/12)^2))),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 x14ac:dyDescent="0.2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Calcs'!$B$8/12)+(J36/(PI()*(('BPV Calcs'!$B$8/12)^2))),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 x14ac:dyDescent="0.2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Calcs'!$B$8/12)+(J37/(PI()*(('BPV Calcs'!$B$8/12)^2))),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 x14ac:dyDescent="0.2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Calcs'!$B$8/12)+(J38/(PI()*(('BPV Calcs'!$B$8/12)^2))),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 x14ac:dyDescent="0.2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Calcs'!$B$8/12)+(J39/(PI()*(('BPV Calcs'!$B$8/12)^2))),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 x14ac:dyDescent="0.2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Calcs'!$B$8/12)+(J40/(PI()*(('BPV Calcs'!$B$8/12)^2))),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 x14ac:dyDescent="0.2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Calcs'!$B$8/12)+(J41/(PI()*(('BPV Calcs'!$B$8/12)^2))),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 x14ac:dyDescent="0.2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Calcs'!$B$8/12)+(J42/(PI()*(('BPV Calcs'!$B$8/12)^2))), "Need to Use Goal Seek tool")</f>
        <v>0.44480603016175646</v>
      </c>
      <c r="L42" s="77">
        <f t="shared" si="4"/>
        <v>5.3376723619410775</v>
      </c>
      <c r="M42" s="163" t="s">
        <v>53</v>
      </c>
      <c r="N42" s="50"/>
    </row>
    <row r="43" spans="1:15" x14ac:dyDescent="0.2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Calcs'!$B$8/12)+(J43/(PI()*(('BPV Calcs'!$B$8/12)^2))), "Need to Use Goal Seek tool")</f>
        <v>0.42842846007837854</v>
      </c>
      <c r="L43" s="77">
        <f t="shared" si="4"/>
        <v>5.1411415209405424</v>
      </c>
      <c r="M43" s="163"/>
      <c r="N43" s="50"/>
    </row>
    <row r="44" spans="1:15" x14ac:dyDescent="0.2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Calcs'!$B$8/12)+(J44/(PI()*(('BPV Calcs'!$B$8/12)^2))),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 x14ac:dyDescent="0.2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Calcs'!$B$8/12))-K45))-I45</f>
        <v>-3.3853493114861223E-2</v>
      </c>
      <c r="N45" s="50"/>
    </row>
    <row r="46" spans="1:15" x14ac:dyDescent="0.2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Calcs'!$B$8/12))-K46))-I46</f>
        <v>-3.4425031376727561E-2</v>
      </c>
      <c r="N46" s="50"/>
    </row>
    <row r="47" spans="1:15" x14ac:dyDescent="0.2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Calcs'!$B$8/12))-K47))-I47</f>
        <v>-3.4556436349633679E-2</v>
      </c>
      <c r="N47" s="50"/>
      <c r="O47" s="49"/>
    </row>
    <row r="48" spans="1:15" x14ac:dyDescent="0.2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Calcs'!$B$8/12))-K48))-I48</f>
        <v>-3.5023565685665392E-2</v>
      </c>
      <c r="N48" s="50"/>
    </row>
    <row r="49" spans="1:15" x14ac:dyDescent="0.2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Calcs'!$B$8/12))-K49))-I49</f>
        <v>-3.5584679345422088E-2</v>
      </c>
      <c r="N49" s="50"/>
    </row>
    <row r="50" spans="1:15" x14ac:dyDescent="0.2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Calcs'!$B$8/12))-K50))-I50</f>
        <v>-3.662644916270065E-2</v>
      </c>
      <c r="N50" s="50"/>
    </row>
    <row r="51" spans="1:15" x14ac:dyDescent="0.2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Calcs'!$B$8/12))-K51))-I51</f>
        <v>-3.662505084928188E-2</v>
      </c>
      <c r="N51" s="50"/>
    </row>
    <row r="52" spans="1:15" x14ac:dyDescent="0.2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Calcs'!$B$8/12))-K52))-I52</f>
        <v>-3.7408018391000608E-2</v>
      </c>
      <c r="N52" s="50"/>
    </row>
    <row r="53" spans="1:15" ht="16" thickBot="1" x14ac:dyDescent="0.25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Calcs'!$B$8/12))-K53))-I53</f>
        <v>-3.7560000000000052E-2</v>
      </c>
      <c r="N53" s="47"/>
      <c r="O53" s="40"/>
    </row>
    <row r="54" spans="1:15" ht="16" thickBot="1" x14ac:dyDescent="0.25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 x14ac:dyDescent="0.2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Calcs'!B8/12)^3)</f>
        <v>4.160686161709571E-2</v>
      </c>
      <c r="H55" s="38"/>
      <c r="I55" s="17"/>
      <c r="K55" s="50"/>
      <c r="L55" s="50"/>
      <c r="M55" s="17"/>
      <c r="N55" s="17"/>
    </row>
    <row r="56" spans="1:15" x14ac:dyDescent="0.2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 x14ac:dyDescent="0.2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6" thickBot="1" x14ac:dyDescent="0.25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Calcs'!B8/12)</f>
        <v>2.9021285470867113</v>
      </c>
      <c r="H58" s="38"/>
      <c r="I58" s="38"/>
      <c r="J58" s="17"/>
      <c r="K58" s="17"/>
      <c r="L58" s="17"/>
      <c r="M58" s="17"/>
      <c r="N58" s="17"/>
    </row>
    <row r="59" spans="1:15" x14ac:dyDescent="0.2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 x14ac:dyDescent="0.2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60"/>
      <c r="G60" s="160"/>
      <c r="H60" s="146"/>
      <c r="I60" s="38"/>
      <c r="J60" s="17"/>
      <c r="K60" s="17"/>
      <c r="L60" s="17"/>
      <c r="M60" s="17"/>
      <c r="N60" s="17"/>
    </row>
    <row r="61" spans="1:15" x14ac:dyDescent="0.2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 x14ac:dyDescent="0.2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 x14ac:dyDescent="0.2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 x14ac:dyDescent="0.2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 x14ac:dyDescent="0.2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 x14ac:dyDescent="0.2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 x14ac:dyDescent="0.2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 x14ac:dyDescent="0.2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 x14ac:dyDescent="0.2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 x14ac:dyDescent="0.2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 x14ac:dyDescent="0.2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 x14ac:dyDescent="0.2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 x14ac:dyDescent="0.2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 x14ac:dyDescent="0.2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 x14ac:dyDescent="0.2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 x14ac:dyDescent="0.2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 x14ac:dyDescent="0.2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 x14ac:dyDescent="0.2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6" thickBot="1" x14ac:dyDescent="0.25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6">
    <mergeCell ref="F60:G60"/>
    <mergeCell ref="A1:D1"/>
    <mergeCell ref="F1:F3"/>
    <mergeCell ref="J1:J2"/>
    <mergeCell ref="K2:L2"/>
    <mergeCell ref="M42:M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baseColWidth="10" defaultColWidth="8.83203125" defaultRowHeight="15" x14ac:dyDescent="0.2"/>
  <cols>
    <col min="1" max="1" width="25.5" bestFit="1" customWidth="1"/>
    <col min="2" max="2" width="12.5" bestFit="1" customWidth="1"/>
    <col min="3" max="3" width="10.83203125" bestFit="1" customWidth="1"/>
    <col min="4" max="4" width="16.1640625" bestFit="1" customWidth="1"/>
  </cols>
  <sheetData>
    <row r="1" spans="1:6" x14ac:dyDescent="0.2">
      <c r="A1" s="125" t="s">
        <v>60</v>
      </c>
      <c r="B1" s="125">
        <v>9.8000000000000004E-2</v>
      </c>
      <c r="D1" t="s">
        <v>65</v>
      </c>
      <c r="F1">
        <v>32.200000000000003</v>
      </c>
    </row>
    <row r="2" spans="1:6" x14ac:dyDescent="0.2">
      <c r="B2" s="40" t="s">
        <v>61</v>
      </c>
      <c r="C2" s="40" t="s">
        <v>64</v>
      </c>
      <c r="D2" s="40"/>
    </row>
    <row r="3" spans="1:6" x14ac:dyDescent="0.2">
      <c r="A3" s="40" t="s">
        <v>62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66</v>
      </c>
    </row>
    <row r="4" spans="1:6" x14ac:dyDescent="0.2">
      <c r="A4" s="40" t="s">
        <v>63</v>
      </c>
      <c r="B4">
        <v>23.2911</v>
      </c>
      <c r="C4">
        <f>B4*$B$1</f>
        <v>2.2825278</v>
      </c>
      <c r="D4">
        <f>D3*2</f>
        <v>2.4062723999999998</v>
      </c>
      <c r="E4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 x14ac:dyDescent="0.2">
      <c r="A1" s="136" t="s">
        <v>90</v>
      </c>
      <c r="H1" t="s">
        <v>68</v>
      </c>
      <c r="I1">
        <v>0.25</v>
      </c>
      <c r="L1" t="s">
        <v>76</v>
      </c>
      <c r="M1">
        <v>32.164000000000001</v>
      </c>
    </row>
    <row r="2" spans="1:13" x14ac:dyDescent="0.2">
      <c r="A2" t="s">
        <v>82</v>
      </c>
      <c r="B2">
        <f>(4*I16)/(I17*PI()*(I19^2))</f>
        <v>7398.4911863549469</v>
      </c>
      <c r="H2" s="139" t="s">
        <v>79</v>
      </c>
      <c r="I2" s="139">
        <f>'BPV Calcs'!B11</f>
        <v>33000</v>
      </c>
    </row>
    <row r="3" spans="1:13" x14ac:dyDescent="0.2">
      <c r="A3" t="s">
        <v>99</v>
      </c>
      <c r="B3">
        <f>I6</f>
        <v>72000</v>
      </c>
      <c r="H3" s="139" t="s">
        <v>104</v>
      </c>
      <c r="I3" s="139">
        <v>85000</v>
      </c>
      <c r="J3" t="s">
        <v>103</v>
      </c>
    </row>
    <row r="4" spans="1:13" x14ac:dyDescent="0.2">
      <c r="A4" s="40" t="s">
        <v>5</v>
      </c>
      <c r="B4" s="40">
        <f>B3/B2</f>
        <v>9.7317139652460156</v>
      </c>
      <c r="H4" s="140" t="s">
        <v>84</v>
      </c>
      <c r="I4">
        <v>120000</v>
      </c>
    </row>
    <row r="5" spans="1:13" x14ac:dyDescent="0.2">
      <c r="A5" s="40"/>
      <c r="B5" s="40"/>
      <c r="H5" s="140" t="s">
        <v>85</v>
      </c>
      <c r="I5">
        <v>0.6</v>
      </c>
    </row>
    <row r="6" spans="1:13" x14ac:dyDescent="0.2">
      <c r="A6" s="40"/>
      <c r="B6" s="40"/>
      <c r="H6" s="140" t="s">
        <v>86</v>
      </c>
      <c r="I6">
        <f>I4*I5</f>
        <v>72000</v>
      </c>
    </row>
    <row r="7" spans="1:13" ht="20.25" customHeight="1" x14ac:dyDescent="0.2">
      <c r="A7" s="137" t="s">
        <v>89</v>
      </c>
      <c r="H7" s="138" t="s">
        <v>69</v>
      </c>
      <c r="I7" s="138"/>
    </row>
    <row r="8" spans="1:13" x14ac:dyDescent="0.2">
      <c r="A8" s="132" t="s">
        <v>92</v>
      </c>
      <c r="B8">
        <f>I16*I18/(PI()*('BPV Calcs'!B12-(2*'RT Mounting Bolt Calcs'!I1))*'RT Mounting Bolt Calcs'!I1)</f>
        <v>569.11470664268825</v>
      </c>
      <c r="C8" t="s">
        <v>96</v>
      </c>
      <c r="H8" t="s">
        <v>70</v>
      </c>
      <c r="I8">
        <f>'N2O Pressure Calcs'!P5</f>
        <v>6.1820000000000004</v>
      </c>
    </row>
    <row r="9" spans="1:13" x14ac:dyDescent="0.2">
      <c r="A9" s="132" t="s">
        <v>98</v>
      </c>
      <c r="B9">
        <f>I2</f>
        <v>33000</v>
      </c>
      <c r="H9" t="s">
        <v>71</v>
      </c>
      <c r="I9">
        <f>'N2O Pressure Calcs'!M3</f>
        <v>32.200000000000003</v>
      </c>
    </row>
    <row r="10" spans="1:13" x14ac:dyDescent="0.2">
      <c r="A10" s="145" t="s">
        <v>5</v>
      </c>
      <c r="B10" s="40">
        <f>B9/B8</f>
        <v>57.984795709590841</v>
      </c>
      <c r="H10" s="40" t="s">
        <v>72</v>
      </c>
      <c r="I10" s="131">
        <f>I8*I9</f>
        <v>199.06040000000004</v>
      </c>
    </row>
    <row r="12" spans="1:13" x14ac:dyDescent="0.2">
      <c r="H12" t="s">
        <v>77</v>
      </c>
      <c r="I12">
        <v>23.375</v>
      </c>
    </row>
    <row r="13" spans="1:13" ht="18.75" customHeight="1" x14ac:dyDescent="0.2">
      <c r="A13" s="137" t="s">
        <v>93</v>
      </c>
      <c r="H13" s="40" t="s">
        <v>78</v>
      </c>
      <c r="I13" s="130">
        <f>I12/M1</f>
        <v>0.72674418604651159</v>
      </c>
    </row>
    <row r="14" spans="1:13" x14ac:dyDescent="0.2">
      <c r="A14" t="s">
        <v>94</v>
      </c>
      <c r="B14">
        <v>0.3715</v>
      </c>
      <c r="H14" s="40" t="s">
        <v>73</v>
      </c>
      <c r="I14" s="130">
        <f>'N2O Pressure Calcs'!M7</f>
        <v>1.0976899397500375</v>
      </c>
    </row>
    <row r="15" spans="1:13" ht="16" thickBot="1" x14ac:dyDescent="0.25">
      <c r="A15" t="s">
        <v>95</v>
      </c>
      <c r="B15">
        <f>I16/(2*B14*I1)</f>
        <v>1955.1687044668183</v>
      </c>
    </row>
    <row r="16" spans="1:13" ht="16" x14ac:dyDescent="0.2">
      <c r="A16" t="s">
        <v>97</v>
      </c>
      <c r="B16">
        <v>25000</v>
      </c>
      <c r="H16" s="141" t="s">
        <v>87</v>
      </c>
      <c r="I16" s="143">
        <f>I10*(I13+I14)</f>
        <v>363.17258685471148</v>
      </c>
      <c r="J16" t="s">
        <v>88</v>
      </c>
    </row>
    <row r="17" spans="1:10" ht="17" thickBot="1" x14ac:dyDescent="0.25">
      <c r="A17" s="40" t="s">
        <v>5</v>
      </c>
      <c r="B17" s="40">
        <f>B16/B15</f>
        <v>12.786620378530246</v>
      </c>
      <c r="H17" s="142" t="s">
        <v>102</v>
      </c>
      <c r="I17" s="144">
        <v>1</v>
      </c>
    </row>
    <row r="18" spans="1:10" ht="16" thickBot="1" x14ac:dyDescent="0.25">
      <c r="H18" s="133" t="s">
        <v>80</v>
      </c>
      <c r="I18" s="129">
        <v>8</v>
      </c>
    </row>
    <row r="19" spans="1:10" ht="17" thickBot="1" x14ac:dyDescent="0.25">
      <c r="H19" s="135" t="s">
        <v>81</v>
      </c>
      <c r="I19" s="129">
        <v>0.25</v>
      </c>
      <c r="J19" s="134" t="s">
        <v>83</v>
      </c>
    </row>
    <row r="20" spans="1:10" x14ac:dyDescent="0.2">
      <c r="A20" s="68" t="s">
        <v>100</v>
      </c>
      <c r="H20" s="4"/>
    </row>
    <row r="21" spans="1:10" x14ac:dyDescent="0.2">
      <c r="A21" t="s">
        <v>101</v>
      </c>
      <c r="B21">
        <f>I16/(I1*I19)</f>
        <v>5810.7613896753837</v>
      </c>
    </row>
    <row r="22" spans="1:10" x14ac:dyDescent="0.2">
      <c r="A22" t="s">
        <v>98</v>
      </c>
      <c r="B22">
        <f>I2</f>
        <v>33000</v>
      </c>
    </row>
    <row r="23" spans="1:10" x14ac:dyDescent="0.2">
      <c r="A23" s="40" t="s">
        <v>5</v>
      </c>
      <c r="B23" s="40">
        <f>B22/B21</f>
        <v>5.6791180685262201</v>
      </c>
    </row>
    <row r="25" spans="1:10" x14ac:dyDescent="0.2">
      <c r="A25" s="68" t="s">
        <v>106</v>
      </c>
    </row>
    <row r="26" spans="1:10" x14ac:dyDescent="0.2">
      <c r="A26" t="s">
        <v>107</v>
      </c>
      <c r="B26">
        <f>I16/(I1*I19)</f>
        <v>5810.7613896753837</v>
      </c>
    </row>
    <row r="27" spans="1:10" x14ac:dyDescent="0.2">
      <c r="A27" t="s">
        <v>105</v>
      </c>
      <c r="B27">
        <f>I3</f>
        <v>85000</v>
      </c>
    </row>
    <row r="28" spans="1:10" x14ac:dyDescent="0.2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F31"/>
  <sheetViews>
    <sheetView tabSelected="1" zoomScale="132" zoomScaleNormal="70" workbookViewId="0">
      <selection activeCell="A8" sqref="A8"/>
    </sheetView>
  </sheetViews>
  <sheetFormatPr baseColWidth="10" defaultColWidth="8.83203125" defaultRowHeight="15" x14ac:dyDescent="0.2"/>
  <cols>
    <col min="1" max="1" width="45.1640625" customWidth="1"/>
    <col min="2" max="2" width="9.5" customWidth="1"/>
    <col min="3" max="3" width="3.6640625" customWidth="1"/>
    <col min="4" max="4" width="35.33203125" bestFit="1" customWidth="1"/>
    <col min="5" max="5" width="21.83203125" customWidth="1"/>
  </cols>
  <sheetData>
    <row r="1" spans="1:6" ht="16" x14ac:dyDescent="0.2">
      <c r="A1" s="147" t="s">
        <v>6</v>
      </c>
      <c r="B1" s="147"/>
      <c r="C1" s="147"/>
      <c r="D1" s="147"/>
      <c r="E1" s="147"/>
      <c r="F1" s="147"/>
    </row>
    <row r="2" spans="1:6" ht="16" x14ac:dyDescent="0.2">
      <c r="A2" s="148" t="s">
        <v>11</v>
      </c>
      <c r="B2" s="148"/>
      <c r="C2" s="148"/>
      <c r="D2" s="148"/>
      <c r="E2" s="148"/>
      <c r="F2" s="148"/>
    </row>
    <row r="3" spans="1:6" x14ac:dyDescent="0.2">
      <c r="A3" s="150" t="s">
        <v>12</v>
      </c>
      <c r="B3" s="150"/>
      <c r="C3" s="150"/>
      <c r="D3" s="150"/>
      <c r="E3" s="150"/>
      <c r="F3" s="150"/>
    </row>
    <row r="5" spans="1:6" x14ac:dyDescent="0.2">
      <c r="A5" s="149" t="s">
        <v>4</v>
      </c>
      <c r="B5" s="149"/>
      <c r="D5" s="149" t="s">
        <v>3</v>
      </c>
      <c r="E5" s="149"/>
    </row>
    <row r="6" spans="1:6" x14ac:dyDescent="0.2">
      <c r="A6" t="s">
        <v>1</v>
      </c>
      <c r="B6">
        <v>825</v>
      </c>
      <c r="D6" s="1"/>
      <c r="E6" s="2"/>
    </row>
    <row r="7" spans="1:6" x14ac:dyDescent="0.2">
      <c r="A7" s="3" t="s">
        <v>2</v>
      </c>
      <c r="B7" s="3">
        <v>0</v>
      </c>
    </row>
    <row r="8" spans="1:6" x14ac:dyDescent="0.2">
      <c r="A8" t="s">
        <v>0</v>
      </c>
      <c r="B8">
        <v>3.25</v>
      </c>
      <c r="D8" s="8" t="s">
        <v>8</v>
      </c>
      <c r="E8" s="9">
        <f>B17*B8/((B11*B9)-(0.6*B17))</f>
        <v>0.34420897681376578</v>
      </c>
    </row>
    <row r="9" spans="1:6" x14ac:dyDescent="0.2">
      <c r="A9" t="s">
        <v>9</v>
      </c>
      <c r="B9" s="3">
        <v>0.9</v>
      </c>
      <c r="D9" s="10" t="s">
        <v>10</v>
      </c>
      <c r="E9" s="11">
        <f>B17*B8/((2*B11*B9)+(0.4*B17))</f>
        <v>0.15866137015893755</v>
      </c>
    </row>
    <row r="10" spans="1:6" ht="16" x14ac:dyDescent="0.2">
      <c r="A10" s="4" t="s">
        <v>5</v>
      </c>
      <c r="B10">
        <v>2</v>
      </c>
      <c r="D10" s="12" t="s">
        <v>15</v>
      </c>
      <c r="E10" s="13">
        <f>MAX(E8:E9)</f>
        <v>0.34420897681376578</v>
      </c>
    </row>
    <row r="11" spans="1:6" x14ac:dyDescent="0.2">
      <c r="A11" t="s">
        <v>7</v>
      </c>
      <c r="B11">
        <v>18000</v>
      </c>
      <c r="D11" s="7"/>
      <c r="E11" s="6"/>
    </row>
    <row r="12" spans="1:6" ht="16" thickBot="1" x14ac:dyDescent="0.25">
      <c r="A12" t="s">
        <v>91</v>
      </c>
      <c r="B12">
        <v>7</v>
      </c>
      <c r="D12" s="110" t="s">
        <v>54</v>
      </c>
      <c r="E12" s="111">
        <f>(B17*B8)/((2*B11*B9)-(0.2*B17))</f>
        <v>0.16344900899936077</v>
      </c>
    </row>
    <row r="13" spans="1:6" ht="16" thickBot="1" x14ac:dyDescent="0.25">
      <c r="A13" s="122" t="s">
        <v>74</v>
      </c>
      <c r="B13" s="123">
        <f>0.25-0.025</f>
        <v>0.22500000000000001</v>
      </c>
      <c r="D13" s="112" t="s">
        <v>55</v>
      </c>
      <c r="E13" s="113">
        <f>E12</f>
        <v>0.16344900899936077</v>
      </c>
    </row>
    <row r="14" spans="1:6" ht="16" thickBot="1" x14ac:dyDescent="0.25">
      <c r="A14" s="122" t="s">
        <v>75</v>
      </c>
      <c r="B14" s="123">
        <v>0.125</v>
      </c>
      <c r="D14" s="5"/>
      <c r="E14" s="5"/>
    </row>
    <row r="15" spans="1:6" x14ac:dyDescent="0.2">
      <c r="D15" s="5"/>
      <c r="E15" s="5"/>
    </row>
    <row r="16" spans="1:6" ht="32" x14ac:dyDescent="0.2">
      <c r="A16" s="57" t="s">
        <v>41</v>
      </c>
      <c r="B16" s="126">
        <f>'N2O Pressure Calcs'!H53</f>
        <v>806.61716630606907</v>
      </c>
      <c r="D16" s="5"/>
      <c r="E16" s="5"/>
    </row>
    <row r="17" spans="1:5" ht="16" x14ac:dyDescent="0.2">
      <c r="A17" s="56" t="s">
        <v>42</v>
      </c>
      <c r="B17" s="128">
        <f>B10*B16</f>
        <v>1613.2343326121381</v>
      </c>
      <c r="D17" s="5"/>
      <c r="E17" s="5"/>
    </row>
    <row r="18" spans="1:5" x14ac:dyDescent="0.2">
      <c r="A18" s="60"/>
      <c r="B18" s="58"/>
      <c r="C18" s="59"/>
      <c r="D18" s="5"/>
      <c r="E18" s="5"/>
    </row>
    <row r="19" spans="1:5" ht="46.5" customHeight="1" x14ac:dyDescent="0.2">
      <c r="A19" s="57" t="s">
        <v>58</v>
      </c>
      <c r="B19" s="127">
        <f>'N2O Pressure Calcs'!J53</f>
        <v>809.64703151146546</v>
      </c>
      <c r="D19" s="5"/>
      <c r="E19" s="5"/>
    </row>
    <row r="24" spans="1:5" ht="33.75" customHeight="1" x14ac:dyDescent="0.2">
      <c r="A24" s="53"/>
      <c r="B24" s="21"/>
    </row>
    <row r="25" spans="1:5" ht="15" customHeight="1" x14ac:dyDescent="0.2">
      <c r="A25" s="54"/>
      <c r="B25" s="22"/>
    </row>
    <row r="26" spans="1:5" x14ac:dyDescent="0.2">
      <c r="A26" s="22"/>
      <c r="B26" s="22"/>
    </row>
    <row r="27" spans="1:5" x14ac:dyDescent="0.2">
      <c r="A27" s="52"/>
      <c r="B27" s="22"/>
    </row>
    <row r="28" spans="1:5" ht="15" customHeight="1" x14ac:dyDescent="0.2">
      <c r="A28" s="55"/>
      <c r="B28" s="21"/>
    </row>
    <row r="29" spans="1:5" x14ac:dyDescent="0.2">
      <c r="A29" s="55"/>
      <c r="B29" s="22"/>
    </row>
    <row r="30" spans="1:5" x14ac:dyDescent="0.2">
      <c r="A30" s="55"/>
      <c r="B30" s="21"/>
    </row>
    <row r="31" spans="1:5" x14ac:dyDescent="0.2">
      <c r="A31" s="52"/>
    </row>
  </sheetData>
  <mergeCells count="5">
    <mergeCell ref="A1:F1"/>
    <mergeCell ref="A2:F2"/>
    <mergeCell ref="A3:F3"/>
    <mergeCell ref="A5:B5"/>
    <mergeCell ref="D5:E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BPV Calcs</vt:lpstr>
      <vt:lpstr>N2O Pressure Calcs</vt:lpstr>
      <vt:lpstr>N2O Ullage Calcs</vt:lpstr>
      <vt:lpstr>RT Head thickness Mass</vt:lpstr>
      <vt:lpstr>RT Mounting Bolt Calcs</vt:lpstr>
      <vt:lpstr>BPV Calcs for No PWHT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2018-11-08T00:13:51Z</dcterms:modified>
</cp:coreProperties>
</file>