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DD Documents\Propulsion Github\Propulsion\"/>
    </mc:Choice>
  </mc:AlternateContent>
  <xr:revisionPtr revIDLastSave="0" documentId="13_ncr:1_{7BF8D910-2BD8-4728-9B1B-16EB555865D5}" xr6:coauthVersionLast="40" xr6:coauthVersionMax="40" xr10:uidLastSave="{00000000-0000-0000-0000-000000000000}"/>
  <bookViews>
    <workbookView xWindow="1845" yWindow="465" windowWidth="31755" windowHeight="20535" xr2:uid="{31DEBCDE-38FC-CA4F-B845-A280DAD82E45}"/>
  </bookViews>
  <sheets>
    <sheet name="Solving for Dia" sheetId="1" r:id="rId1"/>
    <sheet name="Setting Dia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1" l="1"/>
  <c r="D6" i="2" l="1"/>
  <c r="D12" i="2"/>
  <c r="D13" i="2"/>
  <c r="D5" i="2" s="1"/>
  <c r="D11" i="2"/>
  <c r="D6" i="1"/>
  <c r="D13" i="1"/>
  <c r="D5" i="1" s="1"/>
  <c r="D11" i="1"/>
  <c r="D7" i="2" l="1"/>
  <c r="D8" i="2"/>
  <c r="D18" i="2" s="1"/>
  <c r="D14" i="2" s="1"/>
  <c r="D15" i="2" s="1"/>
  <c r="D16" i="2" s="1"/>
  <c r="D17" i="2" s="1"/>
  <c r="D7" i="1"/>
  <c r="D18" i="1" s="1"/>
  <c r="D14" i="1" s="1"/>
  <c r="D15" i="1" l="1"/>
  <c r="D16" i="1" l="1"/>
  <c r="F17" i="1" s="1"/>
  <c r="D21" i="1"/>
  <c r="D17" i="1" l="1"/>
</calcChain>
</file>

<file path=xl/sharedStrings.xml><?xml version="1.0" encoding="utf-8"?>
<sst xmlns="http://schemas.openxmlformats.org/spreadsheetml/2006/main" count="103" uniqueCount="58">
  <si>
    <t>Flow Rate Calculations for BJ-01 Oxidizer System</t>
  </si>
  <si>
    <t>INPUTS</t>
  </si>
  <si>
    <t>Run Tank Inputs</t>
  </si>
  <si>
    <t>System Inputs</t>
  </si>
  <si>
    <t>ASSUMPTIONS</t>
  </si>
  <si>
    <t>Major head losses are negligible</t>
  </si>
  <si>
    <t>(length of pipe rel. short)</t>
  </si>
  <si>
    <t>Kinetic coefficients (alphas) are equal to unity</t>
  </si>
  <si>
    <t>(assuming turb. flow)</t>
  </si>
  <si>
    <t>Incompressible, no phase change, no temp change</t>
  </si>
  <si>
    <t>Written by Dan Zanko (08/14/2018)</t>
  </si>
  <si>
    <t>NOTES</t>
  </si>
  <si>
    <t xml:space="preserve">Based on Bernoulli's pipe flow eq'n, taken from some point in the cyl. section of Run Tank to just above injector </t>
  </si>
  <si>
    <t>Comb. Ch. Pressure (psi)</t>
  </si>
  <si>
    <t>Overall deltaH (in.)</t>
  </si>
  <si>
    <t>Inner Diameter (in.)</t>
  </si>
  <si>
    <t>Ball Valve</t>
  </si>
  <si>
    <t>Pressure transducer &amp; p.t. split</t>
  </si>
  <si>
    <t>Instantaneous RT Height of Interest (in.))</t>
  </si>
  <si>
    <t>System Outputs</t>
  </si>
  <si>
    <t>Minor Loss Coefficients</t>
  </si>
  <si>
    <t>Overall Length of Plumbing (in.)</t>
  </si>
  <si>
    <t>Overall deltaP (psi)</t>
  </si>
  <si>
    <t>Overall Loss Coeff. (-)</t>
  </si>
  <si>
    <t>Run Tank Pressure (psi)</t>
  </si>
  <si>
    <t>Accel. due to Grav (in/s^2)</t>
  </si>
  <si>
    <t>Min. pipe dia. required for desired max mass flow rate (in.)</t>
  </si>
  <si>
    <t>Max Required Mass Flow Rate (lbm/s)</t>
  </si>
  <si>
    <t>A</t>
  </si>
  <si>
    <t>B</t>
  </si>
  <si>
    <t>C</t>
  </si>
  <si>
    <t>R.T. outlet/injection plumbing inlet</t>
  </si>
  <si>
    <t>RT out/plumb in. threading</t>
  </si>
  <si>
    <t>ASSUMES Pressure at injector inlet = P_combch. + P_estimated drop across injector plate</t>
  </si>
  <si>
    <t>In reality the deltaP drives the flow, this is taken between the head of the N2O vap in the RT and the end of the piping to the inj. plate</t>
  </si>
  <si>
    <t>ASSUMES A PRESSURE DROP ACROSS INJECTOR PLATE</t>
  </si>
  <si>
    <t>Factor of Safety</t>
  </si>
  <si>
    <r>
      <rPr>
        <b/>
        <sz val="11"/>
        <color theme="1"/>
        <rFont val="ACaslonPro-Regular"/>
      </rPr>
      <t>ESTIMATED</t>
    </r>
    <r>
      <rPr>
        <sz val="11"/>
        <color theme="1"/>
        <rFont val="ACaslonPro-Regular"/>
        <family val="2"/>
      </rPr>
      <t xml:space="preserve"> guess of Pressure drop across injector (psi)</t>
    </r>
  </si>
  <si>
    <t>Flow Velocity (in/s)</t>
  </si>
  <si>
    <t>Force of Mass Flux (lbf)</t>
  </si>
  <si>
    <t>Min. Inner Pipe Radius (in)</t>
  </si>
  <si>
    <t>Min. Inner Pipe Area (in^2)</t>
  </si>
  <si>
    <t>Check Valve</t>
  </si>
  <si>
    <t>Source</t>
  </si>
  <si>
    <t>Fund. of Fluid Mechanics, 8th: Fig. 8.22 (b) sharp edged entrance</t>
  </si>
  <si>
    <t>Fund. of Fluid Mechanics, 8th: Table 8.2 (d) Union, threaded</t>
  </si>
  <si>
    <t>Fund. of Fluid Mechanics, 8th: Table 8.2 (e) Ball Valve, fully open</t>
  </si>
  <si>
    <t>Fund. of Fluid Mechanics, 8th: Table 8.2 (c) Tees, line-flow, threaded</t>
  </si>
  <si>
    <t>Calculation parameters</t>
  </si>
  <si>
    <t>Liquid N2O Density @ Max. Op. Temp. (lbm/in^3)</t>
  </si>
  <si>
    <t>Min. Pipe Diameter w/ FOS (in.)</t>
  </si>
  <si>
    <t>estimated plumbing length</t>
  </si>
  <si>
    <t>Pipe Diameter (in.)</t>
  </si>
  <si>
    <t>Mass Flux (lbm/sec)</t>
  </si>
  <si>
    <t>A (unitless)</t>
  </si>
  <si>
    <t>B (in^-4)</t>
  </si>
  <si>
    <t>C (in^-4)</t>
  </si>
  <si>
    <t>D (lbm^2 * in^-4 * s^-2)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</si>
</sst>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"/>
    <numFmt numFmtId="166" formatCode="0.000"/>
  </numFmts>
  <fonts count="15">
    <font>
      <sz val="11"/>
      <color theme="1"/>
      <name val="ACaslonPro-Regular"/>
      <family val="2"/>
    </font>
    <font>
      <b/>
      <sz val="11"/>
      <color theme="1"/>
      <name val="ACaslonPro-Regular"/>
    </font>
    <font>
      <b/>
      <i/>
      <sz val="11"/>
      <color theme="1"/>
      <name val="ACaslonPro-Regular"/>
    </font>
    <font>
      <i/>
      <sz val="11"/>
      <color theme="1"/>
      <name val="ACaslonPro-Regular"/>
    </font>
    <font>
      <b/>
      <i/>
      <sz val="12"/>
      <color theme="1"/>
      <name val="ACaslonPro-Regular"/>
    </font>
    <font>
      <sz val="14"/>
      <color theme="1"/>
      <name val="ACaslonPro-Regular"/>
      <family val="2"/>
    </font>
    <font>
      <sz val="11"/>
      <color theme="1"/>
      <name val="ACaslonPro-Regular"/>
    </font>
    <font>
      <sz val="9"/>
      <color theme="1"/>
      <name val="ACaslonPro-Regular"/>
    </font>
    <font>
      <i/>
      <sz val="9"/>
      <color theme="1"/>
      <name val="ACaslonPro-Regular"/>
    </font>
    <font>
      <b/>
      <sz val="10"/>
      <color theme="1"/>
      <name val="ACaslonPro-Regular"/>
    </font>
    <font>
      <sz val="9"/>
      <color theme="1"/>
      <name val="ACaslonPro-Regular"/>
      <family val="2"/>
    </font>
    <font>
      <b/>
      <i/>
      <sz val="10"/>
      <color theme="1"/>
      <name val="ACaslonPro-Regular"/>
    </font>
    <font>
      <i/>
      <sz val="10"/>
      <color theme="1"/>
      <name val="ACaslonPro-Regular"/>
    </font>
    <font>
      <i/>
      <sz val="12"/>
      <color theme="1"/>
      <name val="ACaslonPro-Regular"/>
    </font>
    <font>
      <sz val="12"/>
      <color theme="1"/>
      <name val="ACaslonPro-Regula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0" xfId="0" applyFont="1"/>
    <xf numFmtId="164" fontId="0" fillId="0" borderId="0" xfId="0" applyNumberFormat="1"/>
    <xf numFmtId="0" fontId="7" fillId="0" borderId="0" xfId="0" applyFont="1"/>
    <xf numFmtId="0" fontId="8" fillId="0" borderId="0" xfId="0" applyFont="1"/>
    <xf numFmtId="0" fontId="0" fillId="0" borderId="1" xfId="0" applyBorder="1"/>
    <xf numFmtId="0" fontId="0" fillId="0" borderId="2" xfId="0" applyBorder="1"/>
    <xf numFmtId="0" fontId="0" fillId="0" borderId="6" xfId="0" applyBorder="1"/>
    <xf numFmtId="0" fontId="0" fillId="0" borderId="9" xfId="0" applyBorder="1"/>
    <xf numFmtId="0" fontId="10" fillId="0" borderId="0" xfId="0" applyFont="1"/>
    <xf numFmtId="0" fontId="0" fillId="0" borderId="3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164" fontId="0" fillId="0" borderId="4" xfId="0" applyNumberFormat="1" applyBorder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0" fontId="9" fillId="0" borderId="7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2" fontId="0" fillId="0" borderId="4" xfId="0" applyNumberFormat="1" applyBorder="1" applyAlignment="1">
      <alignment horizontal="left" vertical="center"/>
    </xf>
    <xf numFmtId="0" fontId="1" fillId="0" borderId="2" xfId="0" applyFont="1" applyBorder="1"/>
    <xf numFmtId="0" fontId="12" fillId="0" borderId="2" xfId="0" applyFont="1" applyBorder="1"/>
    <xf numFmtId="0" fontId="6" fillId="0" borderId="0" xfId="0" applyFont="1" applyBorder="1" applyAlignment="1">
      <alignment horizontal="left"/>
    </xf>
    <xf numFmtId="0" fontId="6" fillId="0" borderId="0" xfId="0" applyFont="1" applyAlignment="1">
      <alignment horizontal="right" vertical="center"/>
    </xf>
    <xf numFmtId="0" fontId="11" fillId="0" borderId="0" xfId="0" applyFont="1"/>
    <xf numFmtId="0" fontId="11" fillId="0" borderId="0" xfId="0" applyFont="1" applyAlignment="1">
      <alignment horizontal="right"/>
    </xf>
    <xf numFmtId="0" fontId="12" fillId="0" borderId="12" xfId="0" applyFont="1" applyBorder="1" applyAlignment="1">
      <alignment wrapText="1"/>
    </xf>
    <xf numFmtId="0" fontId="6" fillId="0" borderId="7" xfId="0" applyFont="1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164" fontId="0" fillId="0" borderId="7" xfId="0" applyNumberFormat="1" applyBorder="1"/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164" fontId="0" fillId="0" borderId="9" xfId="0" applyNumberFormat="1" applyBorder="1"/>
    <xf numFmtId="0" fontId="13" fillId="0" borderId="9" xfId="0" applyFont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166" fontId="0" fillId="0" borderId="0" xfId="0" applyNumberFormat="1"/>
    <xf numFmtId="166" fontId="3" fillId="0" borderId="0" xfId="0" applyNumberFormat="1" applyFont="1" applyBorder="1" applyAlignment="1">
      <alignment horizontal="right"/>
    </xf>
    <xf numFmtId="165" fontId="1" fillId="0" borderId="0" xfId="0" applyNumberFormat="1" applyFont="1" applyBorder="1"/>
    <xf numFmtId="0" fontId="14" fillId="0" borderId="9" xfId="0" applyFont="1" applyBorder="1" applyAlignment="1">
      <alignment horizontal="left" vertic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1" fillId="0" borderId="11" xfId="0" applyFont="1" applyBorder="1" applyAlignment="1">
      <alignment horizontal="center" vertical="center" wrapText="1"/>
    </xf>
    <xf numFmtId="165" fontId="2" fillId="0" borderId="0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20EA0-1C53-C140-9BBB-80C6C09D667F}">
  <dimension ref="A1:H32"/>
  <sheetViews>
    <sheetView tabSelected="1" zoomScale="115" zoomScaleNormal="115" workbookViewId="0">
      <selection activeCell="B17" sqref="B17"/>
    </sheetView>
  </sheetViews>
  <sheetFormatPr defaultColWidth="11" defaultRowHeight="14.25"/>
  <cols>
    <col min="1" max="1" width="48.375" customWidth="1"/>
    <col min="2" max="2" width="15.875" customWidth="1"/>
    <col min="3" max="3" width="29" customWidth="1"/>
    <col min="4" max="4" width="13.625" customWidth="1"/>
    <col min="5" max="5" width="3.625" customWidth="1"/>
    <col min="6" max="6" width="49.625" bestFit="1" customWidth="1"/>
    <col min="7" max="7" width="29.5" customWidth="1"/>
  </cols>
  <sheetData>
    <row r="1" spans="1:8" ht="18">
      <c r="A1" s="44" t="s">
        <v>0</v>
      </c>
      <c r="B1" s="44"/>
    </row>
    <row r="2" spans="1:8">
      <c r="A2" s="45" t="s">
        <v>10</v>
      </c>
      <c r="B2" s="45"/>
    </row>
    <row r="3" spans="1:8" ht="15" thickBot="1">
      <c r="A3" s="8"/>
      <c r="B3" s="8"/>
      <c r="C3" s="8"/>
      <c r="D3" s="8"/>
    </row>
    <row r="4" spans="1:8" ht="15.75" thickTop="1">
      <c r="A4" s="23" t="s">
        <v>1</v>
      </c>
      <c r="B4" s="12"/>
      <c r="C4" s="23" t="s">
        <v>48</v>
      </c>
      <c r="D4" s="7"/>
      <c r="F4" s="31" t="s">
        <v>43</v>
      </c>
      <c r="G4" s="22" t="s">
        <v>20</v>
      </c>
      <c r="H4" s="16"/>
    </row>
    <row r="5" spans="1:8" ht="15">
      <c r="A5" s="18" t="s">
        <v>2</v>
      </c>
      <c r="B5" s="13"/>
      <c r="C5" s="38" t="s">
        <v>28</v>
      </c>
      <c r="D5" s="37">
        <f>D13+1</f>
        <v>4.53</v>
      </c>
      <c r="F5" s="11" t="s">
        <v>44</v>
      </c>
      <c r="G5" s="19" t="s">
        <v>31</v>
      </c>
      <c r="H5" s="24">
        <v>0.5</v>
      </c>
    </row>
    <row r="6" spans="1:8">
      <c r="A6" s="19" t="s">
        <v>24</v>
      </c>
      <c r="B6" s="17">
        <v>805</v>
      </c>
      <c r="C6" s="39" t="s">
        <v>29</v>
      </c>
      <c r="D6">
        <f>((1/B7)^4)</f>
        <v>5.6020447463324126E-4</v>
      </c>
      <c r="F6" s="11" t="s">
        <v>45</v>
      </c>
      <c r="G6" s="19" t="s">
        <v>32</v>
      </c>
      <c r="H6" s="24">
        <v>0.08</v>
      </c>
    </row>
    <row r="7" spans="1:8">
      <c r="A7" s="19" t="s">
        <v>15</v>
      </c>
      <c r="B7" s="24">
        <v>6.5</v>
      </c>
      <c r="C7" s="39" t="s">
        <v>30</v>
      </c>
      <c r="D7">
        <f>(0.25*((B14*PI()/B13)^2)*(((D12*12)/B14)+(B15*D11)))</f>
        <v>16.336601301716218</v>
      </c>
      <c r="F7" s="11" t="s">
        <v>46</v>
      </c>
      <c r="G7" s="19" t="s">
        <v>16</v>
      </c>
      <c r="H7" s="24">
        <v>0.05</v>
      </c>
    </row>
    <row r="8" spans="1:8">
      <c r="A8" s="19" t="s">
        <v>18</v>
      </c>
      <c r="B8" s="17">
        <v>36</v>
      </c>
      <c r="C8" s="19"/>
      <c r="F8" s="11" t="s">
        <v>47</v>
      </c>
      <c r="G8" t="s">
        <v>17</v>
      </c>
      <c r="H8" s="24">
        <v>0.9</v>
      </c>
    </row>
    <row r="9" spans="1:8">
      <c r="A9" s="20"/>
      <c r="B9" s="15"/>
      <c r="C9" s="20"/>
      <c r="D9" s="7"/>
      <c r="G9" s="19" t="s">
        <v>42</v>
      </c>
      <c r="H9" s="14">
        <v>2</v>
      </c>
    </row>
    <row r="10" spans="1:8" ht="15">
      <c r="A10" s="21" t="s">
        <v>3</v>
      </c>
      <c r="B10" s="13"/>
      <c r="C10" s="21" t="s">
        <v>19</v>
      </c>
      <c r="D10" s="10"/>
    </row>
    <row r="11" spans="1:8">
      <c r="A11" s="19" t="s">
        <v>13</v>
      </c>
      <c r="B11" s="14">
        <v>575</v>
      </c>
      <c r="C11" s="19" t="s">
        <v>14</v>
      </c>
      <c r="D11" s="4">
        <f>SUM(B8,B12)</f>
        <v>60</v>
      </c>
    </row>
    <row r="12" spans="1:8">
      <c r="A12" s="19" t="s">
        <v>21</v>
      </c>
      <c r="B12" s="17">
        <v>24</v>
      </c>
      <c r="C12" s="19" t="s">
        <v>22</v>
      </c>
      <c r="D12" s="4">
        <f>B6-(B11+B16)</f>
        <v>130</v>
      </c>
    </row>
    <row r="13" spans="1:8">
      <c r="A13" s="19" t="s">
        <v>27</v>
      </c>
      <c r="B13" s="24">
        <v>3</v>
      </c>
      <c r="C13" s="33" t="s">
        <v>23</v>
      </c>
      <c r="D13" s="34">
        <f>SUM(H5:H11)</f>
        <v>3.5300000000000002</v>
      </c>
    </row>
    <row r="14" spans="1:8">
      <c r="A14" s="19" t="s">
        <v>49</v>
      </c>
      <c r="B14" s="14">
        <v>2.72064352E-2</v>
      </c>
      <c r="C14" s="19" t="s">
        <v>40</v>
      </c>
      <c r="D14" s="40">
        <f>(D18/2)</f>
        <v>0.36282767365345697</v>
      </c>
    </row>
    <row r="15" spans="1:8">
      <c r="A15" s="19" t="s">
        <v>25</v>
      </c>
      <c r="B15" s="14">
        <v>386.08858300000003</v>
      </c>
      <c r="C15" s="19" t="s">
        <v>41</v>
      </c>
      <c r="D15" s="40">
        <f>PI()*(D14^2)</f>
        <v>0.41357157437695441</v>
      </c>
    </row>
    <row r="16" spans="1:8" ht="15">
      <c r="A16" s="32" t="s">
        <v>37</v>
      </c>
      <c r="B16" s="16">
        <v>100</v>
      </c>
      <c r="C16" s="19" t="s">
        <v>38</v>
      </c>
      <c r="D16" s="40">
        <f>B13/(12*B14*D15)</f>
        <v>22.218650966414156</v>
      </c>
    </row>
    <row r="17" spans="1:6" ht="15" customHeight="1">
      <c r="A17" s="22"/>
      <c r="B17" s="16"/>
      <c r="C17" s="35" t="s">
        <v>39</v>
      </c>
      <c r="D17" s="41">
        <f>B13*(D16/12)</f>
        <v>5.554662741603539</v>
      </c>
      <c r="E17" s="36"/>
      <c r="F17" s="4">
        <f>B14*D15*D16</f>
        <v>0.25</v>
      </c>
    </row>
    <row r="18" spans="1:6" ht="15" customHeight="1">
      <c r="A18" s="19"/>
      <c r="B18" s="24"/>
      <c r="C18" s="46" t="s">
        <v>26</v>
      </c>
      <c r="D18" s="47">
        <f>(D5/(D6+D7))^(1/4)</f>
        <v>0.72565534730691394</v>
      </c>
    </row>
    <row r="19" spans="1:6" ht="15" customHeight="1">
      <c r="A19" s="19"/>
      <c r="B19" s="24"/>
      <c r="C19" s="46"/>
      <c r="D19" s="47"/>
      <c r="F19">
        <v>0.41249999999999998</v>
      </c>
    </row>
    <row r="20" spans="1:6">
      <c r="A20" t="s">
        <v>51</v>
      </c>
      <c r="B20" s="24"/>
      <c r="C20" s="28" t="s">
        <v>36</v>
      </c>
      <c r="D20" s="27">
        <v>1.25</v>
      </c>
    </row>
    <row r="21" spans="1:6" ht="15">
      <c r="A21" s="19"/>
      <c r="B21" s="14"/>
      <c r="C21" s="1" t="s">
        <v>50</v>
      </c>
      <c r="D21" s="42">
        <f>D20*D18</f>
        <v>0.90706918413364246</v>
      </c>
    </row>
    <row r="22" spans="1:6">
      <c r="B22" s="14"/>
      <c r="C22" s="30"/>
      <c r="D22" s="29"/>
    </row>
    <row r="23" spans="1:6" ht="15.75" thickBot="1">
      <c r="A23" s="8"/>
      <c r="B23" s="9"/>
      <c r="C23" s="25"/>
      <c r="D23" s="25"/>
    </row>
    <row r="24" spans="1:6" ht="15.75" thickTop="1">
      <c r="A24" s="3" t="s">
        <v>4</v>
      </c>
    </row>
    <row r="25" spans="1:6">
      <c r="A25" s="5" t="s">
        <v>5</v>
      </c>
      <c r="B25" s="5" t="s">
        <v>6</v>
      </c>
    </row>
    <row r="26" spans="1:6">
      <c r="A26" s="5" t="s">
        <v>7</v>
      </c>
      <c r="B26" s="5" t="s">
        <v>8</v>
      </c>
    </row>
    <row r="27" spans="1:6">
      <c r="A27" s="5" t="s">
        <v>9</v>
      </c>
      <c r="B27" s="5"/>
    </row>
    <row r="28" spans="1:6">
      <c r="A28" s="6" t="s">
        <v>33</v>
      </c>
      <c r="B28" s="5"/>
    </row>
    <row r="29" spans="1:6" ht="15" thickBot="1">
      <c r="A29" s="26"/>
      <c r="B29" s="8"/>
      <c r="C29" s="8"/>
      <c r="D29" s="8"/>
    </row>
    <row r="30" spans="1:6" ht="15" thickTop="1">
      <c r="A30" s="2" t="s">
        <v>11</v>
      </c>
    </row>
    <row r="31" spans="1:6">
      <c r="A31" t="s">
        <v>12</v>
      </c>
    </row>
    <row r="32" spans="1:6">
      <c r="A32" t="s">
        <v>34</v>
      </c>
    </row>
  </sheetData>
  <mergeCells count="4">
    <mergeCell ref="A1:B1"/>
    <mergeCell ref="A2:B2"/>
    <mergeCell ref="C18:C19"/>
    <mergeCell ref="D18:D19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72E0D-8AE1-D14C-934F-B3435C8F29A8}">
  <dimension ref="A1:H32"/>
  <sheetViews>
    <sheetView zoomScale="115" zoomScaleNormal="100" workbookViewId="0">
      <selection activeCell="B11" sqref="B11"/>
    </sheetView>
  </sheetViews>
  <sheetFormatPr defaultColWidth="11" defaultRowHeight="14.25"/>
  <cols>
    <col min="1" max="1" width="48.375" customWidth="1"/>
    <col min="2" max="2" width="15.875" customWidth="1"/>
    <col min="3" max="3" width="29" customWidth="1"/>
    <col min="4" max="4" width="13.625" customWidth="1"/>
    <col min="5" max="5" width="3.625" customWidth="1"/>
    <col min="6" max="6" width="49.625" bestFit="1" customWidth="1"/>
    <col min="7" max="7" width="29.5" customWidth="1"/>
  </cols>
  <sheetData>
    <row r="1" spans="1:8" ht="18">
      <c r="A1" s="44" t="s">
        <v>0</v>
      </c>
      <c r="B1" s="44"/>
    </row>
    <row r="2" spans="1:8">
      <c r="A2" s="45" t="s">
        <v>10</v>
      </c>
      <c r="B2" s="45"/>
    </row>
    <row r="3" spans="1:8" ht="15" thickBot="1">
      <c r="A3" s="8"/>
      <c r="B3" s="8"/>
      <c r="C3" s="8"/>
      <c r="D3" s="8"/>
    </row>
    <row r="4" spans="1:8" ht="15.75" thickTop="1">
      <c r="A4" s="23" t="s">
        <v>1</v>
      </c>
      <c r="B4" s="12"/>
      <c r="C4" s="23" t="s">
        <v>48</v>
      </c>
      <c r="D4" s="7"/>
      <c r="F4" s="31" t="s">
        <v>43</v>
      </c>
      <c r="G4" s="22" t="s">
        <v>20</v>
      </c>
      <c r="H4" s="16"/>
    </row>
    <row r="5" spans="1:8" ht="15">
      <c r="A5" s="18" t="s">
        <v>2</v>
      </c>
      <c r="B5" s="13"/>
      <c r="C5" s="43" t="s">
        <v>54</v>
      </c>
      <c r="D5" s="37">
        <f>D13+1</f>
        <v>4.53</v>
      </c>
      <c r="F5" s="11" t="s">
        <v>44</v>
      </c>
      <c r="G5" s="19" t="s">
        <v>31</v>
      </c>
      <c r="H5" s="24">
        <v>0.5</v>
      </c>
    </row>
    <row r="6" spans="1:8">
      <c r="A6" s="19" t="s">
        <v>24</v>
      </c>
      <c r="B6" s="17">
        <v>815</v>
      </c>
      <c r="C6" s="39" t="s">
        <v>55</v>
      </c>
      <c r="D6">
        <f>((1/B7)^4)</f>
        <v>5.6020447463324126E-4</v>
      </c>
      <c r="F6" s="11" t="s">
        <v>45</v>
      </c>
      <c r="G6" s="19" t="s">
        <v>32</v>
      </c>
      <c r="H6" s="24">
        <v>0.08</v>
      </c>
    </row>
    <row r="7" spans="1:8">
      <c r="A7" s="19" t="s">
        <v>15</v>
      </c>
      <c r="B7" s="24">
        <v>6.5</v>
      </c>
      <c r="C7" s="39" t="s">
        <v>56</v>
      </c>
      <c r="D7">
        <f>(0.25*((B14*PI()/B13)^2)*(((D12*12)/B14)+(B15*D11)))</f>
        <v>16.291482072427446</v>
      </c>
      <c r="F7" s="11" t="s">
        <v>46</v>
      </c>
      <c r="G7" s="19" t="s">
        <v>16</v>
      </c>
      <c r="H7" s="24">
        <v>0.05</v>
      </c>
    </row>
    <row r="8" spans="1:8">
      <c r="A8" s="19" t="s">
        <v>18</v>
      </c>
      <c r="B8" s="17">
        <v>36</v>
      </c>
      <c r="C8" s="19" t="s">
        <v>57</v>
      </c>
      <c r="D8">
        <f>(1/4)*(B14^2)*(PI()^2)*((12*D12/B14)+(B15*D11))</f>
        <v>146.62333865184698</v>
      </c>
      <c r="F8" s="11" t="s">
        <v>47</v>
      </c>
      <c r="G8" t="s">
        <v>17</v>
      </c>
      <c r="H8" s="24">
        <v>0.9</v>
      </c>
    </row>
    <row r="9" spans="1:8">
      <c r="A9" s="20" t="s">
        <v>52</v>
      </c>
      <c r="B9" s="15">
        <v>0.7</v>
      </c>
      <c r="C9" s="20"/>
      <c r="D9" s="7"/>
      <c r="G9" s="19" t="s">
        <v>42</v>
      </c>
      <c r="H9" s="14">
        <v>2</v>
      </c>
    </row>
    <row r="10" spans="1:8" ht="15">
      <c r="A10" s="21" t="s">
        <v>3</v>
      </c>
      <c r="B10" s="13"/>
      <c r="C10" s="21" t="s">
        <v>19</v>
      </c>
      <c r="D10" s="10"/>
    </row>
    <row r="11" spans="1:8">
      <c r="A11" s="19" t="s">
        <v>13</v>
      </c>
      <c r="B11" s="14">
        <v>575</v>
      </c>
      <c r="C11" s="19" t="s">
        <v>14</v>
      </c>
      <c r="D11" s="4">
        <f>SUM(B8,B12)</f>
        <v>48</v>
      </c>
    </row>
    <row r="12" spans="1:8">
      <c r="A12" s="19" t="s">
        <v>21</v>
      </c>
      <c r="B12" s="17">
        <v>12</v>
      </c>
      <c r="C12" s="19" t="s">
        <v>22</v>
      </c>
      <c r="D12" s="4">
        <f>B6-(B11+B16)</f>
        <v>140</v>
      </c>
    </row>
    <row r="13" spans="1:8">
      <c r="A13" s="19" t="s">
        <v>27</v>
      </c>
      <c r="B13" s="24">
        <v>3</v>
      </c>
      <c r="C13" s="33" t="s">
        <v>23</v>
      </c>
      <c r="D13" s="34">
        <f>SUM(H5:H11)</f>
        <v>3.5300000000000002</v>
      </c>
    </row>
    <row r="14" spans="1:8">
      <c r="A14" s="19" t="s">
        <v>49</v>
      </c>
      <c r="B14" s="14">
        <v>2.72064352E-2</v>
      </c>
      <c r="C14" s="19" t="s">
        <v>40</v>
      </c>
      <c r="D14" s="40">
        <f>(D18/2)</f>
        <v>1.3938787048235106</v>
      </c>
    </row>
    <row r="15" spans="1:8">
      <c r="A15" s="19" t="s">
        <v>25</v>
      </c>
      <c r="B15" s="14">
        <v>386.08858300000003</v>
      </c>
      <c r="C15" s="19" t="s">
        <v>41</v>
      </c>
      <c r="D15" s="40">
        <f>PI()*(D14^2)</f>
        <v>6.103793592633334</v>
      </c>
    </row>
    <row r="16" spans="1:8" ht="15">
      <c r="A16" s="32" t="s">
        <v>37</v>
      </c>
      <c r="B16" s="16">
        <v>100</v>
      </c>
      <c r="C16" s="19" t="s">
        <v>38</v>
      </c>
      <c r="D16" s="40">
        <f>B13/(12*B14*D15)</f>
        <v>1.5054576012862142</v>
      </c>
    </row>
    <row r="17" spans="1:6" ht="15" customHeight="1">
      <c r="A17" s="22"/>
      <c r="B17" s="16"/>
      <c r="C17" s="35" t="s">
        <v>39</v>
      </c>
      <c r="D17" s="41">
        <f>B13*(D16/12)</f>
        <v>0.37636440032155355</v>
      </c>
      <c r="E17" s="36"/>
      <c r="F17" s="4"/>
    </row>
    <row r="18" spans="1:6" ht="15" customHeight="1">
      <c r="A18" s="19"/>
      <c r="B18" s="24"/>
      <c r="C18" s="46" t="s">
        <v>53</v>
      </c>
      <c r="D18" s="47">
        <f>SQRT(D8/((D5/(B9^4))-D6))</f>
        <v>2.7877574096470212</v>
      </c>
    </row>
    <row r="19" spans="1:6" ht="15" customHeight="1">
      <c r="A19" s="19"/>
      <c r="B19" s="24"/>
      <c r="C19" s="46"/>
      <c r="D19" s="47"/>
    </row>
    <row r="20" spans="1:6">
      <c r="A20" t="s">
        <v>51</v>
      </c>
      <c r="B20" s="24"/>
      <c r="C20" s="28"/>
      <c r="D20" s="27"/>
    </row>
    <row r="21" spans="1:6" ht="15">
      <c r="A21" s="19"/>
      <c r="B21" s="14"/>
      <c r="C21" s="1"/>
      <c r="D21" s="42"/>
    </row>
    <row r="22" spans="1:6">
      <c r="B22" s="14"/>
      <c r="C22" s="30"/>
      <c r="D22" s="29"/>
    </row>
    <row r="23" spans="1:6" ht="15.75" thickBot="1">
      <c r="A23" s="8"/>
      <c r="B23" s="9"/>
      <c r="C23" s="25"/>
      <c r="D23" s="25"/>
    </row>
    <row r="24" spans="1:6" ht="15.75" thickTop="1">
      <c r="A24" s="3" t="s">
        <v>4</v>
      </c>
    </row>
    <row r="25" spans="1:6">
      <c r="A25" s="5" t="s">
        <v>5</v>
      </c>
      <c r="B25" s="5" t="s">
        <v>6</v>
      </c>
    </row>
    <row r="26" spans="1:6">
      <c r="A26" s="5" t="s">
        <v>7</v>
      </c>
      <c r="B26" s="5" t="s">
        <v>8</v>
      </c>
    </row>
    <row r="27" spans="1:6">
      <c r="A27" s="5" t="s">
        <v>9</v>
      </c>
      <c r="B27" s="5"/>
    </row>
    <row r="28" spans="1:6">
      <c r="A28" s="6" t="s">
        <v>33</v>
      </c>
      <c r="B28" s="5"/>
    </row>
    <row r="29" spans="1:6" ht="15" thickBot="1">
      <c r="A29" s="26" t="s">
        <v>35</v>
      </c>
      <c r="B29" s="8"/>
      <c r="C29" s="8"/>
      <c r="D29" s="8"/>
    </row>
    <row r="30" spans="1:6" ht="15" thickTop="1">
      <c r="A30" s="2" t="s">
        <v>11</v>
      </c>
    </row>
    <row r="31" spans="1:6">
      <c r="A31" t="s">
        <v>12</v>
      </c>
    </row>
    <row r="32" spans="1:6">
      <c r="A32" t="s">
        <v>34</v>
      </c>
    </row>
  </sheetData>
  <mergeCells count="4">
    <mergeCell ref="A1:B1"/>
    <mergeCell ref="A2:B2"/>
    <mergeCell ref="C18:C19"/>
    <mergeCell ref="D18:D19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Solving for Dia</vt:lpstr>
      <vt:lpstr>Setting Dia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Zanko</dc:creator>
  <cp:lastModifiedBy>Dan</cp:lastModifiedBy>
  <dcterms:created xsi:type="dcterms:W3CDTF">2018-08-14T19:51:02Z</dcterms:created>
  <dcterms:modified xsi:type="dcterms:W3CDTF">2019-01-17T04:31:56Z</dcterms:modified>
</cp:coreProperties>
</file>