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40ED5AA5-4BCF-5640-B879-83CFF0985DA0}" xr6:coauthVersionLast="40" xr6:coauthVersionMax="40" xr10:uidLastSave="{00000000-0000-0000-0000-000000000000}"/>
  <bookViews>
    <workbookView xWindow="0" yWindow="460" windowWidth="33600" windowHeight="20540" xr2:uid="{838B0196-D158-479E-A7C6-911A07F6EFB7}"/>
  </bookViews>
  <sheets>
    <sheet name="Min Yield Strength Allowable" sheetId="9" r:id="rId1"/>
    <sheet name="BPV Calcs for No PWHT" sheetId="6" r:id="rId2"/>
    <sheet name="BPV Calcs - T51" sheetId="7" r:id="rId3"/>
    <sheet name="BPV Calcs - T6" sheetId="1" r:id="rId4"/>
    <sheet name="N2O Pressure Calcs" sheetId="2" r:id="rId5"/>
    <sheet name="N2O Ullage Calcs" sheetId="3" r:id="rId6"/>
    <sheet name="RT Head thickness Mass" sheetId="4" r:id="rId7"/>
    <sheet name="RT Mounting Bolt Calc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9" l="1"/>
  <c r="B13" i="7" l="1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C4" i="4"/>
  <c r="C3" i="4"/>
  <c r="D3" i="4" s="1"/>
  <c r="D4" i="4" s="1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7" l="1"/>
  <c r="B17" i="7" s="1"/>
  <c r="B16" i="9"/>
  <c r="B17" i="9" s="1"/>
  <c r="F12" i="7"/>
  <c r="F13" i="7" s="1"/>
  <c r="C14" i="7" s="1"/>
  <c r="F8" i="7"/>
  <c r="F9" i="7"/>
  <c r="J53" i="2"/>
  <c r="B19" i="9" s="1"/>
  <c r="B16" i="6"/>
  <c r="B17" i="6" s="1"/>
  <c r="B16" i="1"/>
  <c r="B17" i="1" s="1"/>
  <c r="F8" i="1" s="1"/>
  <c r="F10" i="7" l="1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9" l="1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<sst xmlns="http://schemas.openxmlformats.org/spreadsheetml/2006/main" count="212" uniqueCount="120">
  <si>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</si>
  <si>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</si>
  <si>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</si>
  <si>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</si>
  <si>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</si>
  <si>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</si>
  <si>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</si>
  <si>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</si>
  <si>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</si>
  <si>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</si>
  <si>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</si>
  <si>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</si>
  <si>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</si>
  <si>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</si>
  <si>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</si>
  <si>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</si>
  <si>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</si>
  <si>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</si>
  <si>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</si>
  <si>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</si>
  <si>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</si>
  <si>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</si>
  <si>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</si>
  <si>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</si>
  <si>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</si>
  <si>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</si>
  <si>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</si>
  <si>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</si>
  <si>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</si>
  <si>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</si>
  <si>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</si>
  <si>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</si>
  <si>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</si>
  <si>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</si>
  <si>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</si>
  <si>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</si>
  <si>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</si>
  <si>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</si>
  <si>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</si>
  <si>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</si>
  <si>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</si>
  <si>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</si>
  <si>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</si>
  <si>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</si>
  <si>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</si>
  <si>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</si>
  <si>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</si>
  <si>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</si>
  <si>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</si>
  <si>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</si>
  <si>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</si>
  <si>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</si>
  <si>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</si>
  <si>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</si>
  <si>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</si>
  <si>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</si>
  <si>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</si>
  <si>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</si>
  <si>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</si>
  <si>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</si>
  <si>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</si>
  <si>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</si>
  <si>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</si>
  <si>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</si>
  <si>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</si>
  <si>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</si>
  <si>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</si>
  <si>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</si>
  <si>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</si>
  <si>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</si>
  <si>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</si>
  <si>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</si>
  <si>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</si>
  <si>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</si>
  <si>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</si>
  <si>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</si>
  <si>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</si>
  <si>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</si>
  <si>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</si>
  <si>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</si>
  <si>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</si>
  <si>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</si>
  <si>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</si>
  <si>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</si>
  <si>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</si>
  <si>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</si>
  <si>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</si>
  <si>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</si>
  <si>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</si>
  <si>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</si>
  <si>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</si>
  <si>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</si>
  <si>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</si>
  <si>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</si>
  <si>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</si>
  <si>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</si>
  <si>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</si>
  <si>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</si>
  <si>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</si>
  <si>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</si>
  <si>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</si>
  <si>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</si>
  <si>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</si>
  <si>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</si>
  <si>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</si>
  <si>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</si>
  <si>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</si>
  <si>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</si>
  <si>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</si>
  <si>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</si>
  <si>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</si>
  <si>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</si>
  <si>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</si>
  <si>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</si>
  <si>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</si>
  <si>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</si>
  <si>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</si>
  <si>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t>FOR MINUMUM YIELD STRENGTH ALLOWABLE AT 0.225" SHELL THICKNESS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</si>
  <si>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</si>
  <si>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186.2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</si>
</sst>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19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31" fillId="9" borderId="28" xfId="5" applyFont="1"/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stro.caltech.edu/sedm/_downloads/Extruded_Alloy_606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tabSelected="1" zoomScale="132" zoomScaleNormal="70" workbookViewId="0">
      <selection activeCell="E9" sqref="E9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9" t="s">
        <v>6</v>
      </c>
      <c r="B1" s="169"/>
      <c r="C1" s="169"/>
      <c r="D1" s="169"/>
      <c r="E1" s="169"/>
      <c r="F1" s="169"/>
      <c r="G1" s="169"/>
    </row>
    <row r="2" spans="1:7" ht="16">
      <c r="A2" s="170" t="s">
        <v>11</v>
      </c>
      <c r="B2" s="170"/>
      <c r="C2" s="170"/>
      <c r="D2" s="170"/>
      <c r="E2" s="170"/>
      <c r="F2" s="170"/>
      <c r="G2" s="170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6" thickBot="1">
      <c r="A4" s="173" t="s">
        <v>117</v>
      </c>
      <c r="B4" s="174"/>
      <c r="C4" s="174"/>
      <c r="D4" s="174"/>
      <c r="E4" s="174"/>
      <c r="F4" s="175"/>
    </row>
    <row r="5" spans="1:7">
      <c r="A5" s="172" t="s">
        <v>4</v>
      </c>
      <c r="B5" s="172"/>
      <c r="C5" s="150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0.10646726181412242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" customHeight="1">
      <c r="A11" s="167" t="s">
        <v>118</v>
      </c>
      <c r="B11" s="168">
        <v>27000</v>
      </c>
      <c r="C11" s="197" t="s">
        <v>119</v>
      </c>
      <c r="E11" s="7"/>
      <c r="F11" s="6"/>
    </row>
    <row r="12" spans="1:7" ht="16" thickBot="1">
      <c r="A12" t="s">
        <v>91</v>
      </c>
      <c r="B12">
        <v>7</v>
      </c>
      <c r="C12" s="162"/>
      <c r="E12" s="110" t="s">
        <v>54</v>
      </c>
      <c r="F12" s="111">
        <f>(B17*B8)/((2*B11*B9)-(0.2*B17))</f>
        <v>0.10860188557756124</v>
      </c>
    </row>
    <row r="13" spans="1:7" ht="17" thickBot="1">
      <c r="A13" s="122" t="s">
        <v>74</v>
      </c>
      <c r="B13" s="163">
        <f>0.25-0.025</f>
        <v>0.22500000000000001</v>
      </c>
      <c r="C13" s="164">
        <f>B13/F10</f>
        <v>1.001278231795675</v>
      </c>
      <c r="E13" s="112" t="s">
        <v>55</v>
      </c>
      <c r="F13" s="113">
        <f>F12</f>
        <v>0.10860188557756124</v>
      </c>
    </row>
    <row r="14" spans="1:7" ht="16" thickBot="1">
      <c r="A14" s="122" t="s">
        <v>75</v>
      </c>
      <c r="B14" s="165">
        <v>0.15</v>
      </c>
      <c r="C14" s="166">
        <f>B14/F13</f>
        <v>1.3811914885480792</v>
      </c>
      <c r="E14" s="5"/>
      <c r="F14" s="5"/>
    </row>
    <row r="15" spans="1:7">
      <c r="C15" s="40" t="s">
        <v>116</v>
      </c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E17" sqref="E17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9" t="s">
        <v>6</v>
      </c>
      <c r="B1" s="169"/>
      <c r="C1" s="169"/>
      <c r="D1" s="169"/>
      <c r="E1" s="169"/>
      <c r="F1" s="169"/>
      <c r="G1" s="169"/>
    </row>
    <row r="2" spans="1:7" ht="16">
      <c r="A2" s="170" t="s">
        <v>11</v>
      </c>
      <c r="B2" s="170"/>
      <c r="C2" s="170"/>
      <c r="D2" s="170"/>
      <c r="E2" s="170"/>
      <c r="F2" s="170"/>
      <c r="G2" s="170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6" thickBot="1">
      <c r="C4" s="160" t="s">
        <v>113</v>
      </c>
    </row>
    <row r="5" spans="1:7">
      <c r="A5" s="172" t="s">
        <v>4</v>
      </c>
      <c r="B5" s="172"/>
      <c r="C5" s="150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0.34420897681376578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0.15866137015893755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0.34420897681376578</v>
      </c>
    </row>
    <row r="11" spans="1:7">
      <c r="A11" t="s">
        <v>7</v>
      </c>
      <c r="B11">
        <v>18000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0.16344900899936077</v>
      </c>
    </row>
    <row r="13" spans="1:7" ht="17" thickBot="1">
      <c r="A13" s="122" t="s">
        <v>74</v>
      </c>
      <c r="B13" s="147">
        <f>0.25-0.025</f>
        <v>0.22500000000000001</v>
      </c>
      <c r="C13" s="156">
        <f>B13/F10</f>
        <v>0.65367266735096285</v>
      </c>
      <c r="E13" s="112" t="s">
        <v>55</v>
      </c>
      <c r="F13" s="113">
        <f>F12</f>
        <v>0.16344900899936077</v>
      </c>
    </row>
    <row r="14" spans="1:7" ht="17" thickBot="1">
      <c r="A14" s="122" t="s">
        <v>75</v>
      </c>
      <c r="B14" s="147">
        <v>0.15</v>
      </c>
      <c r="C14" s="156">
        <f>B14/F13</f>
        <v>0.91771740262179646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E4" sqref="E4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9" t="s">
        <v>6</v>
      </c>
      <c r="B1" s="169"/>
      <c r="C1" s="169"/>
      <c r="D1" s="169"/>
      <c r="E1" s="169"/>
      <c r="F1" s="169"/>
      <c r="G1" s="169"/>
    </row>
    <row r="2" spans="1:7" ht="16">
      <c r="A2" s="170" t="s">
        <v>11</v>
      </c>
      <c r="B2" s="170"/>
      <c r="C2" s="170"/>
      <c r="D2" s="170"/>
      <c r="E2" s="170"/>
      <c r="F2" s="170"/>
      <c r="G2" s="170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7" thickBot="1">
      <c r="C4" s="159" t="s">
        <v>112</v>
      </c>
      <c r="E4" s="161" t="s">
        <v>115</v>
      </c>
    </row>
    <row r="5" spans="1:7">
      <c r="A5" s="172" t="s">
        <v>4</v>
      </c>
      <c r="B5" s="172"/>
      <c r="C5" s="150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9.5946260378849763E-2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9.7676417984915123E-2</v>
      </c>
    </row>
    <row r="13" spans="1:7" ht="17" thickBot="1">
      <c r="A13" s="122" t="s">
        <v>74</v>
      </c>
      <c r="B13" s="148">
        <f>0.25-0.025</f>
        <v>0.22500000000000001</v>
      </c>
      <c r="C13" s="157">
        <f>B13/F10</f>
        <v>1.1171467532772457</v>
      </c>
      <c r="E13" s="112" t="s">
        <v>55</v>
      </c>
      <c r="F13" s="113">
        <f>F12</f>
        <v>9.7676417984915123E-2</v>
      </c>
    </row>
    <row r="14" spans="1:7" ht="16" thickBot="1">
      <c r="A14" s="122" t="s">
        <v>75</v>
      </c>
      <c r="B14" s="123">
        <v>0.15</v>
      </c>
      <c r="C14" s="152">
        <f>B14/F13</f>
        <v>1.5356828505235069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C4" sqref="C4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69" t="s">
        <v>6</v>
      </c>
      <c r="B1" s="169"/>
      <c r="C1" s="169"/>
      <c r="D1" s="169"/>
      <c r="E1" s="169"/>
      <c r="F1" s="169"/>
      <c r="G1" s="169"/>
    </row>
    <row r="2" spans="1:7" ht="16">
      <c r="A2" s="170" t="s">
        <v>11</v>
      </c>
      <c r="B2" s="170"/>
      <c r="C2" s="170"/>
      <c r="D2" s="170"/>
      <c r="E2" s="170"/>
      <c r="F2" s="170"/>
      <c r="G2" s="170"/>
    </row>
    <row r="3" spans="1:7" ht="16" thickBot="1">
      <c r="A3" s="171" t="s">
        <v>12</v>
      </c>
      <c r="B3" s="171"/>
      <c r="C3" s="171"/>
      <c r="D3" s="171"/>
      <c r="E3" s="171"/>
      <c r="F3" s="171"/>
      <c r="G3" s="171"/>
    </row>
    <row r="4" spans="1:7" ht="17" thickBot="1">
      <c r="C4" s="158" t="s">
        <v>114</v>
      </c>
    </row>
    <row r="5" spans="1:7">
      <c r="A5" s="172" t="s">
        <v>4</v>
      </c>
      <c r="B5" s="172"/>
      <c r="C5" s="150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7" thickBot="1">
      <c r="A13" s="122" t="s">
        <v>74</v>
      </c>
      <c r="B13" s="149">
        <f>0.25-0.025</f>
        <v>0.22500000000000001</v>
      </c>
      <c r="C13" s="151">
        <f>B13/F10</f>
        <v>1.2330152747588163</v>
      </c>
      <c r="E13" s="112" t="s">
        <v>55</v>
      </c>
      <c r="F13" s="113">
        <f>F12</f>
        <v>8.874824789701645E-2</v>
      </c>
    </row>
    <row r="14" spans="1:7" ht="17" thickBot="1">
      <c r="A14" s="122" t="s">
        <v>75</v>
      </c>
      <c r="B14" s="149">
        <v>0.15</v>
      </c>
      <c r="C14" s="151">
        <f>B14/F13</f>
        <v>1.6901742124989345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G53" sqref="G53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7"/>
      <c r="B1" s="182" t="s">
        <v>17</v>
      </c>
      <c r="C1" s="183"/>
      <c r="D1" s="184"/>
      <c r="E1" s="14"/>
      <c r="F1" s="14"/>
      <c r="G1" s="179" t="s">
        <v>34</v>
      </c>
      <c r="H1" s="180"/>
      <c r="I1" s="180"/>
      <c r="J1" s="181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6" t="s">
        <v>24</v>
      </c>
      <c r="H2" s="177"/>
      <c r="I2" s="177" t="s">
        <v>25</v>
      </c>
      <c r="J2" s="178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zoomScale="125" zoomScaleNormal="73" workbookViewId="0">
      <pane xSplit="1" topLeftCell="B1" activePane="topRight" state="frozen"/>
      <selection pane="topRight" activeCell="G6" sqref="G6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>
      <c r="A1" s="187" t="s">
        <v>17</v>
      </c>
      <c r="B1" s="188"/>
      <c r="C1" s="188"/>
      <c r="D1" s="189"/>
      <c r="E1" s="63"/>
      <c r="F1" s="190" t="s">
        <v>108</v>
      </c>
      <c r="G1" s="109"/>
      <c r="H1" s="109"/>
      <c r="I1" s="109"/>
      <c r="J1" s="193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91"/>
      <c r="G2" s="105" t="s">
        <v>39</v>
      </c>
      <c r="H2" s="105" t="s">
        <v>111</v>
      </c>
      <c r="I2" s="105" t="s">
        <v>35</v>
      </c>
      <c r="J2" s="194"/>
      <c r="K2" s="195" t="s">
        <v>48</v>
      </c>
      <c r="L2" s="196"/>
      <c r="M2" s="64"/>
      <c r="N2" s="66"/>
      <c r="O2" t="s">
        <v>14</v>
      </c>
      <c r="P2">
        <f>S1+(2*S3)</f>
        <v>0</v>
      </c>
    </row>
    <row r="3" spans="1:16" ht="16" thickBot="1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92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110</v>
      </c>
    </row>
    <row r="11" spans="1:16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109</v>
      </c>
      <c r="P11" s="40">
        <v>0.05</v>
      </c>
    </row>
    <row r="12" spans="1:16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85" t="s">
        <v>53</v>
      </c>
      <c r="N42" s="50"/>
    </row>
    <row r="43" spans="1:15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85"/>
      <c r="N43" s="50"/>
    </row>
    <row r="44" spans="1:15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6" thickBot="1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6" thickBot="1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86"/>
      <c r="G60" s="186"/>
      <c r="H60" s="146"/>
      <c r="I60" s="38"/>
      <c r="J60" s="17"/>
      <c r="K60" s="17"/>
      <c r="L60" s="17"/>
      <c r="M60" s="17"/>
      <c r="N60" s="17"/>
    </row>
    <row r="61" spans="1:15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>
      <c r="A1" s="125" t="s">
        <v>60</v>
      </c>
      <c r="B1" s="125">
        <v>9.8000000000000004E-2</v>
      </c>
      <c r="D1" t="s">
        <v>65</v>
      </c>
      <c r="F1">
        <v>32.200000000000003</v>
      </c>
    </row>
    <row r="2" spans="1:6">
      <c r="B2" s="40" t="s">
        <v>61</v>
      </c>
      <c r="C2" s="40" t="s">
        <v>64</v>
      </c>
      <c r="D2" s="40"/>
    </row>
    <row r="3" spans="1:6">
      <c r="A3" s="40" t="s">
        <v>62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66</v>
      </c>
    </row>
    <row r="4" spans="1:6">
      <c r="A4" s="40" t="s">
        <v>63</v>
      </c>
      <c r="B4">
        <v>23.2911</v>
      </c>
      <c r="C4">
        <f>B4*$B$1</f>
        <v>2.2825278</v>
      </c>
      <c r="D4">
        <f>D3*2</f>
        <v>2.4062723999999998</v>
      </c>
      <c r="E4" t="s">
        <v>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6" t="s">
        <v>90</v>
      </c>
      <c r="H1" t="s">
        <v>68</v>
      </c>
      <c r="I1">
        <v>0.25</v>
      </c>
      <c r="L1" t="s">
        <v>76</v>
      </c>
      <c r="M1">
        <v>32.164000000000001</v>
      </c>
    </row>
    <row r="2" spans="1:13">
      <c r="A2" t="s">
        <v>82</v>
      </c>
      <c r="B2">
        <f>(4*I16)/(I17*PI()*(I19^2))</f>
        <v>7398.4911863549469</v>
      </c>
      <c r="H2" s="139" t="s">
        <v>79</v>
      </c>
      <c r="I2" s="139">
        <f>'BPV Calcs - T6'!B11</f>
        <v>33000</v>
      </c>
    </row>
    <row r="3" spans="1:13">
      <c r="A3" t="s">
        <v>99</v>
      </c>
      <c r="B3">
        <f>I6</f>
        <v>72000</v>
      </c>
      <c r="H3" s="139" t="s">
        <v>104</v>
      </c>
      <c r="I3" s="139">
        <v>85000</v>
      </c>
      <c r="J3" t="s">
        <v>103</v>
      </c>
    </row>
    <row r="4" spans="1:13">
      <c r="A4" s="40" t="s">
        <v>5</v>
      </c>
      <c r="B4" s="40">
        <f>B3/B2</f>
        <v>9.7317139652460156</v>
      </c>
      <c r="H4" s="140" t="s">
        <v>84</v>
      </c>
      <c r="I4">
        <v>120000</v>
      </c>
    </row>
    <row r="5" spans="1:13">
      <c r="A5" s="40"/>
      <c r="B5" s="40"/>
      <c r="H5" s="140" t="s">
        <v>85</v>
      </c>
      <c r="I5">
        <v>0.6</v>
      </c>
    </row>
    <row r="6" spans="1:13">
      <c r="A6" s="40"/>
      <c r="B6" s="40"/>
      <c r="H6" s="140" t="s">
        <v>86</v>
      </c>
      <c r="I6">
        <f>I4*I5</f>
        <v>72000</v>
      </c>
    </row>
    <row r="7" spans="1:13" ht="20.25" customHeight="1">
      <c r="A7" s="137" t="s">
        <v>89</v>
      </c>
      <c r="H7" s="138" t="s">
        <v>69</v>
      </c>
      <c r="I7" s="138"/>
    </row>
    <row r="8" spans="1:13">
      <c r="A8" s="132" t="s">
        <v>92</v>
      </c>
      <c r="B8">
        <f>I16*I18/(PI()*('BPV Calcs - T6'!B12-(2*'RT Mounting Bolt Calcs'!I1))*'RT Mounting Bolt Calcs'!I1)</f>
        <v>569.11470664268825</v>
      </c>
      <c r="C8" t="s">
        <v>96</v>
      </c>
      <c r="H8" t="s">
        <v>70</v>
      </c>
      <c r="I8">
        <f>'N2O Pressure Calcs'!P5</f>
        <v>6.1820000000000004</v>
      </c>
    </row>
    <row r="9" spans="1:13">
      <c r="A9" s="132" t="s">
        <v>98</v>
      </c>
      <c r="B9">
        <f>I2</f>
        <v>33000</v>
      </c>
      <c r="H9" t="s">
        <v>71</v>
      </c>
      <c r="I9">
        <f>'N2O Pressure Calcs'!M3</f>
        <v>32.200000000000003</v>
      </c>
    </row>
    <row r="10" spans="1:13">
      <c r="A10" s="145" t="s">
        <v>5</v>
      </c>
      <c r="B10" s="40">
        <f>B9/B8</f>
        <v>57.984795709590841</v>
      </c>
      <c r="H10" s="40" t="s">
        <v>72</v>
      </c>
      <c r="I10" s="131">
        <f>I8*I9</f>
        <v>199.06040000000004</v>
      </c>
    </row>
    <row r="12" spans="1:13">
      <c r="H12" t="s">
        <v>77</v>
      </c>
      <c r="I12">
        <v>23.375</v>
      </c>
    </row>
    <row r="13" spans="1:13" ht="18.75" customHeight="1">
      <c r="A13" s="137" t="s">
        <v>93</v>
      </c>
      <c r="H13" s="40" t="s">
        <v>78</v>
      </c>
      <c r="I13" s="130">
        <f>I12/M1</f>
        <v>0.72674418604651159</v>
      </c>
    </row>
    <row r="14" spans="1:13">
      <c r="A14" t="s">
        <v>94</v>
      </c>
      <c r="B14">
        <v>0.3715</v>
      </c>
      <c r="H14" s="40" t="s">
        <v>73</v>
      </c>
      <c r="I14" s="130">
        <f>'N2O Pressure Calcs'!M7</f>
        <v>1.0976899397500375</v>
      </c>
    </row>
    <row r="15" spans="1:13" ht="16" thickBot="1">
      <c r="A15" t="s">
        <v>95</v>
      </c>
      <c r="B15">
        <f>I16/(2*B14*I1)</f>
        <v>1955.1687044668183</v>
      </c>
    </row>
    <row r="16" spans="1:13" ht="16">
      <c r="A16" t="s">
        <v>97</v>
      </c>
      <c r="B16">
        <v>25000</v>
      </c>
      <c r="H16" s="141" t="s">
        <v>87</v>
      </c>
      <c r="I16" s="143">
        <f>I10*(I13+I14)</f>
        <v>363.17258685471148</v>
      </c>
      <c r="J16" t="s">
        <v>88</v>
      </c>
    </row>
    <row r="17" spans="1:10" ht="17" thickBot="1">
      <c r="A17" s="40" t="s">
        <v>5</v>
      </c>
      <c r="B17" s="40">
        <f>B16/B15</f>
        <v>12.786620378530246</v>
      </c>
      <c r="H17" s="142" t="s">
        <v>102</v>
      </c>
      <c r="I17" s="144">
        <v>1</v>
      </c>
    </row>
    <row r="18" spans="1:10" ht="16" thickBot="1">
      <c r="H18" s="133" t="s">
        <v>80</v>
      </c>
      <c r="I18" s="129">
        <v>8</v>
      </c>
    </row>
    <row r="19" spans="1:10" ht="17" thickBot="1">
      <c r="H19" s="135" t="s">
        <v>81</v>
      </c>
      <c r="I19" s="129">
        <v>0.25</v>
      </c>
      <c r="J19" s="134" t="s">
        <v>83</v>
      </c>
    </row>
    <row r="20" spans="1:10">
      <c r="A20" s="68" t="s">
        <v>100</v>
      </c>
      <c r="H20" s="4"/>
    </row>
    <row r="21" spans="1:10">
      <c r="A21" t="s">
        <v>101</v>
      </c>
      <c r="B21">
        <f>I16/(I1*I19)</f>
        <v>5810.7613896753837</v>
      </c>
    </row>
    <row r="22" spans="1:10">
      <c r="A22" t="s">
        <v>98</v>
      </c>
      <c r="B22">
        <f>I2</f>
        <v>33000</v>
      </c>
    </row>
    <row r="23" spans="1:10">
      <c r="A23" s="40" t="s">
        <v>5</v>
      </c>
      <c r="B23" s="40">
        <f>B22/B21</f>
        <v>5.6791180685262201</v>
      </c>
    </row>
    <row r="25" spans="1:10">
      <c r="A25" s="68" t="s">
        <v>106</v>
      </c>
    </row>
    <row r="26" spans="1:10">
      <c r="A26" t="s">
        <v>107</v>
      </c>
      <c r="B26">
        <f>I16/(I1*I19)</f>
        <v>5810.7613896753837</v>
      </c>
    </row>
    <row r="27" spans="1:10">
      <c r="A27" t="s">
        <v>105</v>
      </c>
      <c r="B27">
        <f>I3</f>
        <v>85000</v>
      </c>
    </row>
    <row r="28" spans="1:10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Min Yield Strength Allowable</vt:lpstr>
      <vt:lpstr>BPV Calcs for No PWHT</vt:lpstr>
      <vt:lpstr>BPV Calcs - T51</vt:lpstr>
      <vt:lpstr>BPV Calcs - T6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2018-11-27T01:38:34Z</dcterms:modified>
</cp:coreProperties>
</file>