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6D807653-D021-4BBF-A894-1710BB1B7C39}" xr6:coauthVersionLast="37" xr6:coauthVersionMax="37" xr10:uidLastSave="{00000000-0000-0000-0000-000000000000}"/>
  <bookViews>
    <workbookView xWindow="0" yWindow="465" windowWidth="33600" windowHeight="20535" xr2:uid="{838B0196-D158-479E-A7C6-911A07F6EFB7}"/>
  </bookViews>
  <sheets>
    <sheet name="BPV Calcs" sheetId="1" r:id="rId1"/>
    <sheet name="N2O Pressure Calcs" sheetId="2" r:id="rId2"/>
    <sheet name="N2O Ullage Calcs" sheetId="3" r:id="rId3"/>
    <sheet name="RT Head thickness Mass" sheetId="4" r:id="rId4"/>
    <sheet name="RT Mounting Bolt Calc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B8" i="5" l="1"/>
  <c r="B28" i="5"/>
  <c r="B26" i="5"/>
  <c r="B27" i="5"/>
  <c r="B2" i="5"/>
  <c r="B21" i="5"/>
  <c r="B23" i="5" s="1"/>
  <c r="B22" i="5"/>
  <c r="B17" i="5"/>
  <c r="B15" i="5"/>
  <c r="B10" i="5"/>
  <c r="B9" i="5"/>
  <c r="B3" i="5"/>
  <c r="I6" i="5"/>
  <c r="I14" i="5"/>
  <c r="I13" i="5"/>
  <c r="I8" i="5"/>
  <c r="G72" i="2"/>
  <c r="G73" i="2"/>
  <c r="G74" i="2"/>
  <c r="G75" i="2"/>
  <c r="G76" i="2"/>
  <c r="G77" i="2"/>
  <c r="G78" i="2"/>
  <c r="G79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G4" i="2"/>
  <c r="I9" i="5"/>
  <c r="I2" i="5"/>
  <c r="I10" i="5" l="1"/>
  <c r="I16" i="5" s="1"/>
  <c r="B4" i="5" s="1"/>
  <c r="D4" i="4"/>
  <c r="D3" i="4"/>
  <c r="C4" i="4"/>
  <c r="C3" i="4"/>
  <c r="B13" i="1" l="1"/>
  <c r="K45" i="3" l="1"/>
  <c r="K46" i="3"/>
  <c r="K47" i="3"/>
  <c r="K48" i="3"/>
  <c r="K49" i="3"/>
  <c r="K50" i="3"/>
  <c r="K51" i="3"/>
  <c r="K52" i="3"/>
  <c r="K53" i="3"/>
  <c r="P2" i="2"/>
  <c r="U2" i="3" l="1"/>
  <c r="U7" i="3"/>
  <c r="G55" i="3"/>
  <c r="D53" i="3"/>
  <c r="C53" i="3"/>
  <c r="F45" i="3" s="1"/>
  <c r="B53" i="3"/>
  <c r="D47" i="3"/>
  <c r="C47" i="3"/>
  <c r="B47" i="3"/>
  <c r="M7" i="2"/>
  <c r="N7" i="3" l="1"/>
  <c r="N19" i="3"/>
  <c r="N31" i="3"/>
  <c r="N43" i="3"/>
  <c r="N8" i="3"/>
  <c r="N32" i="3"/>
  <c r="O32" i="3" s="1"/>
  <c r="N44" i="3"/>
  <c r="O44" i="3" s="1"/>
  <c r="N20" i="3"/>
  <c r="O20" i="3" s="1"/>
  <c r="N9" i="3"/>
  <c r="O9" i="3" s="1"/>
  <c r="N21" i="3"/>
  <c r="O21" i="3" s="1"/>
  <c r="N33" i="3"/>
  <c r="O33" i="3" s="1"/>
  <c r="N45" i="3"/>
  <c r="O45" i="3" s="1"/>
  <c r="N36" i="3"/>
  <c r="N13" i="3"/>
  <c r="N38" i="3"/>
  <c r="N15" i="3"/>
  <c r="N40" i="3"/>
  <c r="N17" i="3"/>
  <c r="O17" i="3" s="1"/>
  <c r="N18" i="3"/>
  <c r="O18" i="3" s="1"/>
  <c r="N10" i="3"/>
  <c r="O10" i="3" s="1"/>
  <c r="N22" i="3"/>
  <c r="O22" i="3" s="1"/>
  <c r="N34" i="3"/>
  <c r="O34" i="3" s="1"/>
  <c r="N46" i="3"/>
  <c r="O46" i="3" s="1"/>
  <c r="N37" i="3"/>
  <c r="O37" i="3" s="1"/>
  <c r="N26" i="3"/>
  <c r="N27" i="3"/>
  <c r="N28" i="3"/>
  <c r="O28" i="3" s="1"/>
  <c r="N29" i="3"/>
  <c r="O29" i="3" s="1"/>
  <c r="N42" i="3"/>
  <c r="N11" i="3"/>
  <c r="O11" i="3" s="1"/>
  <c r="N23" i="3"/>
  <c r="N35" i="3"/>
  <c r="O35" i="3" s="1"/>
  <c r="N47" i="3"/>
  <c r="O47" i="3" s="1"/>
  <c r="N12" i="3"/>
  <c r="O12" i="3" s="1"/>
  <c r="N4" i="3"/>
  <c r="O4" i="3" s="1"/>
  <c r="P4" i="3" s="1"/>
  <c r="N25" i="3"/>
  <c r="O25" i="3" s="1"/>
  <c r="N14" i="3"/>
  <c r="N39" i="3"/>
  <c r="N16" i="3"/>
  <c r="O16" i="3" s="1"/>
  <c r="N5" i="3"/>
  <c r="O5" i="3" s="1"/>
  <c r="N41" i="3"/>
  <c r="N30" i="3"/>
  <c r="O30" i="3" s="1"/>
  <c r="N24" i="3"/>
  <c r="O24" i="3" s="1"/>
  <c r="N6" i="3"/>
  <c r="O6" i="3" s="1"/>
  <c r="O15" i="3"/>
  <c r="O27" i="3"/>
  <c r="O39" i="3"/>
  <c r="O40" i="3"/>
  <c r="O41" i="3"/>
  <c r="O23" i="3"/>
  <c r="O14" i="3"/>
  <c r="O42" i="3"/>
  <c r="O38" i="3"/>
  <c r="O7" i="3"/>
  <c r="O19" i="3"/>
  <c r="O31" i="3"/>
  <c r="O43" i="3"/>
  <c r="O36" i="3"/>
  <c r="O13" i="3"/>
  <c r="O26" i="3"/>
  <c r="O8" i="3"/>
  <c r="F31" i="3"/>
  <c r="G31" i="3" s="1"/>
  <c r="H31" i="3" s="1"/>
  <c r="I31" i="3" s="1"/>
  <c r="F43" i="3"/>
  <c r="G43" i="3" s="1"/>
  <c r="H43" i="3" s="1"/>
  <c r="I43" i="3" s="1"/>
  <c r="F4" i="3"/>
  <c r="G4" i="3" s="1"/>
  <c r="F49" i="3"/>
  <c r="G49" i="3" s="1"/>
  <c r="H49" i="3" s="1"/>
  <c r="F46" i="3"/>
  <c r="G46" i="3" s="1"/>
  <c r="H46" i="3" s="1"/>
  <c r="F6" i="3"/>
  <c r="G6" i="3" s="1"/>
  <c r="H6" i="3" s="1"/>
  <c r="I6" i="3" s="1"/>
  <c r="F7" i="3"/>
  <c r="G7" i="3" s="1"/>
  <c r="H7" i="3" s="1"/>
  <c r="I7" i="3" s="1"/>
  <c r="F48" i="3"/>
  <c r="G48" i="3" s="1"/>
  <c r="H48" i="3" s="1"/>
  <c r="F50" i="3"/>
  <c r="G50" i="3" s="1"/>
  <c r="H50" i="3" s="1"/>
  <c r="F5" i="3"/>
  <c r="G5" i="3" s="1"/>
  <c r="H5" i="3" s="1"/>
  <c r="I5" i="3" s="1"/>
  <c r="F10" i="3"/>
  <c r="G10" i="3" s="1"/>
  <c r="H10" i="3" s="1"/>
  <c r="I10" i="3" s="1"/>
  <c r="F8" i="3"/>
  <c r="G8" i="3" s="1"/>
  <c r="H8" i="3" s="1"/>
  <c r="I8" i="3" s="1"/>
  <c r="F18" i="3"/>
  <c r="G18" i="3" s="1"/>
  <c r="H18" i="3" s="1"/>
  <c r="I18" i="3" s="1"/>
  <c r="F9" i="3"/>
  <c r="G9" i="3" s="1"/>
  <c r="H9" i="3" s="1"/>
  <c r="I9" i="3" s="1"/>
  <c r="F16" i="3"/>
  <c r="G16" i="3" s="1"/>
  <c r="H16" i="3" s="1"/>
  <c r="I16" i="3" s="1"/>
  <c r="F17" i="3"/>
  <c r="G17" i="3" s="1"/>
  <c r="H17" i="3" s="1"/>
  <c r="I17" i="3" s="1"/>
  <c r="F19" i="3"/>
  <c r="G19" i="3" s="1"/>
  <c r="H19" i="3" s="1"/>
  <c r="I19" i="3" s="1"/>
  <c r="F21" i="3"/>
  <c r="G21" i="3" s="1"/>
  <c r="H21" i="3" s="1"/>
  <c r="I21" i="3" s="1"/>
  <c r="F22" i="3"/>
  <c r="G22" i="3" s="1"/>
  <c r="H22" i="3" s="1"/>
  <c r="I22" i="3" s="1"/>
  <c r="F20" i="3"/>
  <c r="G20" i="3" s="1"/>
  <c r="H20" i="3" s="1"/>
  <c r="I20" i="3" s="1"/>
  <c r="F23" i="3"/>
  <c r="G23" i="3" s="1"/>
  <c r="H23" i="3" s="1"/>
  <c r="I23" i="3" s="1"/>
  <c r="F25" i="3"/>
  <c r="G25" i="3" s="1"/>
  <c r="H25" i="3" s="1"/>
  <c r="I25" i="3" s="1"/>
  <c r="F51" i="3"/>
  <c r="G51" i="3" s="1"/>
  <c r="H51" i="3" s="1"/>
  <c r="F27" i="3"/>
  <c r="G27" i="3" s="1"/>
  <c r="H27" i="3" s="1"/>
  <c r="I27" i="3" s="1"/>
  <c r="F33" i="3"/>
  <c r="G33" i="3" s="1"/>
  <c r="H33" i="3" s="1"/>
  <c r="I33" i="3" s="1"/>
  <c r="F12" i="3"/>
  <c r="G12" i="3" s="1"/>
  <c r="H12" i="3" s="1"/>
  <c r="I12" i="3" s="1"/>
  <c r="F35" i="3"/>
  <c r="G35" i="3" s="1"/>
  <c r="H35" i="3" s="1"/>
  <c r="I35" i="3" s="1"/>
  <c r="F13" i="3"/>
  <c r="G13" i="3" s="1"/>
  <c r="H13" i="3" s="1"/>
  <c r="I13" i="3" s="1"/>
  <c r="F37" i="3"/>
  <c r="G37" i="3" s="1"/>
  <c r="H37" i="3" s="1"/>
  <c r="I37" i="3" s="1"/>
  <c r="F14" i="3"/>
  <c r="G14" i="3" s="1"/>
  <c r="H14" i="3" s="1"/>
  <c r="I14" i="3" s="1"/>
  <c r="F39" i="3"/>
  <c r="G39" i="3" s="1"/>
  <c r="H39" i="3" s="1"/>
  <c r="I39" i="3" s="1"/>
  <c r="F11" i="3"/>
  <c r="G11" i="3" s="1"/>
  <c r="H11" i="3" s="1"/>
  <c r="I11" i="3" s="1"/>
  <c r="F15" i="3"/>
  <c r="G15" i="3" s="1"/>
  <c r="H15" i="3" s="1"/>
  <c r="I15" i="3" s="1"/>
  <c r="F41" i="3"/>
  <c r="G41" i="3" s="1"/>
  <c r="H41" i="3" s="1"/>
  <c r="I41" i="3" s="1"/>
  <c r="F47" i="3"/>
  <c r="G47" i="3" s="1"/>
  <c r="H47" i="3" s="1"/>
  <c r="F29" i="3"/>
  <c r="G29" i="3" s="1"/>
  <c r="H29" i="3" s="1"/>
  <c r="I29" i="3" s="1"/>
  <c r="F52" i="3"/>
  <c r="G52" i="3" s="1"/>
  <c r="H52" i="3" s="1"/>
  <c r="G45" i="3"/>
  <c r="H45" i="3" s="1"/>
  <c r="F53" i="3"/>
  <c r="G53" i="3" s="1"/>
  <c r="H53" i="3" s="1"/>
  <c r="L53" i="3" s="1"/>
  <c r="F24" i="3"/>
  <c r="G24" i="3" s="1"/>
  <c r="H24" i="3" s="1"/>
  <c r="I24" i="3" s="1"/>
  <c r="F26" i="3"/>
  <c r="G26" i="3" s="1"/>
  <c r="H26" i="3" s="1"/>
  <c r="I26" i="3" s="1"/>
  <c r="F28" i="3"/>
  <c r="G28" i="3" s="1"/>
  <c r="H28" i="3" s="1"/>
  <c r="I28" i="3" s="1"/>
  <c r="F30" i="3"/>
  <c r="G30" i="3" s="1"/>
  <c r="H30" i="3" s="1"/>
  <c r="I30" i="3" s="1"/>
  <c r="F32" i="3"/>
  <c r="G32" i="3" s="1"/>
  <c r="H32" i="3" s="1"/>
  <c r="I32" i="3" s="1"/>
  <c r="F34" i="3"/>
  <c r="G34" i="3" s="1"/>
  <c r="H34" i="3" s="1"/>
  <c r="I34" i="3" s="1"/>
  <c r="F36" i="3"/>
  <c r="G36" i="3" s="1"/>
  <c r="H36" i="3" s="1"/>
  <c r="I36" i="3" s="1"/>
  <c r="F38" i="3"/>
  <c r="G38" i="3" s="1"/>
  <c r="H38" i="3" s="1"/>
  <c r="I38" i="3" s="1"/>
  <c r="F40" i="3"/>
  <c r="G40" i="3" s="1"/>
  <c r="H40" i="3" s="1"/>
  <c r="I40" i="3" s="1"/>
  <c r="F42" i="3"/>
  <c r="G42" i="3" s="1"/>
  <c r="H42" i="3" s="1"/>
  <c r="I42" i="3" s="1"/>
  <c r="F44" i="3"/>
  <c r="G44" i="3" s="1"/>
  <c r="H44" i="3" s="1"/>
  <c r="I44" i="3" s="1"/>
  <c r="D47" i="2"/>
  <c r="C47" i="2"/>
  <c r="B47" i="2"/>
  <c r="P3" i="2"/>
  <c r="C53" i="2"/>
  <c r="D53" i="2"/>
  <c r="B53" i="2"/>
  <c r="J42" i="3" l="1"/>
  <c r="J44" i="3"/>
  <c r="K44" i="3" s="1"/>
  <c r="P44" i="3"/>
  <c r="J33" i="3"/>
  <c r="K33" i="3" s="1"/>
  <c r="P33" i="3"/>
  <c r="Q33" i="3" s="1"/>
  <c r="R33" i="3" s="1"/>
  <c r="J29" i="3"/>
  <c r="K29" i="3" s="1"/>
  <c r="P29" i="3"/>
  <c r="Q29" i="3" s="1"/>
  <c r="R29" i="3" s="1"/>
  <c r="J10" i="3"/>
  <c r="J41" i="3"/>
  <c r="K41" i="3" s="1"/>
  <c r="P41" i="3"/>
  <c r="J23" i="3"/>
  <c r="K23" i="3" s="1"/>
  <c r="P23" i="3"/>
  <c r="Q23" i="3" s="1"/>
  <c r="R23" i="3" s="1"/>
  <c r="J32" i="3"/>
  <c r="K32" i="3" s="1"/>
  <c r="P32" i="3"/>
  <c r="Q32" i="3" s="1"/>
  <c r="R32" i="3" s="1"/>
  <c r="J30" i="3"/>
  <c r="J39" i="3"/>
  <c r="J22" i="3"/>
  <c r="K22" i="3" s="1"/>
  <c r="P22" i="3"/>
  <c r="Q22" i="3" s="1"/>
  <c r="R22" i="3" s="1"/>
  <c r="J7" i="3"/>
  <c r="K7" i="3" s="1"/>
  <c r="P7" i="3"/>
  <c r="Q7" i="3" s="1"/>
  <c r="R7" i="3" s="1"/>
  <c r="J40" i="3"/>
  <c r="K40" i="3" s="1"/>
  <c r="P40" i="3"/>
  <c r="J8" i="3"/>
  <c r="K8" i="3" s="1"/>
  <c r="P8" i="3"/>
  <c r="Q8" i="3" s="1"/>
  <c r="R8" i="3" s="1"/>
  <c r="J38" i="3"/>
  <c r="K38" i="3" s="1"/>
  <c r="P38" i="3"/>
  <c r="J36" i="3"/>
  <c r="K36" i="3" s="1"/>
  <c r="P36" i="3"/>
  <c r="Q36" i="3" s="1"/>
  <c r="R36" i="3" s="1"/>
  <c r="J34" i="3"/>
  <c r="K34" i="3" s="1"/>
  <c r="P34" i="3"/>
  <c r="Q34" i="3" s="1"/>
  <c r="R34" i="3" s="1"/>
  <c r="J11" i="3"/>
  <c r="K11" i="3" s="1"/>
  <c r="P11" i="3"/>
  <c r="Q11" i="3" s="1"/>
  <c r="R11" i="3" s="1"/>
  <c r="J28" i="3"/>
  <c r="K28" i="3" s="1"/>
  <c r="P28" i="3"/>
  <c r="Q28" i="3" s="1"/>
  <c r="R28" i="3" s="1"/>
  <c r="J14" i="3"/>
  <c r="K14" i="3" s="1"/>
  <c r="P14" i="3"/>
  <c r="Q14" i="3" s="1"/>
  <c r="R14" i="3" s="1"/>
  <c r="J21" i="3"/>
  <c r="K21" i="3" s="1"/>
  <c r="P21" i="3"/>
  <c r="Q21" i="3" s="1"/>
  <c r="R21" i="3" s="1"/>
  <c r="J6" i="3"/>
  <c r="J35" i="3"/>
  <c r="K35" i="3" s="1"/>
  <c r="P35" i="3"/>
  <c r="Q35" i="3" s="1"/>
  <c r="R35" i="3" s="1"/>
  <c r="J9" i="3"/>
  <c r="K9" i="3" s="1"/>
  <c r="P9" i="3"/>
  <c r="Q9" i="3" s="1"/>
  <c r="R9" i="3" s="1"/>
  <c r="J18" i="3"/>
  <c r="K18" i="3" s="1"/>
  <c r="P18" i="3"/>
  <c r="Q18" i="3" s="1"/>
  <c r="R18" i="3" s="1"/>
  <c r="J27" i="3"/>
  <c r="K27" i="3" s="1"/>
  <c r="P27" i="3"/>
  <c r="Q27" i="3" s="1"/>
  <c r="R27" i="3" s="1"/>
  <c r="J5" i="3"/>
  <c r="K5" i="3" s="1"/>
  <c r="P5" i="3"/>
  <c r="Q5" i="3" s="1"/>
  <c r="R5" i="3" s="1"/>
  <c r="J15" i="3"/>
  <c r="K15" i="3" s="1"/>
  <c r="P15" i="3"/>
  <c r="Q15" i="3" s="1"/>
  <c r="R15" i="3" s="1"/>
  <c r="J20" i="3"/>
  <c r="K20" i="3" s="1"/>
  <c r="P20" i="3"/>
  <c r="Q20" i="3" s="1"/>
  <c r="R20" i="3" s="1"/>
  <c r="J26" i="3"/>
  <c r="K26" i="3" s="1"/>
  <c r="P26" i="3"/>
  <c r="Q26" i="3" s="1"/>
  <c r="R26" i="3" s="1"/>
  <c r="J37" i="3"/>
  <c r="K37" i="3" s="1"/>
  <c r="P37" i="3"/>
  <c r="Q37" i="3" s="1"/>
  <c r="R37" i="3" s="1"/>
  <c r="J19" i="3"/>
  <c r="K19" i="3" s="1"/>
  <c r="P19" i="3"/>
  <c r="Q19" i="3" s="1"/>
  <c r="R19" i="3" s="1"/>
  <c r="J16" i="3"/>
  <c r="K16" i="3" s="1"/>
  <c r="P16" i="3"/>
  <c r="Q16" i="3" s="1"/>
  <c r="R16" i="3" s="1"/>
  <c r="J12" i="3"/>
  <c r="K12" i="3" s="1"/>
  <c r="P12" i="3"/>
  <c r="Q12" i="3" s="1"/>
  <c r="R12" i="3" s="1"/>
  <c r="J43" i="3"/>
  <c r="K43" i="3" s="1"/>
  <c r="P43" i="3"/>
  <c r="J31" i="3"/>
  <c r="K31" i="3" s="1"/>
  <c r="P31" i="3"/>
  <c r="Q31" i="3" s="1"/>
  <c r="R31" i="3" s="1"/>
  <c r="J25" i="3"/>
  <c r="K25" i="3" s="1"/>
  <c r="P25" i="3"/>
  <c r="Q25" i="3" s="1"/>
  <c r="R25" i="3" s="1"/>
  <c r="J24" i="3"/>
  <c r="K24" i="3" s="1"/>
  <c r="P24" i="3"/>
  <c r="Q24" i="3" s="1"/>
  <c r="R24" i="3" s="1"/>
  <c r="J13" i="3"/>
  <c r="K13" i="3" s="1"/>
  <c r="P13" i="3"/>
  <c r="Q13" i="3" s="1"/>
  <c r="R13" i="3" s="1"/>
  <c r="J17" i="3"/>
  <c r="K17" i="3" s="1"/>
  <c r="P17" i="3"/>
  <c r="Q17" i="3" s="1"/>
  <c r="R17" i="3" s="1"/>
  <c r="I48" i="3"/>
  <c r="L48" i="3"/>
  <c r="I51" i="3"/>
  <c r="L51" i="3"/>
  <c r="I46" i="3"/>
  <c r="L46" i="3"/>
  <c r="I49" i="3"/>
  <c r="L49" i="3"/>
  <c r="I53" i="3"/>
  <c r="I50" i="3"/>
  <c r="L50" i="3"/>
  <c r="I45" i="3"/>
  <c r="L45" i="3"/>
  <c r="I52" i="3"/>
  <c r="L52" i="3"/>
  <c r="I47" i="3"/>
  <c r="L47" i="3"/>
  <c r="H4" i="3"/>
  <c r="I4" i="3" s="1"/>
  <c r="G56" i="3"/>
  <c r="P39" i="3" l="1"/>
  <c r="Q39" i="3" s="1"/>
  <c r="K39" i="3"/>
  <c r="P30" i="3"/>
  <c r="Q30" i="3" s="1"/>
  <c r="R30" i="3" s="1"/>
  <c r="K30" i="3"/>
  <c r="P10" i="3"/>
  <c r="K10" i="3"/>
  <c r="P6" i="3"/>
  <c r="K6" i="3"/>
  <c r="P42" i="3"/>
  <c r="K42" i="3"/>
  <c r="Q6" i="3"/>
  <c r="R6" i="3" s="1"/>
  <c r="Q10" i="3"/>
  <c r="R10" i="3" s="1"/>
  <c r="S39" i="3"/>
  <c r="Q38" i="3"/>
  <c r="S38" i="3"/>
  <c r="S44" i="3"/>
  <c r="Q44" i="3"/>
  <c r="Q40" i="3"/>
  <c r="S40" i="3"/>
  <c r="S41" i="3"/>
  <c r="Q41" i="3"/>
  <c r="S42" i="3"/>
  <c r="Q42" i="3"/>
  <c r="P45" i="3"/>
  <c r="S43" i="3"/>
  <c r="Q43" i="3"/>
  <c r="P46" i="3"/>
  <c r="P47" i="3"/>
  <c r="G57" i="3"/>
  <c r="P1" i="2" s="1"/>
  <c r="M2" i="2" s="1"/>
  <c r="J4" i="3"/>
  <c r="H13" i="2" l="1"/>
  <c r="H25" i="2"/>
  <c r="H37" i="2"/>
  <c r="J37" i="2" s="1"/>
  <c r="H49" i="2"/>
  <c r="J49" i="2" s="1"/>
  <c r="H61" i="2"/>
  <c r="J61" i="2" s="1"/>
  <c r="H73" i="2"/>
  <c r="J73" i="2" s="1"/>
  <c r="H59" i="2"/>
  <c r="J59" i="2" s="1"/>
  <c r="H14" i="2"/>
  <c r="H26" i="2"/>
  <c r="J26" i="2" s="1"/>
  <c r="H38" i="2"/>
  <c r="J38" i="2" s="1"/>
  <c r="H50" i="2"/>
  <c r="J50" i="2" s="1"/>
  <c r="H62" i="2"/>
  <c r="J62" i="2" s="1"/>
  <c r="H74" i="2"/>
  <c r="J74" i="2" s="1"/>
  <c r="H67" i="2"/>
  <c r="J67" i="2" s="1"/>
  <c r="H24" i="2"/>
  <c r="J24" i="2" s="1"/>
  <c r="H15" i="2"/>
  <c r="J15" i="2" s="1"/>
  <c r="H27" i="2"/>
  <c r="J27" i="2" s="1"/>
  <c r="H39" i="2"/>
  <c r="J39" i="2" s="1"/>
  <c r="H51" i="2"/>
  <c r="J51" i="2" s="1"/>
  <c r="H63" i="2"/>
  <c r="J63" i="2" s="1"/>
  <c r="H75" i="2"/>
  <c r="J75" i="2" s="1"/>
  <c r="H43" i="2"/>
  <c r="J43" i="2" s="1"/>
  <c r="H35" i="2"/>
  <c r="J35" i="2" s="1"/>
  <c r="H16" i="2"/>
  <c r="J16" i="2" s="1"/>
  <c r="H28" i="2"/>
  <c r="J28" i="2" s="1"/>
  <c r="H40" i="2"/>
  <c r="J40" i="2" s="1"/>
  <c r="H52" i="2"/>
  <c r="J52" i="2" s="1"/>
  <c r="H64" i="2"/>
  <c r="J64" i="2" s="1"/>
  <c r="H76" i="2"/>
  <c r="J76" i="2" s="1"/>
  <c r="H58" i="2"/>
  <c r="J58" i="2" s="1"/>
  <c r="H23" i="2"/>
  <c r="J23" i="2" s="1"/>
  <c r="H5" i="2"/>
  <c r="J5" i="2" s="1"/>
  <c r="H17" i="2"/>
  <c r="J17" i="2" s="1"/>
  <c r="H29" i="2"/>
  <c r="J29" i="2" s="1"/>
  <c r="H41" i="2"/>
  <c r="J41" i="2" s="1"/>
  <c r="H65" i="2"/>
  <c r="J65" i="2" s="1"/>
  <c r="H77" i="2"/>
  <c r="J77" i="2" s="1"/>
  <c r="H60" i="2"/>
  <c r="J60" i="2" s="1"/>
  <c r="H6" i="2"/>
  <c r="H18" i="2"/>
  <c r="J18" i="2" s="1"/>
  <c r="H30" i="2"/>
  <c r="J30" i="2" s="1"/>
  <c r="H42" i="2"/>
  <c r="J42" i="2" s="1"/>
  <c r="H54" i="2"/>
  <c r="J54" i="2" s="1"/>
  <c r="H66" i="2"/>
  <c r="J66" i="2" s="1"/>
  <c r="H78" i="2"/>
  <c r="J78" i="2" s="1"/>
  <c r="H79" i="2"/>
  <c r="J79" i="2" s="1"/>
  <c r="H72" i="2"/>
  <c r="J72" i="2" s="1"/>
  <c r="H7" i="2"/>
  <c r="J7" i="2" s="1"/>
  <c r="H19" i="2"/>
  <c r="H31" i="2"/>
  <c r="J31" i="2" s="1"/>
  <c r="H55" i="2"/>
  <c r="J55" i="2" s="1"/>
  <c r="H12" i="2"/>
  <c r="H8" i="2"/>
  <c r="H20" i="2"/>
  <c r="J20" i="2" s="1"/>
  <c r="H32" i="2"/>
  <c r="J32" i="2" s="1"/>
  <c r="H44" i="2"/>
  <c r="J44" i="2" s="1"/>
  <c r="H56" i="2"/>
  <c r="J56" i="2" s="1"/>
  <c r="H68" i="2"/>
  <c r="J68" i="2" s="1"/>
  <c r="H4" i="2"/>
  <c r="J4" i="2" s="1"/>
  <c r="H70" i="2"/>
  <c r="J70" i="2" s="1"/>
  <c r="H36" i="2"/>
  <c r="J36" i="2" s="1"/>
  <c r="H9" i="2"/>
  <c r="J9" i="2" s="1"/>
  <c r="H21" i="2"/>
  <c r="J21" i="2" s="1"/>
  <c r="H33" i="2"/>
  <c r="J33" i="2" s="1"/>
  <c r="H45" i="2"/>
  <c r="J45" i="2" s="1"/>
  <c r="H57" i="2"/>
  <c r="J57" i="2" s="1"/>
  <c r="H69" i="2"/>
  <c r="J69" i="2" s="1"/>
  <c r="H34" i="2"/>
  <c r="J34" i="2" s="1"/>
  <c r="H11" i="2"/>
  <c r="J11" i="2" s="1"/>
  <c r="H71" i="2"/>
  <c r="J71" i="2" s="1"/>
  <c r="H48" i="2"/>
  <c r="J48" i="2" s="1"/>
  <c r="H10" i="2"/>
  <c r="J10" i="2" s="1"/>
  <c r="H22" i="2"/>
  <c r="J22" i="2" s="1"/>
  <c r="H46" i="2"/>
  <c r="J46" i="2" s="1"/>
  <c r="H47" i="2"/>
  <c r="J47" i="2" s="1"/>
  <c r="H53" i="2"/>
  <c r="J53" i="2" s="1"/>
  <c r="Q4" i="3"/>
  <c r="R4" i="3" s="1"/>
  <c r="K4" i="3"/>
  <c r="J14" i="2"/>
  <c r="S47" i="3"/>
  <c r="Q47" i="3"/>
  <c r="Q45" i="3"/>
  <c r="S45" i="3"/>
  <c r="G58" i="3"/>
  <c r="J8" i="2"/>
  <c r="J13" i="2"/>
  <c r="J12" i="2"/>
  <c r="J6" i="2"/>
  <c r="S46" i="3"/>
  <c r="Q46" i="3"/>
  <c r="J19" i="2"/>
  <c r="J25" i="2"/>
  <c r="B19" i="1" l="1"/>
  <c r="B16" i="1"/>
  <c r="B17" i="1" s="1"/>
  <c r="E9" i="1" l="1"/>
  <c r="E12" i="1"/>
  <c r="E13" i="1" s="1"/>
  <c r="E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  <comment ref="O2" authorId="0" shapeId="0" xr:uid="{29AF3AB7-AD20-0648-B8C8-C4301C6CF42C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<sst xmlns="http://schemas.openxmlformats.org/spreadsheetml/2006/main" count="146" uniqueCount="112">
  <si>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</si>
  <si>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</si>
  <si>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</si>
  <si>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</si>
  <si>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</si>
  <si>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</si>
  <si>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</si>
  <si>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</si>
  <si>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</si>
  <si>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</si>
  <si>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</si>
  <si>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</si>
  <si>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</si>
  <si>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</si>
  <si>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</si>
  <si>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</si>
  <si>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</si>
  <si>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</si>
  <si>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</si>
  <si>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</si>
  <si>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</si>
  <si>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</si>
  <si>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</si>
  <si>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</si>
  <si>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</si>
  <si>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</si>
  <si>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</si>
  <si>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</si>
  <si>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</si>
  <si>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</si>
  <si>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</si>
  <si>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</si>
  <si>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</si>
  <si>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</si>
  <si>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</si>
  <si>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</si>
  <si>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</si>
  <si>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</si>
  <si>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</si>
  <si>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</si>
  <si>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</si>
  <si>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</si>
  <si>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</si>
  <si>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</si>
  <si>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</si>
  <si>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</si>
  <si>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</si>
  <si>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</si>
  <si>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Ullage Volume Required in shell</t>
  </si>
  <si>
    <t>Height from top of storage volume required</t>
  </si>
  <si>
    <r>
      <t xml:space="preserve">Volumetric Ullage % req to not vent  as temp rises to </t>
    </r>
    <r>
      <rPr>
        <b/>
        <sz val="10"/>
        <rFont val="Arial"/>
        <family val="2"/>
      </rPr>
      <t>70F</t>
    </r>
    <r>
      <rPr>
        <sz val="10"/>
        <rFont val="Arial"/>
        <family val="2"/>
      </rPr>
      <t xml:space="preserve"> (with only liq at</t>
    </r>
    <r>
      <rPr>
        <b/>
        <sz val="10"/>
        <rFont val="Arial"/>
        <family val="2"/>
      </rPr>
      <t xml:space="preserve"> 70F</t>
    </r>
    <r>
      <rPr>
        <sz val="10"/>
        <rFont val="Arial"/>
        <family val="2"/>
      </rPr>
      <t>)</t>
    </r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</si>
  <si>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only liq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</si>
  <si>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</si>
  <si>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</si>
  <si>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</si>
  <si>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</si>
  <si>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</si>
  <si>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</si>
  <si>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</si>
  <si>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Not used^ just a check to see what happens in this case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</si>
  <si>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</si>
  <si>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</si>
  <si>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</si>
  <si>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</si>
  <si>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Density of 6061-t6 (lb/in^3)</t>
  </si>
  <si>
    <t>Volume (in3)</t>
  </si>
  <si>
    <t>1/4" thickness</t>
  </si>
  <si>
    <t>1/8" thickness</t>
  </si>
  <si>
    <t>Mass (lbm)</t>
  </si>
  <si>
    <t>Accel due to grav</t>
  </si>
  <si>
    <t>Weight saved per cap (lbf)</t>
  </si>
  <si>
    <t>Total weight saved (lbf)</t>
  </si>
  <si>
    <t>thickness of mounting (in)</t>
  </si>
  <si>
    <t>Force Calcs</t>
  </si>
  <si>
    <t>Max G-force (non-dim)</t>
  </si>
  <si>
    <t>Accel due to Gravity (ft/s^2)</t>
  </si>
  <si>
    <t>Accel (ft/s^2)</t>
  </si>
  <si>
    <t>Mass of Propellant (slug)</t>
  </si>
  <si>
    <t>Shell Thickness we are using (min. based on tol) (in.)</t>
  </si>
  <si>
    <t>Cap Thickness we are using away from weld (in)</t>
  </si>
  <si>
    <t>lbm to slug conv</t>
  </si>
  <si>
    <t>Mass of Dry Tank (lbm)</t>
  </si>
  <si>
    <t>Mass of Dry Tank (slug)</t>
  </si>
  <si>
    <t>6061-T6 --- S_yt (psi)</t>
  </si>
  <si>
    <t>Total # of Bolts</t>
  </si>
  <si>
    <t>Bolt Diameter (in)</t>
  </si>
  <si>
    <t>Avg. Shear Stress in Bolt (psi)</t>
  </si>
  <si>
    <t>Only allowing shear plane to be unthreaded shank</t>
  </si>
  <si>
    <t>Ultimate Strength (psi)</t>
  </si>
  <si>
    <t>Ult to Shear Guideline</t>
  </si>
  <si>
    <t>Estimated Shear Strength (psi)</t>
  </si>
  <si>
    <t>Force on RT (lbf)</t>
  </si>
  <si>
    <t>(excl. ox. feed reaction force) (CONSERVATIVE)</t>
  </si>
  <si>
    <t>Tension Mode of the Member (Roark's eq. 19.5-2)</t>
  </si>
  <si>
    <t>Shearing Mode of the Bolt (Roark's eq. 19.5-1)</t>
  </si>
  <si>
    <t>Outer Diameter of RT (in)</t>
  </si>
  <si>
    <t>Tensile Stress in Member (psi)</t>
  </si>
  <si>
    <t>Tearing Mode of the Member (Roark's eq. 19.5-3)</t>
  </si>
  <si>
    <t>L (in)</t>
  </si>
  <si>
    <t>Shear Stress in the Member (psi)</t>
  </si>
  <si>
    <t>Assumes only one bolt (worst case)</t>
  </si>
  <si>
    <t>Ult Shear Strength of Member (psi)</t>
  </si>
  <si>
    <t>Tensile Yield Strength of Member (psi)</t>
  </si>
  <si>
    <t>Ult. Shear Strength of Bolt (psi)</t>
  </si>
  <si>
    <t>Compression or Bearing Mode of Members (Roark's 19.5-4)</t>
  </si>
  <si>
    <t>Bearing Stress (psi)</t>
  </si>
  <si>
    <t>Number of Shearing Surfs</t>
  </si>
  <si>
    <t>Using Grade 5 bolts</t>
  </si>
  <si>
    <t>Min. Proof Strength (psi)</t>
  </si>
  <si>
    <t>Min. Proof Strength of Bolt (psi)</t>
  </si>
  <si>
    <t>Compression/Bearing Mode of Bolts (Roark's 19.5-4)</t>
  </si>
  <si>
    <t>Compression/Bearing Stress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</si>
</sst>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E+00"/>
    <numFmt numFmtId="166" formatCode="0.0000"/>
    <numFmt numFmtId="167" formatCode="0.0000000"/>
    <numFmt numFmtId="168" formatCode="0.00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167" fontId="9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8" fontId="9" fillId="0" borderId="0" xfId="0" applyNumberFormat="1" applyFont="1" applyBorder="1" applyAlignment="1">
      <alignment horizontal="center"/>
    </xf>
    <xf numFmtId="168" fontId="7" fillId="0" borderId="0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center"/>
    </xf>
    <xf numFmtId="168" fontId="0" fillId="0" borderId="0" xfId="0" applyNumberFormat="1"/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5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 vertical="center" wrapText="1"/>
    </xf>
    <xf numFmtId="167" fontId="9" fillId="4" borderId="0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8" fillId="3" borderId="15" xfId="0" applyNumberFormat="1" applyFont="1" applyFill="1" applyBorder="1" applyAlignment="1">
      <alignment horizontal="center"/>
    </xf>
    <xf numFmtId="166" fontId="7" fillId="3" borderId="14" xfId="0" applyNumberFormat="1" applyFont="1" applyFill="1" applyBorder="1" applyAlignment="1">
      <alignment horizontal="center"/>
    </xf>
    <xf numFmtId="166" fontId="7" fillId="3" borderId="16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8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4" borderId="18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/>
    </xf>
    <xf numFmtId="168" fontId="9" fillId="4" borderId="15" xfId="0" applyNumberFormat="1" applyFont="1" applyFill="1" applyBorder="1" applyAlignment="1">
      <alignment horizontal="center"/>
    </xf>
    <xf numFmtId="166" fontId="9" fillId="4" borderId="16" xfId="0" applyNumberFormat="1" applyFont="1" applyFill="1" applyBorder="1" applyAlignment="1">
      <alignment horizontal="center"/>
    </xf>
    <xf numFmtId="167" fontId="9" fillId="4" borderId="20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/>
    </xf>
    <xf numFmtId="168" fontId="9" fillId="4" borderId="17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 vertical="center" wrapText="1"/>
    </xf>
    <xf numFmtId="168" fontId="9" fillId="4" borderId="17" xfId="0" applyNumberFormat="1" applyFont="1" applyFill="1" applyBorder="1" applyAlignment="1">
      <alignment horizontal="center" vertical="center" wrapText="1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8" fillId="3" borderId="5" xfId="0" applyNumberFormat="1" applyFont="1" applyFill="1" applyBorder="1" applyAlignment="1">
      <alignment horizontal="center"/>
    </xf>
    <xf numFmtId="166" fontId="19" fillId="3" borderId="5" xfId="0" applyNumberFormat="1" applyFont="1" applyFill="1" applyBorder="1" applyAlignment="1">
      <alignment horizontal="center"/>
    </xf>
    <xf numFmtId="166" fontId="19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6" fontId="7" fillId="3" borderId="22" xfId="0" applyNumberFormat="1" applyFont="1" applyFill="1" applyBorder="1" applyAlignment="1">
      <alignment horizontal="center"/>
    </xf>
    <xf numFmtId="167" fontId="9" fillId="3" borderId="5" xfId="0" applyNumberFormat="1" applyFont="1" applyFill="1" applyBorder="1" applyAlignment="1">
      <alignment horizontal="center"/>
    </xf>
    <xf numFmtId="167" fontId="7" fillId="3" borderId="5" xfId="0" applyNumberFormat="1" applyFont="1" applyFill="1" applyBorder="1" applyAlignment="1">
      <alignment horizontal="center"/>
    </xf>
    <xf numFmtId="167" fontId="7" fillId="3" borderId="22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167" fontId="9" fillId="0" borderId="0" xfId="0" applyNumberFormat="1" applyFont="1" applyBorder="1" applyAlignment="1">
      <alignment horizontal="left"/>
    </xf>
    <xf numFmtId="2" fontId="0" fillId="0" borderId="6" xfId="0" applyNumberFormat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/>
    </xf>
    <xf numFmtId="2" fontId="7" fillId="5" borderId="0" xfId="0" applyNumberFormat="1" applyFont="1" applyFill="1" applyAlignment="1">
      <alignment horizontal="center"/>
    </xf>
    <xf numFmtId="166" fontId="7" fillId="5" borderId="0" xfId="0" applyNumberFormat="1" applyFont="1" applyFill="1" applyAlignment="1">
      <alignment horizontal="center"/>
    </xf>
    <xf numFmtId="166" fontId="7" fillId="5" borderId="6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0" fontId="3" fillId="0" borderId="0" xfId="0" applyFont="1"/>
    <xf numFmtId="164" fontId="0" fillId="0" borderId="8" xfId="0" applyNumberFormat="1" applyBorder="1"/>
    <xf numFmtId="2" fontId="1" fillId="0" borderId="8" xfId="0" applyNumberFormat="1" applyFont="1" applyBorder="1"/>
    <xf numFmtId="164" fontId="1" fillId="0" borderId="10" xfId="0" applyNumberFormat="1" applyFont="1" applyBorder="1"/>
    <xf numFmtId="0" fontId="1" fillId="0" borderId="25" xfId="0" applyFont="1" applyBorder="1"/>
    <xf numFmtId="166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1" fillId="0" borderId="24" xfId="0" applyFont="1" applyFill="1" applyBorder="1"/>
    <xf numFmtId="0" fontId="21" fillId="0" borderId="0" xfId="0" applyFont="1"/>
    <xf numFmtId="0" fontId="1" fillId="0" borderId="24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64" fontId="1" fillId="0" borderId="13" xfId="0" applyNumberFormat="1" applyFont="1" applyBorder="1" applyAlignment="1"/>
    <xf numFmtId="164" fontId="1" fillId="0" borderId="17" xfId="0" applyNumberFormat="1" applyFont="1" applyBorder="1" applyAlignment="1"/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4" fontId="20" fillId="0" borderId="6" xfId="0" applyNumberFormat="1" applyFont="1" applyBorder="1" applyAlignment="1">
      <alignment horizontal="center"/>
    </xf>
    <xf numFmtId="166" fontId="13" fillId="0" borderId="0" xfId="0" applyNumberFormat="1" applyFont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9" fillId="4" borderId="12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 vertical="center" wrapText="1"/>
    </xf>
    <xf numFmtId="166" fontId="9" fillId="4" borderId="16" xfId="0" applyNumberFormat="1" applyFont="1" applyFill="1" applyBorder="1" applyAlignment="1">
      <alignment horizontal="center" vertical="center" wrapText="1"/>
    </xf>
    <xf numFmtId="166" fontId="9" fillId="4" borderId="18" xfId="0" applyNumberFormat="1" applyFont="1" applyFill="1" applyBorder="1" applyAlignment="1">
      <alignment horizontal="center" vertical="center" wrapText="1"/>
    </xf>
    <xf numFmtId="168" fontId="7" fillId="4" borderId="13" xfId="0" applyNumberFormat="1" applyFont="1" applyFill="1" applyBorder="1" applyAlignment="1">
      <alignment horizontal="center" vertical="center" wrapText="1"/>
    </xf>
    <xf numFmtId="168" fontId="7" fillId="4" borderId="15" xfId="0" applyNumberFormat="1" applyFont="1" applyFill="1" applyBorder="1" applyAlignment="1">
      <alignment horizontal="center" vertical="center" wrapText="1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166" fontId="9" fillId="0" borderId="14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9.5871757312405084</c:v>
                </c:pt>
                <c:pt idx="1">
                  <c:v>9.5602131008581601</c:v>
                </c:pt>
                <c:pt idx="2">
                  <c:v>9.5330496511981693</c:v>
                </c:pt>
                <c:pt idx="3">
                  <c:v>9.5057065211318683</c:v>
                </c:pt>
                <c:pt idx="4">
                  <c:v>9.478173141223591</c:v>
                </c:pt>
                <c:pt idx="5">
                  <c:v>9.4504389420376711</c:v>
                </c:pt>
                <c:pt idx="6">
                  <c:v>9.4224933541384459</c:v>
                </c:pt>
                <c:pt idx="7">
                  <c:v>9.3943575163972426</c:v>
                </c:pt>
                <c:pt idx="8">
                  <c:v>9.3659891510714015</c:v>
                </c:pt>
                <c:pt idx="9">
                  <c:v>9.3374199664679178</c:v>
                </c:pt>
                <c:pt idx="10">
                  <c:v>9.3086182542797982</c:v>
                </c:pt>
                <c:pt idx="11">
                  <c:v>9.2795945839427034</c:v>
                </c:pt>
                <c:pt idx="12">
                  <c:v>9.2503278165853047</c:v>
                </c:pt>
                <c:pt idx="13">
                  <c:v>9.2208179522076055</c:v>
                </c:pt>
                <c:pt idx="14">
                  <c:v>9.1910649908096005</c:v>
                </c:pt>
                <c:pt idx="15">
                  <c:v>9.161058362955627</c:v>
                </c:pt>
                <c:pt idx="16">
                  <c:v>9.1307874992100206</c:v>
                </c:pt>
                <c:pt idx="17">
                  <c:v>9.1002523995727795</c:v>
                </c:pt>
                <c:pt idx="18">
                  <c:v>9.069431925172573</c:v>
                </c:pt>
                <c:pt idx="19">
                  <c:v>9.0383260760094046</c:v>
                </c:pt>
                <c:pt idx="20">
                  <c:v>9.006924282647601</c:v>
                </c:pt>
                <c:pt idx="21">
                  <c:v>8.9752265450871711</c:v>
                </c:pt>
                <c:pt idx="22">
                  <c:v>8.9432117244567788</c:v>
                </c:pt>
                <c:pt idx="23">
                  <c:v>8.9108692513207579</c:v>
                </c:pt>
                <c:pt idx="24">
                  <c:v>8.8781991256791155</c:v>
                </c:pt>
                <c:pt idx="25">
                  <c:v>8.8451696392248476</c:v>
                </c:pt>
                <c:pt idx="26">
                  <c:v>8.8117913613936238</c:v>
                </c:pt>
                <c:pt idx="27">
                  <c:v>8.7780431533141083</c:v>
                </c:pt>
                <c:pt idx="28">
                  <c:v>8.7439144455506455</c:v>
                </c:pt>
                <c:pt idx="29">
                  <c:v>8.7093840992318938</c:v>
                </c:pt>
                <c:pt idx="30">
                  <c:v>8.6744415449221961</c:v>
                </c:pt>
                <c:pt idx="31">
                  <c:v>8.639065643750218</c:v>
                </c:pt>
                <c:pt idx="32">
                  <c:v>8.6032458262802933</c:v>
                </c:pt>
                <c:pt idx="33">
                  <c:v>8.5669609536410931</c:v>
                </c:pt>
                <c:pt idx="34">
                  <c:v>8.5301898869612884</c:v>
                </c:pt>
                <c:pt idx="35">
                  <c:v>8.4929114873695433</c:v>
                </c:pt>
                <c:pt idx="36">
                  <c:v>8.4551151854301949</c:v>
                </c:pt>
                <c:pt idx="37">
                  <c:v>8.416758703400582</c:v>
                </c:pt>
                <c:pt idx="38">
                  <c:v>8.3778209024093755</c:v>
                </c:pt>
                <c:pt idx="39">
                  <c:v>8.338280643585243</c:v>
                </c:pt>
                <c:pt idx="40">
                  <c:v>8.2981062186211911</c:v>
                </c:pt>
                <c:pt idx="41">
                  <c:v>8.2572553497745513</c:v>
                </c:pt>
                <c:pt idx="42">
                  <c:v>8.2157068981739982</c:v>
                </c:pt>
                <c:pt idx="43">
                  <c:v>8.2063094954857476</c:v>
                </c:pt>
                <c:pt idx="44">
                  <c:v>8.1734185860768704</c:v>
                </c:pt>
                <c:pt idx="45">
                  <c:v>8.1303375663048385</c:v>
                </c:pt>
                <c:pt idx="46">
                  <c:v>8.0864215611152481</c:v>
                </c:pt>
                <c:pt idx="47">
                  <c:v>8.0416282927654272</c:v>
                </c:pt>
                <c:pt idx="48">
                  <c:v>7.9958943446413899</c:v>
                </c:pt>
                <c:pt idx="49">
                  <c:v>7.9595425322429758</c:v>
                </c:pt>
                <c:pt idx="50">
                  <c:v>7.9491563001291432</c:v>
                </c:pt>
                <c:pt idx="51">
                  <c:v>7.9013401731790323</c:v>
                </c:pt>
                <c:pt idx="52">
                  <c:v>7.8523825471770561</c:v>
                </c:pt>
                <c:pt idx="53">
                  <c:v>7.8021882972022354</c:v>
                </c:pt>
                <c:pt idx="54">
                  <c:v>7.7506622983335784</c:v>
                </c:pt>
                <c:pt idx="55">
                  <c:v>7.6976882867787664</c:v>
                </c:pt>
                <c:pt idx="56">
                  <c:v>7.6431499987454794</c:v>
                </c:pt>
                <c:pt idx="57">
                  <c:v>7.5868888926987363</c:v>
                </c:pt>
                <c:pt idx="58">
                  <c:v>7.5287569965392276</c:v>
                </c:pt>
                <c:pt idx="59">
                  <c:v>7.468542921553639</c:v>
                </c:pt>
                <c:pt idx="60">
                  <c:v>7.4060141401573372</c:v>
                </c:pt>
                <c:pt idx="61">
                  <c:v>7.3409064164586857</c:v>
                </c:pt>
                <c:pt idx="62">
                  <c:v>7.2728920979520568</c:v>
                </c:pt>
                <c:pt idx="63">
                  <c:v>7.2015589766465054</c:v>
                </c:pt>
                <c:pt idx="64">
                  <c:v>7.1264208585014206</c:v>
                </c:pt>
                <c:pt idx="65">
                  <c:v>7.0468330079412178</c:v>
                </c:pt>
                <c:pt idx="66">
                  <c:v>6.9619815784196639</c:v>
                </c:pt>
                <c:pt idx="67">
                  <c:v>6.8707990569345538</c:v>
                </c:pt>
                <c:pt idx="68">
                  <c:v>6.7717740141857439</c:v>
                </c:pt>
                <c:pt idx="69">
                  <c:v>6.6627819936044936</c:v>
                </c:pt>
                <c:pt idx="70">
                  <c:v>6.5405887478772016</c:v>
                </c:pt>
                <c:pt idx="71">
                  <c:v>6.3998884202998552</c:v>
                </c:pt>
                <c:pt idx="72">
                  <c:v>6.2309465606246519</c:v>
                </c:pt>
                <c:pt idx="73">
                  <c:v>6.0122120895299105</c:v>
                </c:pt>
                <c:pt idx="74">
                  <c:v>5.6735039541976047</c:v>
                </c:pt>
                <c:pt idx="75">
                  <c:v>4.7775011845375666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462.4074147712405</c:v>
                </c:pt>
                <c:pt idx="1">
                  <c:v>468.21388050085818</c:v>
                </c:pt>
                <c:pt idx="2">
                  <c:v>474.07671023119815</c:v>
                </c:pt>
                <c:pt idx="3">
                  <c:v>479.99302434113179</c:v>
                </c:pt>
                <c:pt idx="4">
                  <c:v>485.96426264122357</c:v>
                </c:pt>
                <c:pt idx="5">
                  <c:v>491.99186494203775</c:v>
                </c:pt>
                <c:pt idx="6">
                  <c:v>498.07437029413842</c:v>
                </c:pt>
                <c:pt idx="7">
                  <c:v>504.21470059639722</c:v>
                </c:pt>
                <c:pt idx="8">
                  <c:v>510.41136319107142</c:v>
                </c:pt>
                <c:pt idx="9">
                  <c:v>516.66438978646795</c:v>
                </c:pt>
                <c:pt idx="10">
                  <c:v>522.97664943427981</c:v>
                </c:pt>
                <c:pt idx="11">
                  <c:v>529.34525194394269</c:v>
                </c:pt>
                <c:pt idx="12">
                  <c:v>535.77162655658537</c:v>
                </c:pt>
                <c:pt idx="13">
                  <c:v>542.2572236522077</c:v>
                </c:pt>
                <c:pt idx="14">
                  <c:v>548.80204323080966</c:v>
                </c:pt>
                <c:pt idx="15">
                  <c:v>555.40752510295567</c:v>
                </c:pt>
                <c:pt idx="16">
                  <c:v>562.07075793921001</c:v>
                </c:pt>
                <c:pt idx="17">
                  <c:v>568.79464249957277</c:v>
                </c:pt>
                <c:pt idx="18">
                  <c:v>575.58060802517252</c:v>
                </c:pt>
                <c:pt idx="19">
                  <c:v>582.42575375600939</c:v>
                </c:pt>
                <c:pt idx="20">
                  <c:v>589.3329698826476</c:v>
                </c:pt>
                <c:pt idx="21">
                  <c:v>596.30225640508718</c:v>
                </c:pt>
                <c:pt idx="22">
                  <c:v>603.33359218445673</c:v>
                </c:pt>
                <c:pt idx="23">
                  <c:v>610.42841703132081</c:v>
                </c:pt>
                <c:pt idx="24">
                  <c:v>617.58528056567911</c:v>
                </c:pt>
                <c:pt idx="25">
                  <c:v>624.80705183922487</c:v>
                </c:pt>
                <c:pt idx="26">
                  <c:v>632.09229104139354</c:v>
                </c:pt>
                <c:pt idx="27">
                  <c:v>639.44242741331414</c:v>
                </c:pt>
                <c:pt idx="28">
                  <c:v>646.85745038555069</c:v>
                </c:pt>
                <c:pt idx="29">
                  <c:v>654.33733881923195</c:v>
                </c:pt>
                <c:pt idx="30">
                  <c:v>661.88498290492214</c:v>
                </c:pt>
                <c:pt idx="31">
                  <c:v>669.49746074375025</c:v>
                </c:pt>
                <c:pt idx="32">
                  <c:v>677.17911290628035</c:v>
                </c:pt>
                <c:pt idx="33">
                  <c:v>684.92701749364107</c:v>
                </c:pt>
                <c:pt idx="34">
                  <c:v>692.74260374696121</c:v>
                </c:pt>
                <c:pt idx="35">
                  <c:v>700.62730090736954</c:v>
                </c:pt>
                <c:pt idx="36">
                  <c:v>708.58254878543016</c:v>
                </c:pt>
                <c:pt idx="37">
                  <c:v>716.60540434340055</c:v>
                </c:pt>
                <c:pt idx="38">
                  <c:v>724.70019758240926</c:v>
                </c:pt>
                <c:pt idx="39">
                  <c:v>732.86690736358526</c:v>
                </c:pt>
                <c:pt idx="40">
                  <c:v>741.10405159862125</c:v>
                </c:pt>
                <c:pt idx="41">
                  <c:v>749.41448876977461</c:v>
                </c:pt>
                <c:pt idx="42">
                  <c:v>757.79674735817389</c:v>
                </c:pt>
                <c:pt idx="43">
                  <c:v>759.67606702215232</c:v>
                </c:pt>
                <c:pt idx="44">
                  <c:v>766.25368584607679</c:v>
                </c:pt>
                <c:pt idx="45">
                  <c:v>774.78525138630482</c:v>
                </c:pt>
                <c:pt idx="46">
                  <c:v>783.39140170111523</c:v>
                </c:pt>
                <c:pt idx="47">
                  <c:v>792.07354489276543</c:v>
                </c:pt>
                <c:pt idx="48">
                  <c:v>800.83161754464152</c:v>
                </c:pt>
                <c:pt idx="49">
                  <c:v>807.70471489890963</c:v>
                </c:pt>
                <c:pt idx="50">
                  <c:v>809.66845700012914</c:v>
                </c:pt>
                <c:pt idx="51">
                  <c:v>818.5839892731791</c:v>
                </c:pt>
                <c:pt idx="52">
                  <c:v>827.57815094717705</c:v>
                </c:pt>
                <c:pt idx="53">
                  <c:v>836.65229727720225</c:v>
                </c:pt>
                <c:pt idx="54">
                  <c:v>845.80778351833362</c:v>
                </c:pt>
                <c:pt idx="55">
                  <c:v>855.04594378677871</c:v>
                </c:pt>
                <c:pt idx="56">
                  <c:v>864.36666181874546</c:v>
                </c:pt>
                <c:pt idx="57">
                  <c:v>873.77267983269871</c:v>
                </c:pt>
                <c:pt idx="58">
                  <c:v>883.26239947653926</c:v>
                </c:pt>
                <c:pt idx="59">
                  <c:v>892.83996050155361</c:v>
                </c:pt>
                <c:pt idx="60">
                  <c:v>902.50658076015736</c:v>
                </c:pt>
                <c:pt idx="61">
                  <c:v>912.26054563645869</c:v>
                </c:pt>
                <c:pt idx="62">
                  <c:v>922.1073289979521</c:v>
                </c:pt>
                <c:pt idx="63">
                  <c:v>932.04506825664657</c:v>
                </c:pt>
                <c:pt idx="64">
                  <c:v>942.07762835850156</c:v>
                </c:pt>
                <c:pt idx="65">
                  <c:v>952.20726532794117</c:v>
                </c:pt>
                <c:pt idx="66">
                  <c:v>962.43316531841981</c:v>
                </c:pt>
                <c:pt idx="67">
                  <c:v>972.75861195693449</c:v>
                </c:pt>
                <c:pt idx="68">
                  <c:v>983.18789533418578</c:v>
                </c:pt>
                <c:pt idx="69">
                  <c:v>993.71889099360465</c:v>
                </c:pt>
                <c:pt idx="70">
                  <c:v>1004.3585173478772</c:v>
                </c:pt>
                <c:pt idx="71">
                  <c:v>1015.1043693002998</c:v>
                </c:pt>
                <c:pt idx="72">
                  <c:v>1025.9568650606248</c:v>
                </c:pt>
                <c:pt idx="73">
                  <c:v>1036.90605658953</c:v>
                </c:pt>
                <c:pt idx="74">
                  <c:v>1047.9049689141978</c:v>
                </c:pt>
                <c:pt idx="75">
                  <c:v>1055.5778111845377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F31"/>
  <sheetViews>
    <sheetView tabSelected="1" zoomScale="132" zoomScaleNormal="70" workbookViewId="0">
      <selection activeCell="E9" sqref="E9"/>
    </sheetView>
  </sheetViews>
  <sheetFormatPr defaultColWidth="8.85546875" defaultRowHeight="15" x14ac:dyDescent="0.25"/>
  <cols>
    <col min="1" max="1" width="45.140625" customWidth="1"/>
    <col min="2" max="2" width="9.5703125" customWidth="1"/>
    <col min="3" max="3" width="3.7109375" customWidth="1"/>
    <col min="4" max="4" width="35.28515625" bestFit="1" customWidth="1"/>
    <col min="5" max="5" width="21.85546875" customWidth="1"/>
  </cols>
  <sheetData>
    <row r="1" spans="1:6" ht="15.75" x14ac:dyDescent="0.25">
      <c r="A1" s="170" t="s">
        <v>6</v>
      </c>
      <c r="B1" s="170"/>
      <c r="C1" s="170"/>
      <c r="D1" s="170"/>
      <c r="E1" s="170"/>
      <c r="F1" s="170"/>
    </row>
    <row r="2" spans="1:6" ht="15.75" x14ac:dyDescent="0.25">
      <c r="A2" s="171" t="s">
        <v>11</v>
      </c>
      <c r="B2" s="171"/>
      <c r="C2" s="171"/>
      <c r="D2" s="171"/>
      <c r="E2" s="171"/>
      <c r="F2" s="171"/>
    </row>
    <row r="3" spans="1:6" x14ac:dyDescent="0.25">
      <c r="A3" s="173" t="s">
        <v>12</v>
      </c>
      <c r="B3" s="173"/>
      <c r="C3" s="173"/>
      <c r="D3" s="173"/>
      <c r="E3" s="173"/>
      <c r="F3" s="173"/>
    </row>
    <row r="5" spans="1:6" x14ac:dyDescent="0.25">
      <c r="A5" s="172" t="s">
        <v>4</v>
      </c>
      <c r="B5" s="172"/>
      <c r="D5" s="172" t="s">
        <v>3</v>
      </c>
      <c r="E5" s="172"/>
    </row>
    <row r="6" spans="1:6" x14ac:dyDescent="0.25">
      <c r="A6" t="s">
        <v>1</v>
      </c>
      <c r="B6">
        <v>825</v>
      </c>
      <c r="D6" s="1"/>
      <c r="E6" s="2"/>
    </row>
    <row r="7" spans="1:6" x14ac:dyDescent="0.25">
      <c r="A7" s="3" t="s">
        <v>2</v>
      </c>
      <c r="B7" s="3">
        <v>0</v>
      </c>
    </row>
    <row r="8" spans="1:6" x14ac:dyDescent="0.25">
      <c r="A8" t="s">
        <v>0</v>
      </c>
      <c r="B8">
        <v>3.25</v>
      </c>
      <c r="D8" s="8" t="s">
        <v>8</v>
      </c>
      <c r="E8" s="9">
        <f>B17*B8/((B11*B9)-(0.6*B17))</f>
        <v>0.18273382537491975</v>
      </c>
    </row>
    <row r="9" spans="1:6" x14ac:dyDescent="0.25">
      <c r="A9" t="s">
        <v>9</v>
      </c>
      <c r="B9" s="3">
        <v>0.9</v>
      </c>
      <c r="D9" s="10" t="s">
        <v>10</v>
      </c>
      <c r="E9" s="11">
        <f>B17*B8/((2*B11*B9)+(0.4*B17))</f>
        <v>8.7434072670902876E-2</v>
      </c>
    </row>
    <row r="10" spans="1:6" x14ac:dyDescent="0.25">
      <c r="A10" s="4" t="s">
        <v>5</v>
      </c>
      <c r="B10">
        <v>2</v>
      </c>
      <c r="D10" s="12" t="s">
        <v>15</v>
      </c>
      <c r="E10" s="13">
        <f>MAX(E8:E9)</f>
        <v>0.18273382537491975</v>
      </c>
    </row>
    <row r="11" spans="1:6" x14ac:dyDescent="0.25">
      <c r="A11" t="s">
        <v>7</v>
      </c>
      <c r="B11">
        <v>33000</v>
      </c>
      <c r="D11" s="7"/>
      <c r="E11" s="6"/>
    </row>
    <row r="12" spans="1:6" ht="15.75" thickBot="1" x14ac:dyDescent="0.3">
      <c r="A12" t="s">
        <v>95</v>
      </c>
      <c r="B12">
        <v>7</v>
      </c>
      <c r="D12" s="133" t="s">
        <v>57</v>
      </c>
      <c r="E12" s="134">
        <f>(B17*B8)/((2*B11*B9)-(0.2*B17))</f>
        <v>8.8868560081423062E-2</v>
      </c>
    </row>
    <row r="13" spans="1:6" ht="15.75" thickBot="1" x14ac:dyDescent="0.3">
      <c r="A13" s="146" t="s">
        <v>78</v>
      </c>
      <c r="B13" s="147">
        <f>0.25-0.025</f>
        <v>0.22500000000000001</v>
      </c>
      <c r="D13" s="135" t="s">
        <v>58</v>
      </c>
      <c r="E13" s="136">
        <f>E12</f>
        <v>8.8868560081423062E-2</v>
      </c>
    </row>
    <row r="14" spans="1:6" ht="15.75" thickBot="1" x14ac:dyDescent="0.3">
      <c r="A14" s="146" t="s">
        <v>79</v>
      </c>
      <c r="B14" s="147">
        <v>0.125</v>
      </c>
      <c r="D14" s="5"/>
      <c r="E14" s="5"/>
    </row>
    <row r="15" spans="1:6" x14ac:dyDescent="0.25">
      <c r="D15" s="5"/>
      <c r="E15" s="5"/>
    </row>
    <row r="16" spans="1:6" ht="30" x14ac:dyDescent="0.25">
      <c r="A16" s="57" t="s">
        <v>41</v>
      </c>
      <c r="B16" s="150">
        <f>'N2O Pressure Calcs'!H53</f>
        <v>807.70471489890963</v>
      </c>
      <c r="D16" s="5"/>
      <c r="E16" s="5"/>
    </row>
    <row r="17" spans="1:5" x14ac:dyDescent="0.25">
      <c r="A17" s="56" t="s">
        <v>42</v>
      </c>
      <c r="B17" s="152">
        <f>B10*B16</f>
        <v>1615.4094297978193</v>
      </c>
      <c r="D17" s="5"/>
      <c r="E17" s="5"/>
    </row>
    <row r="18" spans="1:5" x14ac:dyDescent="0.25">
      <c r="A18" s="60"/>
      <c r="B18" s="58"/>
      <c r="C18" s="59"/>
      <c r="D18" s="5"/>
      <c r="E18" s="5"/>
    </row>
    <row r="19" spans="1:5" ht="46.5" customHeight="1" x14ac:dyDescent="0.25">
      <c r="A19" s="57" t="s">
        <v>62</v>
      </c>
      <c r="B19" s="151">
        <f>'N2O Pressure Calcs'!J53</f>
        <v>810.73458010430602</v>
      </c>
      <c r="D19" s="5"/>
      <c r="E19" s="5"/>
    </row>
    <row r="24" spans="1:5" ht="33.75" customHeight="1" x14ac:dyDescent="0.25">
      <c r="A24" s="53"/>
      <c r="B24" s="21"/>
    </row>
    <row r="25" spans="1:5" ht="15" customHeight="1" x14ac:dyDescent="0.25">
      <c r="A25" s="54"/>
      <c r="B25" s="22"/>
    </row>
    <row r="26" spans="1:5" x14ac:dyDescent="0.25">
      <c r="A26" s="22"/>
      <c r="B26" s="22"/>
    </row>
    <row r="27" spans="1:5" x14ac:dyDescent="0.25">
      <c r="A27" s="52"/>
      <c r="B27" s="22"/>
    </row>
    <row r="28" spans="1:5" ht="15" customHeight="1" x14ac:dyDescent="0.25">
      <c r="A28" s="55"/>
      <c r="B28" s="21"/>
    </row>
    <row r="29" spans="1:5" x14ac:dyDescent="0.25">
      <c r="A29" s="55"/>
      <c r="B29" s="22"/>
    </row>
    <row r="30" spans="1:5" x14ac:dyDescent="0.25">
      <c r="A30" s="55"/>
      <c r="B30" s="21"/>
    </row>
    <row r="31" spans="1:5" x14ac:dyDescent="0.25">
      <c r="A31" s="52"/>
    </row>
  </sheetData>
  <mergeCells count="5"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topLeftCell="A10" zoomScale="135" zoomScaleNormal="70" workbookViewId="0">
      <pane xSplit="1" topLeftCell="E1" activePane="topRight" state="frozen"/>
      <selection pane="topRight" activeCell="P6" sqref="P6"/>
    </sheetView>
  </sheetViews>
  <sheetFormatPr defaultColWidth="11.42578125" defaultRowHeight="15" x14ac:dyDescent="0.25"/>
  <cols>
    <col min="1" max="1" width="10.85546875" style="24"/>
    <col min="2" max="2" width="12.42578125" bestFit="1" customWidth="1"/>
    <col min="3" max="3" width="12.7109375" bestFit="1" customWidth="1"/>
    <col min="4" max="4" width="11" style="23" bestFit="1" customWidth="1"/>
    <col min="5" max="6" width="4.42578125" customWidth="1"/>
    <col min="7" max="7" width="14" style="36" customWidth="1"/>
    <col min="8" max="8" width="16" style="35" customWidth="1"/>
    <col min="9" max="9" width="22" style="37" bestFit="1" customWidth="1"/>
    <col min="10" max="10" width="15.28515625" style="35" customWidth="1"/>
    <col min="11" max="11" width="11" style="46" bestFit="1" customWidth="1"/>
    <col min="12" max="12" width="30.85546875" bestFit="1" customWidth="1"/>
    <col min="15" max="15" width="25" customWidth="1"/>
  </cols>
  <sheetData>
    <row r="1" spans="1:16" ht="23.25" customHeight="1" x14ac:dyDescent="0.25">
      <c r="A1" s="72"/>
      <c r="B1" s="180" t="s">
        <v>17</v>
      </c>
      <c r="C1" s="181"/>
      <c r="D1" s="182"/>
      <c r="E1" s="14"/>
      <c r="F1" s="14"/>
      <c r="G1" s="177" t="s">
        <v>34</v>
      </c>
      <c r="H1" s="178"/>
      <c r="I1" s="178"/>
      <c r="J1" s="179"/>
      <c r="K1" s="44"/>
      <c r="L1" t="s">
        <v>26</v>
      </c>
      <c r="M1">
        <v>1.5</v>
      </c>
      <c r="O1" t="s">
        <v>30</v>
      </c>
      <c r="P1" s="148">
        <f>'N2O Ullage Calcs'!G57</f>
        <v>2.8988762251754956</v>
      </c>
    </row>
    <row r="2" spans="1:16" x14ac:dyDescent="0.25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74" t="s">
        <v>24</v>
      </c>
      <c r="H2" s="175"/>
      <c r="I2" s="175" t="s">
        <v>25</v>
      </c>
      <c r="J2" s="176"/>
      <c r="K2" s="43"/>
      <c r="L2" t="s">
        <v>14</v>
      </c>
      <c r="M2">
        <f>P1+(2*P3)</f>
        <v>3.4405428918421621</v>
      </c>
      <c r="O2" t="s">
        <v>31</v>
      </c>
      <c r="P2">
        <f>'BPV Calcs'!B8</f>
        <v>3.25</v>
      </c>
    </row>
    <row r="3" spans="1:16" x14ac:dyDescent="0.25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 x14ac:dyDescent="0.25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9.5871757312405084</v>
      </c>
      <c r="H4" s="138">
        <f>B4+G4</f>
        <v>462.4074147712405</v>
      </c>
      <c r="I4" s="37">
        <f>(C4*($M$3*$P$5)*$M$1)/144</f>
        <v>3.649437143961122</v>
      </c>
      <c r="J4" s="35">
        <f t="shared" ref="J4:J67" si="0">H4+I4</f>
        <v>466.05685191520161</v>
      </c>
      <c r="L4" t="s">
        <v>61</v>
      </c>
      <c r="M4">
        <v>0.5</v>
      </c>
    </row>
    <row r="5" spans="1:16" x14ac:dyDescent="0.25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9.5602131008581601</v>
      </c>
      <c r="H5" s="138">
        <f t="shared" ref="H5:H68" si="2">B5+G5</f>
        <v>468.21388050085818</v>
      </c>
      <c r="I5" s="37">
        <f t="shared" ref="I5:I68" si="3">(C5*($M$3*$P$5)*$M$1)/144</f>
        <v>3.6391735973677708</v>
      </c>
      <c r="J5" s="35">
        <f t="shared" si="0"/>
        <v>471.85305409822593</v>
      </c>
      <c r="L5" t="s">
        <v>36</v>
      </c>
      <c r="M5">
        <v>0.87815195180003003</v>
      </c>
      <c r="O5" t="s">
        <v>63</v>
      </c>
      <c r="P5">
        <v>6.1820000000000004</v>
      </c>
    </row>
    <row r="6" spans="1:16" x14ac:dyDescent="0.25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9.5330496511981693</v>
      </c>
      <c r="H6" s="138">
        <f t="shared" si="2"/>
        <v>474.07671023119815</v>
      </c>
      <c r="I6" s="37">
        <f t="shared" si="3"/>
        <v>3.6288336072678442</v>
      </c>
      <c r="J6" s="35">
        <f t="shared" si="0"/>
        <v>477.70554383846599</v>
      </c>
      <c r="L6" t="s">
        <v>37</v>
      </c>
      <c r="M6">
        <v>1.25</v>
      </c>
    </row>
    <row r="7" spans="1:16" x14ac:dyDescent="0.25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9.5057065211318683</v>
      </c>
      <c r="H7" s="138">
        <f t="shared" si="2"/>
        <v>479.99302434113179</v>
      </c>
      <c r="I7" s="37">
        <f t="shared" si="3"/>
        <v>3.6184252203462446</v>
      </c>
      <c r="J7" s="35">
        <f t="shared" si="0"/>
        <v>483.61144956147803</v>
      </c>
      <c r="L7" s="40" t="s">
        <v>38</v>
      </c>
      <c r="M7" s="40">
        <f>M5*M6</f>
        <v>1.0976899397500375</v>
      </c>
    </row>
    <row r="8" spans="1:16" x14ac:dyDescent="0.25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9.478173141223591</v>
      </c>
      <c r="H8" s="138">
        <f t="shared" si="2"/>
        <v>485.96426264122357</v>
      </c>
      <c r="I8" s="37">
        <f t="shared" si="3"/>
        <v>3.6079444132605212</v>
      </c>
      <c r="J8" s="35">
        <f t="shared" si="0"/>
        <v>489.57220705448407</v>
      </c>
    </row>
    <row r="9" spans="1:16" x14ac:dyDescent="0.25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9.4504389420376711</v>
      </c>
      <c r="H9" s="138">
        <f t="shared" si="2"/>
        <v>491.99186494203775</v>
      </c>
      <c r="I9" s="37">
        <f t="shared" si="3"/>
        <v>3.5973871626682228</v>
      </c>
      <c r="J9" s="35">
        <f t="shared" si="0"/>
        <v>495.58925210470596</v>
      </c>
    </row>
    <row r="10" spans="1:16" x14ac:dyDescent="0.25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9.4224933541384459</v>
      </c>
      <c r="H10" s="138">
        <f t="shared" si="2"/>
        <v>498.07437029413842</v>
      </c>
      <c r="I10" s="37">
        <f t="shared" si="3"/>
        <v>3.5867494452268978</v>
      </c>
      <c r="J10" s="35">
        <f t="shared" si="0"/>
        <v>501.66111973936529</v>
      </c>
    </row>
    <row r="11" spans="1:16" x14ac:dyDescent="0.25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9.3943575163972426</v>
      </c>
      <c r="H11" s="138">
        <f t="shared" si="2"/>
        <v>504.21470059639722</v>
      </c>
      <c r="I11" s="37">
        <f t="shared" si="3"/>
        <v>3.5760393076214481</v>
      </c>
      <c r="J11" s="35">
        <f t="shared" si="0"/>
        <v>507.79073990401866</v>
      </c>
    </row>
    <row r="12" spans="1:16" x14ac:dyDescent="0.25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9.3659891510714015</v>
      </c>
      <c r="H12" s="138">
        <f t="shared" si="2"/>
        <v>510.41136319107142</v>
      </c>
      <c r="I12" s="37">
        <f t="shared" si="3"/>
        <v>3.5652406564820689</v>
      </c>
      <c r="J12" s="35">
        <f t="shared" si="0"/>
        <v>513.97660384755352</v>
      </c>
    </row>
    <row r="13" spans="1:16" x14ac:dyDescent="0.25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9.3374199664679178</v>
      </c>
      <c r="H13" s="138">
        <f t="shared" si="2"/>
        <v>516.66438978646795</v>
      </c>
      <c r="I13" s="37">
        <f t="shared" si="3"/>
        <v>3.5543655618361156</v>
      </c>
      <c r="J13" s="35">
        <f t="shared" si="0"/>
        <v>520.21875534830406</v>
      </c>
    </row>
    <row r="14" spans="1:16" x14ac:dyDescent="0.25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9.3086182542797982</v>
      </c>
      <c r="H14" s="138">
        <f t="shared" si="2"/>
        <v>522.97664943427981</v>
      </c>
      <c r="I14" s="37">
        <f t="shared" si="3"/>
        <v>3.5434019536562325</v>
      </c>
      <c r="J14" s="35">
        <f t="shared" si="0"/>
        <v>526.52005138793606</v>
      </c>
    </row>
    <row r="15" spans="1:16" x14ac:dyDescent="0.25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9.2795945839427034</v>
      </c>
      <c r="H15" s="138">
        <f t="shared" si="2"/>
        <v>529.34525194394269</v>
      </c>
      <c r="I15" s="37">
        <f t="shared" si="3"/>
        <v>3.532353855284871</v>
      </c>
      <c r="J15" s="35">
        <f t="shared" si="0"/>
        <v>532.87760579922758</v>
      </c>
    </row>
    <row r="16" spans="1:16" x14ac:dyDescent="0.25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9.2503278165853047</v>
      </c>
      <c r="H16" s="138">
        <f t="shared" si="2"/>
        <v>535.77162655658537</v>
      </c>
      <c r="I16" s="37">
        <f t="shared" si="3"/>
        <v>3.5212132200371289</v>
      </c>
      <c r="J16" s="35">
        <f t="shared" si="0"/>
        <v>539.29283977662249</v>
      </c>
    </row>
    <row r="17" spans="1:10" x14ac:dyDescent="0.25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9.2208179522076055</v>
      </c>
      <c r="H17" s="138">
        <f t="shared" si="2"/>
        <v>542.2572236522077</v>
      </c>
      <c r="I17" s="37">
        <f t="shared" si="3"/>
        <v>3.5099800479130061</v>
      </c>
      <c r="J17" s="35">
        <f t="shared" si="0"/>
        <v>545.76720370012072</v>
      </c>
    </row>
    <row r="18" spans="1:10" x14ac:dyDescent="0.25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9.1910649908096005</v>
      </c>
      <c r="H18" s="138">
        <f t="shared" si="2"/>
        <v>548.80204323080966</v>
      </c>
      <c r="I18" s="37">
        <f t="shared" si="3"/>
        <v>3.4986543389125031</v>
      </c>
      <c r="J18" s="35">
        <f t="shared" si="0"/>
        <v>552.30069756972216</v>
      </c>
    </row>
    <row r="19" spans="1:10" x14ac:dyDescent="0.25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9.161058362955627</v>
      </c>
      <c r="H19" s="138">
        <f t="shared" si="2"/>
        <v>555.40752510295567</v>
      </c>
      <c r="I19" s="37">
        <f t="shared" si="3"/>
        <v>3.4872320696931673</v>
      </c>
      <c r="J19" s="35">
        <f t="shared" si="0"/>
        <v>558.89475717264884</v>
      </c>
    </row>
    <row r="20" spans="1:10" x14ac:dyDescent="0.25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9.1307874992100206</v>
      </c>
      <c r="H20" s="138">
        <f t="shared" si="2"/>
        <v>562.07075793921001</v>
      </c>
      <c r="I20" s="37">
        <f t="shared" si="3"/>
        <v>3.4757092169125485</v>
      </c>
      <c r="J20" s="35">
        <f t="shared" si="0"/>
        <v>565.54646715612262</v>
      </c>
    </row>
    <row r="21" spans="1:10" x14ac:dyDescent="0.25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9.1002523995727795</v>
      </c>
      <c r="H21" s="138">
        <f t="shared" si="2"/>
        <v>568.79464249957277</v>
      </c>
      <c r="I21" s="37">
        <f t="shared" si="3"/>
        <v>3.4640857805706466</v>
      </c>
      <c r="J21" s="35">
        <f t="shared" si="0"/>
        <v>572.25872828014337</v>
      </c>
    </row>
    <row r="22" spans="1:10" x14ac:dyDescent="0.25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9.069431925172573</v>
      </c>
      <c r="H22" s="138">
        <f t="shared" si="2"/>
        <v>575.58060802517252</v>
      </c>
      <c r="I22" s="37">
        <f t="shared" si="3"/>
        <v>3.4523537139825589</v>
      </c>
      <c r="J22" s="35">
        <f t="shared" si="0"/>
        <v>579.0329617391551</v>
      </c>
    </row>
    <row r="23" spans="1:10" x14ac:dyDescent="0.25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9.0383260760094046</v>
      </c>
      <c r="H23" s="138">
        <f t="shared" si="2"/>
        <v>582.42575375600939</v>
      </c>
      <c r="I23" s="37">
        <f t="shared" si="3"/>
        <v>3.4405130171482852</v>
      </c>
      <c r="J23" s="35">
        <f t="shared" si="0"/>
        <v>585.86626677315769</v>
      </c>
    </row>
    <row r="24" spans="1:10" x14ac:dyDescent="0.25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9.006924282647601</v>
      </c>
      <c r="H24" s="138">
        <f t="shared" si="2"/>
        <v>589.3329698826476</v>
      </c>
      <c r="I24" s="37">
        <f t="shared" si="3"/>
        <v>3.4285596667253735</v>
      </c>
      <c r="J24" s="35">
        <f t="shared" si="0"/>
        <v>592.76152954937299</v>
      </c>
    </row>
    <row r="25" spans="1:10" x14ac:dyDescent="0.25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8.9752265450871711</v>
      </c>
      <c r="H25" s="138">
        <f t="shared" si="2"/>
        <v>596.30225640508718</v>
      </c>
      <c r="I25" s="37">
        <f t="shared" si="3"/>
        <v>3.4164936627138247</v>
      </c>
      <c r="J25" s="35">
        <f t="shared" si="0"/>
        <v>599.71875006780101</v>
      </c>
    </row>
    <row r="26" spans="1:10" x14ac:dyDescent="0.25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8.9432117244567788</v>
      </c>
      <c r="H26" s="138">
        <f t="shared" si="2"/>
        <v>603.33359218445673</v>
      </c>
      <c r="I26" s="37">
        <f t="shared" si="3"/>
        <v>3.404306958428736</v>
      </c>
      <c r="J26" s="35">
        <f t="shared" si="0"/>
        <v>606.73789914288545</v>
      </c>
    </row>
    <row r="27" spans="1:10" x14ac:dyDescent="0.25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8.9108692513207579</v>
      </c>
      <c r="H27" s="138">
        <f t="shared" si="2"/>
        <v>610.42841703132081</v>
      </c>
      <c r="I27" s="37">
        <f t="shared" si="3"/>
        <v>3.3919955305276557</v>
      </c>
      <c r="J27" s="35">
        <f t="shared" si="0"/>
        <v>613.82041256184846</v>
      </c>
    </row>
    <row r="28" spans="1:10" x14ac:dyDescent="0.25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8.8781991256791155</v>
      </c>
      <c r="H28" s="138">
        <f t="shared" si="2"/>
        <v>617.58528056567911</v>
      </c>
      <c r="I28" s="37">
        <f t="shared" si="3"/>
        <v>3.3795593790105851</v>
      </c>
      <c r="J28" s="35">
        <f t="shared" si="0"/>
        <v>620.96483994468974</v>
      </c>
    </row>
    <row r="29" spans="1:10" x14ac:dyDescent="0.25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8.8451696392248476</v>
      </c>
      <c r="H29" s="138">
        <f t="shared" si="2"/>
        <v>624.80705183922487</v>
      </c>
      <c r="I29" s="37">
        <f t="shared" si="3"/>
        <v>3.3669864338501685</v>
      </c>
      <c r="J29" s="35">
        <f t="shared" si="0"/>
        <v>628.17403827307498</v>
      </c>
    </row>
    <row r="30" spans="1:10" x14ac:dyDescent="0.25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8.8117913613936238</v>
      </c>
      <c r="H30" s="138">
        <f t="shared" si="2"/>
        <v>632.09229104139354</v>
      </c>
      <c r="I30" s="37">
        <f t="shared" si="3"/>
        <v>3.3542807183888579</v>
      </c>
      <c r="J30" s="35">
        <f t="shared" si="0"/>
        <v>635.44657175978239</v>
      </c>
    </row>
    <row r="31" spans="1:10" x14ac:dyDescent="0.25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8.7780431533141083</v>
      </c>
      <c r="H31" s="138">
        <f t="shared" si="2"/>
        <v>639.44242741331414</v>
      </c>
      <c r="I31" s="37">
        <f t="shared" si="3"/>
        <v>3.3414341859417496</v>
      </c>
      <c r="J31" s="35">
        <f t="shared" si="0"/>
        <v>642.78386159925583</v>
      </c>
    </row>
    <row r="32" spans="1:10" x14ac:dyDescent="0.25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8.7439144455506455</v>
      </c>
      <c r="H32" s="138">
        <f t="shared" si="2"/>
        <v>646.85745038555069</v>
      </c>
      <c r="I32" s="37">
        <f t="shared" si="3"/>
        <v>3.328442813166395</v>
      </c>
      <c r="J32" s="35">
        <f t="shared" si="0"/>
        <v>650.18589319871705</v>
      </c>
    </row>
    <row r="33" spans="1:12" x14ac:dyDescent="0.25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8.7093840992318938</v>
      </c>
      <c r="H33" s="138">
        <f t="shared" si="2"/>
        <v>654.33733881923195</v>
      </c>
      <c r="I33" s="37">
        <f t="shared" si="3"/>
        <v>3.3152985533778883</v>
      </c>
      <c r="J33" s="35">
        <f t="shared" si="0"/>
        <v>657.65263737260989</v>
      </c>
    </row>
    <row r="34" spans="1:12" x14ac:dyDescent="0.25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8.6744415449221961</v>
      </c>
      <c r="H34" s="138">
        <f t="shared" si="2"/>
        <v>661.88498290492214</v>
      </c>
      <c r="I34" s="37">
        <f t="shared" si="3"/>
        <v>3.3019973832337808</v>
      </c>
      <c r="J34" s="35">
        <f t="shared" si="0"/>
        <v>665.18698028815595</v>
      </c>
    </row>
    <row r="35" spans="1:12" x14ac:dyDescent="0.25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8.639065643750218</v>
      </c>
      <c r="H35" s="138">
        <f t="shared" si="2"/>
        <v>669.49746074375025</v>
      </c>
      <c r="I35" s="37">
        <f t="shared" si="3"/>
        <v>3.2885312560491675</v>
      </c>
      <c r="J35" s="35">
        <f t="shared" si="0"/>
        <v>672.78599199979942</v>
      </c>
    </row>
    <row r="36" spans="1:12" x14ac:dyDescent="0.25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8.6032458262802933</v>
      </c>
      <c r="H36" s="138">
        <f t="shared" si="2"/>
        <v>677.17911290628035</v>
      </c>
      <c r="I36" s="37">
        <f t="shared" si="3"/>
        <v>3.2748961484815999</v>
      </c>
      <c r="J36" s="35">
        <f t="shared" si="0"/>
        <v>680.45400905476197</v>
      </c>
    </row>
    <row r="37" spans="1:12" x14ac:dyDescent="0.25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8.5669609536410931</v>
      </c>
      <c r="H37" s="138">
        <f t="shared" si="2"/>
        <v>684.92701749364107</v>
      </c>
      <c r="I37" s="37">
        <f t="shared" si="3"/>
        <v>3.2610840138461716</v>
      </c>
      <c r="J37" s="35">
        <f t="shared" si="0"/>
        <v>688.1881015074872</v>
      </c>
    </row>
    <row r="38" spans="1:12" x14ac:dyDescent="0.25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8.5301898869612884</v>
      </c>
      <c r="H38" s="138">
        <f t="shared" si="2"/>
        <v>692.74260374696121</v>
      </c>
      <c r="I38" s="37">
        <f t="shared" si="3"/>
        <v>3.2470868054579838</v>
      </c>
      <c r="J38" s="35">
        <f t="shared" si="0"/>
        <v>695.98969055241923</v>
      </c>
    </row>
    <row r="39" spans="1:12" x14ac:dyDescent="0.25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8.4929114873695433</v>
      </c>
      <c r="H39" s="138">
        <f t="shared" si="2"/>
        <v>700.62730090736954</v>
      </c>
      <c r="I39" s="37">
        <f t="shared" si="3"/>
        <v>3.2328964766321309</v>
      </c>
      <c r="J39" s="35">
        <f t="shared" si="0"/>
        <v>703.86019738400171</v>
      </c>
    </row>
    <row r="40" spans="1:12" x14ac:dyDescent="0.25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8.4551151854301949</v>
      </c>
      <c r="H40" s="138">
        <f t="shared" si="2"/>
        <v>708.58254878543016</v>
      </c>
      <c r="I40" s="37">
        <f t="shared" si="3"/>
        <v>3.2185090040261621</v>
      </c>
      <c r="J40" s="35">
        <f t="shared" si="0"/>
        <v>711.80105778945631</v>
      </c>
    </row>
    <row r="41" spans="1:12" x14ac:dyDescent="0.25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8.416758703400582</v>
      </c>
      <c r="H41" s="138">
        <f t="shared" si="2"/>
        <v>716.60540434340055</v>
      </c>
      <c r="I41" s="37">
        <f t="shared" si="3"/>
        <v>3.2039082942702741</v>
      </c>
      <c r="J41" s="35">
        <f t="shared" si="0"/>
        <v>719.80931263767081</v>
      </c>
    </row>
    <row r="42" spans="1:12" x14ac:dyDescent="0.25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8.3778209024093755</v>
      </c>
      <c r="H42" s="138">
        <f t="shared" si="2"/>
        <v>724.70019758240926</v>
      </c>
      <c r="I42" s="37">
        <f t="shared" si="3"/>
        <v>3.1890863006795618</v>
      </c>
      <c r="J42" s="35">
        <f t="shared" si="0"/>
        <v>727.88928388308886</v>
      </c>
    </row>
    <row r="43" spans="1:12" x14ac:dyDescent="0.25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8.338280643585243</v>
      </c>
      <c r="H43" s="138">
        <f t="shared" si="2"/>
        <v>732.86690736358526</v>
      </c>
      <c r="I43" s="37">
        <f t="shared" si="3"/>
        <v>3.1740349765691236</v>
      </c>
      <c r="J43" s="35">
        <f t="shared" si="0"/>
        <v>736.0409423401544</v>
      </c>
    </row>
    <row r="44" spans="1:12" x14ac:dyDescent="0.25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8.2981062186211911</v>
      </c>
      <c r="H44" s="138">
        <f t="shared" si="2"/>
        <v>741.10405159862125</v>
      </c>
      <c r="I44" s="37">
        <f t="shared" si="3"/>
        <v>3.1587422519116064</v>
      </c>
      <c r="J44" s="35">
        <f t="shared" si="0"/>
        <v>744.26279385053283</v>
      </c>
    </row>
    <row r="45" spans="1:12" x14ac:dyDescent="0.25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8.2572553497745513</v>
      </c>
      <c r="H45" s="138">
        <f t="shared" si="2"/>
        <v>749.41448876977461</v>
      </c>
      <c r="I45" s="37">
        <f t="shared" si="3"/>
        <v>3.1431920333372028</v>
      </c>
      <c r="J45" s="35">
        <f t="shared" si="0"/>
        <v>752.55768080311179</v>
      </c>
    </row>
    <row r="46" spans="1:12" x14ac:dyDescent="0.25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8.2157068981739982</v>
      </c>
      <c r="H46" s="138">
        <f t="shared" si="2"/>
        <v>757.79674735817389</v>
      </c>
      <c r="I46" s="37">
        <f t="shared" si="3"/>
        <v>3.1273762741610116</v>
      </c>
      <c r="J46" s="35">
        <f t="shared" si="0"/>
        <v>760.92412363233495</v>
      </c>
    </row>
    <row r="47" spans="1:12" x14ac:dyDescent="0.25">
      <c r="A47" s="62">
        <v>70</v>
      </c>
      <c r="B47" s="63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8.2063094954857476</v>
      </c>
      <c r="H47" s="138">
        <f t="shared" si="2"/>
        <v>759.67606702215232</v>
      </c>
      <c r="I47" s="37">
        <f t="shared" si="3"/>
        <v>3.1237990756837255</v>
      </c>
      <c r="J47" s="35">
        <f t="shared" si="0"/>
        <v>762.799866097836</v>
      </c>
      <c r="K47" s="39" t="s">
        <v>33</v>
      </c>
      <c r="L47" s="49"/>
    </row>
    <row r="48" spans="1:12" x14ac:dyDescent="0.25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8.1734185860768704</v>
      </c>
      <c r="H48" s="138">
        <f t="shared" si="2"/>
        <v>766.25368584607679</v>
      </c>
      <c r="I48" s="37">
        <f t="shared" si="3"/>
        <v>3.1112788810132264</v>
      </c>
      <c r="J48" s="35">
        <f t="shared" si="0"/>
        <v>769.36496472709007</v>
      </c>
    </row>
    <row r="49" spans="1:12" x14ac:dyDescent="0.25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8.1303375663048385</v>
      </c>
      <c r="H49" s="138">
        <f t="shared" si="2"/>
        <v>774.78525138630482</v>
      </c>
      <c r="I49" s="37">
        <f t="shared" si="3"/>
        <v>3.0948797371815915</v>
      </c>
      <c r="J49" s="35">
        <f t="shared" si="0"/>
        <v>777.88013112348642</v>
      </c>
    </row>
    <row r="50" spans="1:12" x14ac:dyDescent="0.25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8.0864215611152481</v>
      </c>
      <c r="H50" s="138">
        <f t="shared" si="2"/>
        <v>783.39140170111523</v>
      </c>
      <c r="I50" s="37">
        <f t="shared" si="3"/>
        <v>3.0781627492963022</v>
      </c>
      <c r="J50" s="35">
        <f t="shared" si="0"/>
        <v>786.46956445041155</v>
      </c>
    </row>
    <row r="51" spans="1:12" x14ac:dyDescent="0.25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8.0416282927654272</v>
      </c>
      <c r="H51" s="138">
        <f t="shared" si="2"/>
        <v>792.07354489276543</v>
      </c>
      <c r="I51" s="37">
        <f t="shared" si="3"/>
        <v>3.061111823987551</v>
      </c>
      <c r="J51" s="35">
        <f t="shared" si="0"/>
        <v>795.13465671675294</v>
      </c>
    </row>
    <row r="52" spans="1:12" x14ac:dyDescent="0.25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7.9958943446413899</v>
      </c>
      <c r="H52" s="138">
        <f t="shared" si="2"/>
        <v>800.83161754464152</v>
      </c>
      <c r="I52" s="37">
        <f t="shared" si="3"/>
        <v>3.0437028212006316</v>
      </c>
      <c r="J52" s="35">
        <f t="shared" si="0"/>
        <v>803.87532036584219</v>
      </c>
    </row>
    <row r="53" spans="1:12" x14ac:dyDescent="0.25">
      <c r="A53" s="141">
        <v>75</v>
      </c>
      <c r="B53" s="142">
        <f>B52+(((B54-B52)/($A$54-$A$52))*($A$53-$A$52))</f>
        <v>799.74517236666668</v>
      </c>
      <c r="C53" s="143">
        <f t="shared" ref="C53:D53" si="4">C52+(((C54-C52)/($A$54-$A$52))*($A$53-$A$52))</f>
        <v>1.4612000162666667</v>
      </c>
      <c r="D53" s="144">
        <f t="shared" si="4"/>
        <v>0.35142632153493331</v>
      </c>
      <c r="E53" s="145"/>
      <c r="F53" s="145"/>
      <c r="G53" s="36">
        <f t="shared" si="1"/>
        <v>7.9595425322429758</v>
      </c>
      <c r="H53" s="139">
        <f t="shared" si="2"/>
        <v>807.70471489890963</v>
      </c>
      <c r="I53" s="37">
        <f t="shared" si="3"/>
        <v>3.0298652053963462</v>
      </c>
      <c r="J53" s="140">
        <f t="shared" si="0"/>
        <v>810.73458010430602</v>
      </c>
      <c r="K53" s="40" t="s">
        <v>33</v>
      </c>
      <c r="L53" s="73" t="s">
        <v>54</v>
      </c>
    </row>
    <row r="54" spans="1:12" x14ac:dyDescent="0.25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7.9491563001291432</v>
      </c>
      <c r="H54" s="138">
        <f t="shared" si="2"/>
        <v>809.66845700012914</v>
      </c>
      <c r="I54" s="37">
        <f t="shared" si="3"/>
        <v>3.025911600880836</v>
      </c>
      <c r="J54" s="35">
        <f t="shared" si="0"/>
        <v>812.69436860100996</v>
      </c>
    </row>
    <row r="55" spans="1:12" x14ac:dyDescent="0.25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7.9013401731790323</v>
      </c>
      <c r="H55" s="138">
        <f t="shared" si="2"/>
        <v>818.5839892731791</v>
      </c>
      <c r="I55" s="37">
        <f t="shared" si="3"/>
        <v>3.0077099996310048</v>
      </c>
      <c r="J55" s="35">
        <f t="shared" si="0"/>
        <v>821.59169927281016</v>
      </c>
    </row>
    <row r="56" spans="1:12" x14ac:dyDescent="0.25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7.8523825471770561</v>
      </c>
      <c r="H56" s="138">
        <f t="shared" si="2"/>
        <v>827.57815094717705</v>
      </c>
      <c r="I56" s="37">
        <f t="shared" si="3"/>
        <v>2.9890738773964278</v>
      </c>
      <c r="J56" s="35">
        <f t="shared" si="0"/>
        <v>830.56722482457349</v>
      </c>
    </row>
    <row r="57" spans="1:12" x14ac:dyDescent="0.25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7.8021882972022354</v>
      </c>
      <c r="H57" s="138">
        <f t="shared" si="2"/>
        <v>836.65229727720225</v>
      </c>
      <c r="I57" s="37">
        <f t="shared" si="3"/>
        <v>2.969967024095046</v>
      </c>
      <c r="J57" s="35">
        <f t="shared" si="0"/>
        <v>839.62226430129726</v>
      </c>
    </row>
    <row r="58" spans="1:12" x14ac:dyDescent="0.25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7.7506622983335784</v>
      </c>
      <c r="H58" s="138">
        <f t="shared" si="2"/>
        <v>845.80778351833362</v>
      </c>
      <c r="I58" s="37">
        <f t="shared" si="3"/>
        <v>2.9503532296447958</v>
      </c>
      <c r="J58" s="35">
        <f t="shared" si="0"/>
        <v>848.75813674797837</v>
      </c>
    </row>
    <row r="59" spans="1:12" x14ac:dyDescent="0.25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7.6976882867787664</v>
      </c>
      <c r="H59" s="138">
        <f t="shared" si="2"/>
        <v>855.04594378677871</v>
      </c>
      <c r="I59" s="37">
        <f t="shared" si="3"/>
        <v>2.9301882372787134</v>
      </c>
      <c r="J59" s="35">
        <f t="shared" si="0"/>
        <v>857.97613202405739</v>
      </c>
    </row>
    <row r="60" spans="1:12" x14ac:dyDescent="0.25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7.6431499987454794</v>
      </c>
      <c r="H60" s="138">
        <f t="shared" si="2"/>
        <v>864.36666181874546</v>
      </c>
      <c r="I60" s="37">
        <f t="shared" si="3"/>
        <v>2.9094277902298331</v>
      </c>
      <c r="J60" s="35">
        <f t="shared" si="0"/>
        <v>867.27608960897533</v>
      </c>
    </row>
    <row r="61" spans="1:12" x14ac:dyDescent="0.25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7.5868888926987363</v>
      </c>
      <c r="H61" s="138">
        <f t="shared" si="2"/>
        <v>873.77267983269871</v>
      </c>
      <c r="I61" s="37">
        <f t="shared" si="3"/>
        <v>2.8880115383613858</v>
      </c>
      <c r="J61" s="35">
        <f t="shared" si="0"/>
        <v>876.66069137106012</v>
      </c>
    </row>
    <row r="62" spans="1:12" x14ac:dyDescent="0.25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7.5287569965392276</v>
      </c>
      <c r="H62" s="138">
        <f t="shared" si="2"/>
        <v>883.26239947653926</v>
      </c>
      <c r="I62" s="37">
        <f t="shared" si="3"/>
        <v>2.8658831548790524</v>
      </c>
      <c r="J62" s="35">
        <f t="shared" si="0"/>
        <v>886.1282826314183</v>
      </c>
    </row>
    <row r="63" spans="1:12" x14ac:dyDescent="0.25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7.468542921553639</v>
      </c>
      <c r="H63" s="138">
        <f t="shared" si="2"/>
        <v>892.83996050155361</v>
      </c>
      <c r="I63" s="37">
        <f t="shared" si="3"/>
        <v>2.8429621729338064</v>
      </c>
      <c r="J63" s="35">
        <f t="shared" si="0"/>
        <v>895.68292267448737</v>
      </c>
    </row>
    <row r="64" spans="1:12" x14ac:dyDescent="0.25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7.4060141401573372</v>
      </c>
      <c r="H64" s="138">
        <f t="shared" si="2"/>
        <v>902.50658076015736</v>
      </c>
      <c r="I64" s="37">
        <f t="shared" si="3"/>
        <v>2.8191600789917186</v>
      </c>
      <c r="J64" s="35">
        <f t="shared" si="0"/>
        <v>905.32574083914903</v>
      </c>
    </row>
    <row r="65" spans="1:12" x14ac:dyDescent="0.25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7.3409064164586857</v>
      </c>
      <c r="H65" s="138">
        <f t="shared" si="2"/>
        <v>912.26054563645869</v>
      </c>
      <c r="I65" s="37">
        <f t="shared" si="3"/>
        <v>2.7943762894915056</v>
      </c>
      <c r="J65" s="35">
        <f t="shared" si="0"/>
        <v>915.05492192595023</v>
      </c>
    </row>
    <row r="66" spans="1:12" x14ac:dyDescent="0.25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7.2728920979520568</v>
      </c>
      <c r="H66" s="138">
        <f t="shared" si="2"/>
        <v>922.1073289979521</v>
      </c>
      <c r="I66" s="37">
        <f t="shared" si="3"/>
        <v>2.768486080817175</v>
      </c>
      <c r="J66" s="35">
        <f t="shared" si="0"/>
        <v>924.87581507876928</v>
      </c>
    </row>
    <row r="67" spans="1:12" x14ac:dyDescent="0.25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7.2015589766465054</v>
      </c>
      <c r="H67" s="138">
        <f t="shared" si="2"/>
        <v>932.04506825664657</v>
      </c>
      <c r="I67" s="37">
        <f t="shared" si="3"/>
        <v>2.7413325426131263</v>
      </c>
      <c r="J67" s="35">
        <f t="shared" si="0"/>
        <v>934.7864007992597</v>
      </c>
    </row>
    <row r="68" spans="1:12" x14ac:dyDescent="0.25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7.1264208585014206</v>
      </c>
      <c r="H68" s="138">
        <f t="shared" si="2"/>
        <v>942.07762835850156</v>
      </c>
      <c r="I68" s="37">
        <f t="shared" si="3"/>
        <v>2.7127306011265979</v>
      </c>
      <c r="J68" s="35">
        <f t="shared" ref="J68:J79" si="5">H68+I68</f>
        <v>944.79035895962818</v>
      </c>
    </row>
    <row r="69" spans="1:12" x14ac:dyDescent="0.25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1" si="6">(C69*($M$3*$P$5)*($M$2+$M$4))/144</f>
        <v>7.0468330079412178</v>
      </c>
      <c r="H69" s="138">
        <f t="shared" ref="H69:H79" si="7">B69+G69</f>
        <v>952.20726532794117</v>
      </c>
      <c r="I69" s="37">
        <f t="shared" ref="I69:I79" si="8">(C69*($M$3*$P$5)*$M$1)/144</f>
        <v>2.6824348324680578</v>
      </c>
      <c r="J69" s="35">
        <f t="shared" si="5"/>
        <v>954.88970016040923</v>
      </c>
    </row>
    <row r="70" spans="1:12" x14ac:dyDescent="0.25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6.9619815784196639</v>
      </c>
      <c r="H70" s="138">
        <f t="shared" si="7"/>
        <v>962.43316531841981</v>
      </c>
      <c r="I70" s="37">
        <f t="shared" si="8"/>
        <v>2.6501354392687539</v>
      </c>
      <c r="J70" s="35">
        <f t="shared" si="5"/>
        <v>965.08330075768856</v>
      </c>
    </row>
    <row r="71" spans="1:12" x14ac:dyDescent="0.25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6.8707990569345538</v>
      </c>
      <c r="H71" s="138">
        <f t="shared" si="7"/>
        <v>972.75861195693449</v>
      </c>
      <c r="I71" s="37">
        <f t="shared" si="8"/>
        <v>2.6154260639411016</v>
      </c>
      <c r="J71" s="35">
        <f t="shared" si="5"/>
        <v>975.37403802087556</v>
      </c>
    </row>
    <row r="72" spans="1:12" x14ac:dyDescent="0.25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>(C72*($M$3*$P$5)*($M$2+$M$4))/144</f>
        <v>6.7717740141857439</v>
      </c>
      <c r="H72" s="138">
        <f t="shared" si="7"/>
        <v>983.18789533418578</v>
      </c>
      <c r="I72" s="37">
        <f t="shared" si="8"/>
        <v>2.5777313685145593</v>
      </c>
      <c r="J72" s="35">
        <f t="shared" si="5"/>
        <v>985.76562670270039</v>
      </c>
    </row>
    <row r="73" spans="1:12" x14ac:dyDescent="0.25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ref="G73:G79" si="9">(C73*($M$3*$P$5)*($M$2+$M$4))/144</f>
        <v>6.6627819936044936</v>
      </c>
      <c r="H73" s="138">
        <f t="shared" si="7"/>
        <v>993.71889099360465</v>
      </c>
      <c r="I73" s="37">
        <f t="shared" si="8"/>
        <v>2.5362426611564097</v>
      </c>
      <c r="J73" s="35">
        <f t="shared" si="5"/>
        <v>996.25513365476104</v>
      </c>
    </row>
    <row r="74" spans="1:12" x14ac:dyDescent="0.25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9"/>
        <v>6.5405887478772016</v>
      </c>
      <c r="H74" s="138">
        <f t="shared" si="7"/>
        <v>1004.3585173478772</v>
      </c>
      <c r="I74" s="37">
        <f t="shared" si="8"/>
        <v>2.4897287990765453</v>
      </c>
      <c r="J74" s="35">
        <f t="shared" si="5"/>
        <v>1006.8482461469538</v>
      </c>
    </row>
    <row r="75" spans="1:12" x14ac:dyDescent="0.25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9"/>
        <v>6.3998884202998552</v>
      </c>
      <c r="H75" s="138">
        <f t="shared" si="7"/>
        <v>1015.1043693002998</v>
      </c>
      <c r="I75" s="37">
        <f t="shared" si="8"/>
        <v>2.4361700643643958</v>
      </c>
      <c r="J75" s="35">
        <f t="shared" si="5"/>
        <v>1017.5405393646643</v>
      </c>
    </row>
    <row r="76" spans="1:12" x14ac:dyDescent="0.25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9"/>
        <v>6.2309465606246519</v>
      </c>
      <c r="H76" s="138">
        <f t="shared" si="7"/>
        <v>1025.9568650606248</v>
      </c>
      <c r="I76" s="37">
        <f t="shared" si="8"/>
        <v>2.3718609586222836</v>
      </c>
      <c r="J76" s="35">
        <f t="shared" si="5"/>
        <v>1028.3287260192471</v>
      </c>
    </row>
    <row r="77" spans="1:12" x14ac:dyDescent="0.25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9"/>
        <v>6.0122120895299105</v>
      </c>
      <c r="H77" s="138">
        <f t="shared" si="7"/>
        <v>1036.90605658953</v>
      </c>
      <c r="I77" s="37">
        <f t="shared" si="8"/>
        <v>2.2885978865919405</v>
      </c>
      <c r="J77" s="35">
        <f t="shared" si="5"/>
        <v>1039.194654476122</v>
      </c>
    </row>
    <row r="78" spans="1:12" x14ac:dyDescent="0.25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9"/>
        <v>5.6735039541976047</v>
      </c>
      <c r="H78" s="138">
        <f t="shared" si="7"/>
        <v>1047.9049689141978</v>
      </c>
      <c r="I78" s="37">
        <f t="shared" si="8"/>
        <v>2.1596658543965126</v>
      </c>
      <c r="J78" s="35">
        <f t="shared" si="5"/>
        <v>1050.0646347685943</v>
      </c>
    </row>
    <row r="79" spans="1:12" x14ac:dyDescent="0.25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9"/>
        <v>4.7775011845375666</v>
      </c>
      <c r="H79" s="138">
        <f t="shared" si="7"/>
        <v>1055.5778111845377</v>
      </c>
      <c r="I79" s="37">
        <f t="shared" si="8"/>
        <v>1.8185950447696315</v>
      </c>
      <c r="J79" s="35">
        <f t="shared" si="5"/>
        <v>1057.3964062293073</v>
      </c>
      <c r="K79" s="48"/>
      <c r="L79" s="22"/>
    </row>
    <row r="80" spans="1:12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U819"/>
  <sheetViews>
    <sheetView zoomScale="73" zoomScaleNormal="73" workbookViewId="0">
      <pane xSplit="1" topLeftCell="B1" activePane="topRight" state="frozen"/>
      <selection pane="topRight" activeCell="G58" sqref="G58"/>
    </sheetView>
  </sheetViews>
  <sheetFormatPr defaultColWidth="11.42578125" defaultRowHeight="15" x14ac:dyDescent="0.25"/>
  <cols>
    <col min="1" max="1" width="11.42578125" style="24"/>
    <col min="3" max="3" width="11.85546875" customWidth="1"/>
    <col min="4" max="4" width="11.42578125" style="23"/>
    <col min="5" max="5" width="11.42578125" style="59"/>
    <col min="6" max="6" width="19.85546875" customWidth="1"/>
    <col min="7" max="7" width="13" style="24" customWidth="1"/>
    <col min="8" max="8" width="11" style="24" customWidth="1"/>
    <col min="9" max="9" width="12.140625" customWidth="1"/>
    <col min="10" max="10" width="9.85546875" customWidth="1"/>
    <col min="11" max="11" width="12.42578125" customWidth="1"/>
    <col min="12" max="12" width="13" customWidth="1"/>
    <col min="13" max="13" width="3" customWidth="1"/>
    <col min="14" max="14" width="13.42578125" customWidth="1"/>
    <col min="15" max="15" width="9.7109375" customWidth="1"/>
    <col min="16" max="16" width="8.28515625" customWidth="1"/>
    <col min="17" max="17" width="15.28515625" customWidth="1"/>
    <col min="18" max="18" width="16.42578125" style="71" customWidth="1"/>
    <col min="19" max="19" width="10.85546875" bestFit="1" customWidth="1"/>
    <col min="20" max="20" width="40.7109375" bestFit="1" customWidth="1"/>
    <col min="23" max="23" width="23.42578125" bestFit="1" customWidth="1"/>
  </cols>
  <sheetData>
    <row r="1" spans="1:21" ht="23.25" customHeight="1" x14ac:dyDescent="0.25">
      <c r="A1" s="184" t="s">
        <v>17</v>
      </c>
      <c r="B1" s="185"/>
      <c r="C1" s="185"/>
      <c r="D1" s="186"/>
      <c r="E1" s="64"/>
      <c r="F1" s="187" t="s">
        <v>51</v>
      </c>
      <c r="G1" s="132"/>
      <c r="H1" s="132"/>
      <c r="I1" s="190" t="s">
        <v>52</v>
      </c>
      <c r="J1" s="120"/>
      <c r="K1" s="84"/>
      <c r="L1" s="14"/>
      <c r="M1" s="14"/>
      <c r="N1" s="192" t="s">
        <v>50</v>
      </c>
      <c r="O1" s="195"/>
      <c r="P1" s="195"/>
      <c r="Q1" s="111"/>
      <c r="R1" s="196" t="s">
        <v>49</v>
      </c>
      <c r="S1" s="51"/>
      <c r="T1" t="s">
        <v>60</v>
      </c>
      <c r="U1">
        <v>1.5</v>
      </c>
    </row>
    <row r="2" spans="1:21" ht="27.95" customHeight="1" x14ac:dyDescent="0.25">
      <c r="A2" s="92" t="s">
        <v>18</v>
      </c>
      <c r="B2" s="93" t="s">
        <v>20</v>
      </c>
      <c r="C2" s="94" t="s">
        <v>21</v>
      </c>
      <c r="D2" s="95" t="s">
        <v>22</v>
      </c>
      <c r="E2" s="50"/>
      <c r="F2" s="188"/>
      <c r="G2" s="125" t="s">
        <v>39</v>
      </c>
      <c r="H2" s="125" t="s">
        <v>35</v>
      </c>
      <c r="I2" s="191"/>
      <c r="J2" s="198" t="s">
        <v>49</v>
      </c>
      <c r="K2" s="199"/>
      <c r="L2" s="65"/>
      <c r="M2" s="65"/>
      <c r="N2" s="193"/>
      <c r="O2" s="78" t="s">
        <v>39</v>
      </c>
      <c r="P2" s="78" t="s">
        <v>35</v>
      </c>
      <c r="Q2" s="78" t="s">
        <v>48</v>
      </c>
      <c r="R2" s="197"/>
      <c r="S2" s="67"/>
      <c r="T2" t="s">
        <v>14</v>
      </c>
      <c r="U2">
        <f>X1+(2*X3)</f>
        <v>0</v>
      </c>
    </row>
    <row r="3" spans="1:21" ht="15.75" thickBot="1" x14ac:dyDescent="0.3">
      <c r="A3" s="107" t="s">
        <v>16</v>
      </c>
      <c r="B3" s="108" t="s">
        <v>19</v>
      </c>
      <c r="C3" s="109" t="s">
        <v>23</v>
      </c>
      <c r="D3" s="110" t="s">
        <v>23</v>
      </c>
      <c r="E3" s="20"/>
      <c r="F3" s="189"/>
      <c r="G3" s="121" t="s">
        <v>40</v>
      </c>
      <c r="H3" s="121" t="s">
        <v>40</v>
      </c>
      <c r="I3" s="105" t="s">
        <v>40</v>
      </c>
      <c r="J3" s="121" t="s">
        <v>47</v>
      </c>
      <c r="K3" s="106" t="s">
        <v>55</v>
      </c>
      <c r="L3" s="17"/>
      <c r="M3" s="17"/>
      <c r="N3" s="194"/>
      <c r="O3" s="118" t="s">
        <v>40</v>
      </c>
      <c r="P3" s="118" t="s">
        <v>40</v>
      </c>
      <c r="Q3" s="118" t="s">
        <v>40</v>
      </c>
      <c r="R3" s="119" t="s">
        <v>47</v>
      </c>
      <c r="S3" s="51"/>
      <c r="T3" t="s">
        <v>13</v>
      </c>
      <c r="U3">
        <v>32.200000000000003</v>
      </c>
    </row>
    <row r="4" spans="1:21" x14ac:dyDescent="0.25">
      <c r="A4" s="92">
        <v>32</v>
      </c>
      <c r="B4" s="96">
        <v>452.82023903999999</v>
      </c>
      <c r="C4" s="94">
        <v>1.75999830112</v>
      </c>
      <c r="D4" s="95">
        <v>0.16525852904319999</v>
      </c>
      <c r="E4" s="50"/>
      <c r="F4" s="85">
        <f t="shared" ref="F4:F35" si="0">($C$53-C4)/(D4-C4)</f>
        <v>0.18736491688811011</v>
      </c>
      <c r="G4" s="127">
        <f t="shared" ref="G4:G35" si="1">$U$7/((C4*(1-F4))+(D4*F4))</f>
        <v>0.75122497093492424</v>
      </c>
      <c r="H4" s="74">
        <f>G4*F4</f>
        <v>0.14075320424349502</v>
      </c>
      <c r="I4" s="75">
        <f>H4-$G$55</f>
        <v>9.914634262639932E-2</v>
      </c>
      <c r="J4" s="74">
        <f>IF(I4&gt;0, ('BPV Calcs'!$B$8/12)+(I4/(PI()*(('BPV Calcs'!$B$8/12)^2))), "Need to Use Goal Seek tool")</f>
        <v>0.7010850340974093</v>
      </c>
      <c r="K4" s="86">
        <f>J4*12</f>
        <v>8.4130204091689116</v>
      </c>
      <c r="L4" s="17"/>
      <c r="M4" s="17"/>
      <c r="N4" s="112">
        <f>($C$47-C4)/(D4-C4)</f>
        <v>0.15895834986355586</v>
      </c>
      <c r="O4" s="79">
        <f t="shared" ref="O4:O47" si="2">$U$7/((C4*(1-N4))+(D4*N4))</f>
        <v>0.72863533976250439</v>
      </c>
      <c r="P4" s="80">
        <f>O4*N4</f>
        <v>0.11582267126091907</v>
      </c>
      <c r="Q4" s="80">
        <f t="shared" ref="Q4:Q47" si="3">P4-$G$55</f>
        <v>7.4215809643823349E-2</v>
      </c>
      <c r="R4" s="113">
        <f>IF(Q4&gt;0, ('BPV Calcs'!$B$8/12)+(Q4/(PI()*(('BPV Calcs'!$B$8/12)^2))), "SEE EQN in Notes")</f>
        <v>0.59289744056078075</v>
      </c>
      <c r="S4" s="50"/>
      <c r="T4" t="s">
        <v>61</v>
      </c>
      <c r="U4">
        <v>0.5</v>
      </c>
    </row>
    <row r="5" spans="1:21" x14ac:dyDescent="0.25">
      <c r="A5" s="92">
        <v>32.9</v>
      </c>
      <c r="B5" s="96">
        <v>458.65366740000002</v>
      </c>
      <c r="C5" s="94">
        <v>1.7550485447999999</v>
      </c>
      <c r="D5" s="95">
        <v>0.16772615040639999</v>
      </c>
      <c r="E5" s="50"/>
      <c r="F5" s="85">
        <f t="shared" si="0"/>
        <v>0.18512214630827489</v>
      </c>
      <c r="G5" s="127">
        <f t="shared" si="1"/>
        <v>0.75122497093492424</v>
      </c>
      <c r="H5" s="74">
        <f t="shared" ref="H5:H53" si="4">G5*F5</f>
        <v>0.13906837897984459</v>
      </c>
      <c r="I5" s="75">
        <f t="shared" ref="I5:I53" si="5">H5-$G$55</f>
        <v>9.7461517362748884E-2</v>
      </c>
      <c r="J5" s="74">
        <f>IF(I5&gt;0, ('BPV Calcs'!$B$8/12)+(I5/(PI()*(('BPV Calcs'!$B$8/12)^2))), "Need to Use Goal Seek tool")</f>
        <v>0.69377363040895035</v>
      </c>
      <c r="K5" s="86">
        <f t="shared" ref="K5:K53" si="6">J5*12</f>
        <v>8.3252835649074051</v>
      </c>
      <c r="L5" s="17"/>
      <c r="M5" s="17"/>
      <c r="N5" s="112">
        <f t="shared" ref="N5:N47" si="7">($C$47-C5)/(D5-C5)</f>
        <v>0.15658283861487579</v>
      </c>
      <c r="O5" s="79">
        <f t="shared" si="2"/>
        <v>0.72863533976250439</v>
      </c>
      <c r="P5" s="80">
        <f t="shared" ref="P5:P45" si="8">O5*N5</f>
        <v>0.11409178981512741</v>
      </c>
      <c r="Q5" s="80">
        <f t="shared" si="3"/>
        <v>7.2484928198031706E-2</v>
      </c>
      <c r="R5" s="113">
        <f>IF(Q5&gt;0, ('BPV Calcs'!$B$8/12)+(Q5/(PI()*(('BPV Calcs'!$B$8/12)^2))), "SEE EQN in Notes")</f>
        <v>0.58538617321450004</v>
      </c>
      <c r="S5" s="50"/>
      <c r="T5" t="s">
        <v>36</v>
      </c>
      <c r="U5">
        <v>0.87815195180003003</v>
      </c>
    </row>
    <row r="6" spans="1:21" x14ac:dyDescent="0.25">
      <c r="A6" s="92">
        <v>33.799999999999997</v>
      </c>
      <c r="B6" s="96">
        <v>464.54366057999999</v>
      </c>
      <c r="C6" s="94">
        <v>1.7500619224</v>
      </c>
      <c r="D6" s="95">
        <v>0.1702317244288</v>
      </c>
      <c r="E6" s="50"/>
      <c r="F6" s="85">
        <f t="shared" si="0"/>
        <v>0.18284364136366457</v>
      </c>
      <c r="G6" s="127">
        <f t="shared" si="1"/>
        <v>0.75122497093492424</v>
      </c>
      <c r="H6" s="74">
        <f t="shared" si="4"/>
        <v>0.13735670916905462</v>
      </c>
      <c r="I6" s="75">
        <f t="shared" si="5"/>
        <v>9.5749847551958922E-2</v>
      </c>
      <c r="J6" s="74">
        <f>IF(I6&gt;0, ('BPV Calcs'!$B$8/12)+(I6/(PI()*(('BPV Calcs'!$B$8/12)^2))), "Need to Use Goal Seek tool")</f>
        <v>0.68634573314385428</v>
      </c>
      <c r="K6" s="86">
        <f t="shared" si="6"/>
        <v>8.2361487977262513</v>
      </c>
      <c r="L6" s="17"/>
      <c r="M6" s="17"/>
      <c r="N6" s="112">
        <f t="shared" si="7"/>
        <v>0.1541689886823846</v>
      </c>
      <c r="O6" s="79">
        <f t="shared" si="2"/>
        <v>0.72863533976250439</v>
      </c>
      <c r="P6" s="80">
        <f t="shared" si="8"/>
        <v>0.112332973449431</v>
      </c>
      <c r="Q6" s="80">
        <f t="shared" si="3"/>
        <v>7.0726111832335292E-2</v>
      </c>
      <c r="R6" s="113">
        <f>IF(Q6&gt;0, ('BPV Calcs'!$B$8/12)+(Q6/(PI()*(('BPV Calcs'!$B$8/12)^2))), "SEE EQN in Notes")</f>
        <v>0.57775368055136589</v>
      </c>
      <c r="S6" s="50"/>
      <c r="T6" t="s">
        <v>37</v>
      </c>
      <c r="U6">
        <v>1.25</v>
      </c>
    </row>
    <row r="7" spans="1:21" x14ac:dyDescent="0.25">
      <c r="A7" s="92">
        <v>34.700000000000003</v>
      </c>
      <c r="B7" s="96">
        <v>470.48731781999993</v>
      </c>
      <c r="C7" s="94">
        <v>1.7450423145599998</v>
      </c>
      <c r="D7" s="95">
        <v>0.17277604664159998</v>
      </c>
      <c r="E7" s="50"/>
      <c r="F7" s="85">
        <f t="shared" si="0"/>
        <v>0.18053067987595114</v>
      </c>
      <c r="G7" s="127">
        <f t="shared" si="1"/>
        <v>0.75122497093492424</v>
      </c>
      <c r="H7" s="74">
        <f t="shared" si="4"/>
        <v>0.1356191547426735</v>
      </c>
      <c r="I7" s="75">
        <f t="shared" si="5"/>
        <v>9.4012293125577795E-2</v>
      </c>
      <c r="J7" s="74">
        <f>IF(I7&gt;0, ('BPV Calcs'!$B$8/12)+(I7/(PI()*(('BPV Calcs'!$B$8/12)^2))), "Need to Use Goal Seek tool")</f>
        <v>0.67880550798458983</v>
      </c>
      <c r="K7" s="86">
        <f t="shared" si="6"/>
        <v>8.1456660958150771</v>
      </c>
      <c r="L7" s="17"/>
      <c r="M7" s="17"/>
      <c r="N7" s="112">
        <f t="shared" si="7"/>
        <v>0.15171807787171285</v>
      </c>
      <c r="O7" s="79">
        <f t="shared" si="2"/>
        <v>0.72863533976250439</v>
      </c>
      <c r="P7" s="80">
        <f t="shared" si="8"/>
        <v>0.11054715321816959</v>
      </c>
      <c r="Q7" s="80">
        <f t="shared" si="3"/>
        <v>6.8940291601073872E-2</v>
      </c>
      <c r="R7" s="113">
        <f>IF(Q7&gt;0, ('BPV Calcs'!$B$8/12)+(Q7/(PI()*(('BPV Calcs'!$B$8/12)^2))), "SEE EQN in Notes")</f>
        <v>0.57000400293941</v>
      </c>
      <c r="S7" s="50"/>
      <c r="T7" s="40" t="s">
        <v>38</v>
      </c>
      <c r="U7" s="40">
        <f>U5*U6</f>
        <v>1.0976899397500375</v>
      </c>
    </row>
    <row r="8" spans="1:21" x14ac:dyDescent="0.25">
      <c r="A8" s="92">
        <v>35.6</v>
      </c>
      <c r="B8" s="96">
        <v>476.48608949999999</v>
      </c>
      <c r="C8" s="94">
        <v>1.73998778096</v>
      </c>
      <c r="D8" s="95">
        <v>0.17536002899519998</v>
      </c>
      <c r="E8" s="50"/>
      <c r="F8" s="85">
        <f t="shared" si="0"/>
        <v>0.17818152870115089</v>
      </c>
      <c r="G8" s="127">
        <f t="shared" si="1"/>
        <v>0.75122497093492424</v>
      </c>
      <c r="H8" s="74">
        <f t="shared" si="4"/>
        <v>0.13385441371966245</v>
      </c>
      <c r="I8" s="75">
        <f t="shared" si="5"/>
        <v>9.2247552102566743E-2</v>
      </c>
      <c r="J8" s="74">
        <f>IF(I8&gt;0, ('BPV Calcs'!$B$8/12)+(I8/(PI()*(('BPV Calcs'!$B$8/12)^2))), "Need to Use Goal Seek tool")</f>
        <v>0.67114730490371821</v>
      </c>
      <c r="K8" s="86">
        <f t="shared" si="6"/>
        <v>8.0537676588446185</v>
      </c>
      <c r="L8" s="17"/>
      <c r="M8" s="17"/>
      <c r="N8" s="112">
        <f t="shared" si="7"/>
        <v>0.14922826351373839</v>
      </c>
      <c r="O8" s="79">
        <f t="shared" si="2"/>
        <v>0.72863533976250439</v>
      </c>
      <c r="P8" s="80">
        <f t="shared" si="8"/>
        <v>0.10873298648750131</v>
      </c>
      <c r="Q8" s="80">
        <f t="shared" si="3"/>
        <v>6.712612487040559E-2</v>
      </c>
      <c r="R8" s="113">
        <f>IF(Q8&gt;0, ('BPV Calcs'!$B$8/12)+(Q8/(PI()*(('BPV Calcs'!$B$8/12)^2))), "SEE EQN in Notes")</f>
        <v>0.56213131393583393</v>
      </c>
      <c r="S8" s="50"/>
    </row>
    <row r="9" spans="1:21" x14ac:dyDescent="0.25">
      <c r="A9" s="92">
        <v>36.5</v>
      </c>
      <c r="B9" s="96">
        <v>482.54142600000006</v>
      </c>
      <c r="C9" s="94">
        <v>1.73489638128</v>
      </c>
      <c r="D9" s="95">
        <v>0.17798456403679999</v>
      </c>
      <c r="E9" s="50"/>
      <c r="F9" s="85">
        <f t="shared" si="0"/>
        <v>0.17579439116722953</v>
      </c>
      <c r="G9" s="127">
        <f t="shared" si="1"/>
        <v>0.75122497093492424</v>
      </c>
      <c r="H9" s="74">
        <f t="shared" si="4"/>
        <v>0.13206113639512471</v>
      </c>
      <c r="I9" s="75">
        <f t="shared" si="5"/>
        <v>9.0454274778029004E-2</v>
      </c>
      <c r="J9" s="74">
        <f>IF(I9&gt;0, ('BPV Calcs'!$B$8/12)+(I9/(PI()*(('BPV Calcs'!$B$8/12)^2))), "Need to Use Goal Seek tool")</f>
        <v>0.66336526677316021</v>
      </c>
      <c r="K9" s="86">
        <f t="shared" si="6"/>
        <v>7.9603832012779225</v>
      </c>
      <c r="L9" s="17"/>
      <c r="M9" s="17"/>
      <c r="N9" s="112">
        <f t="shared" si="7"/>
        <v>0.14669763583368992</v>
      </c>
      <c r="O9" s="79">
        <f t="shared" si="2"/>
        <v>0.72863533976250427</v>
      </c>
      <c r="P9" s="80">
        <f t="shared" si="8"/>
        <v>0.10688908172803678</v>
      </c>
      <c r="Q9" s="80">
        <f t="shared" si="3"/>
        <v>6.5282220110941064E-2</v>
      </c>
      <c r="R9" s="113">
        <f>IF(Q9&gt;0, ('BPV Calcs'!$B$8/12)+(Q9/(PI()*(('BPV Calcs'!$B$8/12)^2))), "SEE EQN in Notes")</f>
        <v>0.55412957491257986</v>
      </c>
      <c r="S9" s="50"/>
    </row>
    <row r="10" spans="1:21" x14ac:dyDescent="0.25">
      <c r="A10" s="92">
        <v>37.4</v>
      </c>
      <c r="B10" s="96">
        <v>488.65187693999997</v>
      </c>
      <c r="C10" s="94">
        <v>1.7297661752</v>
      </c>
      <c r="D10" s="95">
        <v>0.18065056371679999</v>
      </c>
      <c r="E10" s="50"/>
      <c r="F10" s="85">
        <f t="shared" si="0"/>
        <v>0.17336740843776965</v>
      </c>
      <c r="G10" s="127">
        <f t="shared" si="1"/>
        <v>0.75122497093492424</v>
      </c>
      <c r="H10" s="74">
        <f t="shared" si="4"/>
        <v>0.13023792636472664</v>
      </c>
      <c r="I10" s="75">
        <f t="shared" si="5"/>
        <v>8.8631064747630939E-2</v>
      </c>
      <c r="J10" s="74">
        <f>IF(I10&gt;0, ('BPV Calcs'!$B$8/12)+(I10/(PI()*(('BPV Calcs'!$B$8/12)^2))), "Need to Use Goal Seek tool")</f>
        <v>0.65545333380973458</v>
      </c>
      <c r="K10" s="86">
        <f t="shared" si="6"/>
        <v>7.865440005716815</v>
      </c>
      <c r="L10" s="17"/>
      <c r="M10" s="17"/>
      <c r="N10" s="112">
        <f t="shared" si="7"/>
        <v>0.14412421839668005</v>
      </c>
      <c r="O10" s="79">
        <f t="shared" si="2"/>
        <v>0.72863533976250427</v>
      </c>
      <c r="P10" s="80">
        <f t="shared" si="8"/>
        <v>0.10501399883947034</v>
      </c>
      <c r="Q10" s="80">
        <f t="shared" si="3"/>
        <v>6.3407137222374621E-2</v>
      </c>
      <c r="R10" s="113">
        <f>IF(Q10&gt;0, ('BPV Calcs'!$B$8/12)+(Q10/(PI()*(('BPV Calcs'!$B$8/12)^2))), "SEE EQN in Notes")</f>
        <v>0.54599253646508672</v>
      </c>
      <c r="S10" s="50"/>
    </row>
    <row r="11" spans="1:21" x14ac:dyDescent="0.25">
      <c r="A11" s="92">
        <v>38.299999999999997</v>
      </c>
      <c r="B11" s="96">
        <v>494.82034307999999</v>
      </c>
      <c r="C11" s="94">
        <v>1.7246010433599999</v>
      </c>
      <c r="D11" s="95">
        <v>0.18335905640479999</v>
      </c>
      <c r="E11" s="50"/>
      <c r="F11" s="85">
        <f t="shared" si="0"/>
        <v>0.17090179823980461</v>
      </c>
      <c r="G11" s="127">
        <f t="shared" si="1"/>
        <v>0.75122497093492435</v>
      </c>
      <c r="H11" s="74">
        <f t="shared" si="4"/>
        <v>0.12838569841542352</v>
      </c>
      <c r="I11" s="75">
        <f t="shared" si="5"/>
        <v>8.6778836798327819E-2</v>
      </c>
      <c r="J11" s="74">
        <f>IF(I11&gt;0, ('BPV Calcs'!$B$8/12)+(I11/(PI()*(('BPV Calcs'!$B$8/12)^2))), "Need to Use Goal Seek tool")</f>
        <v>0.64741547578814962</v>
      </c>
      <c r="K11" s="86">
        <f t="shared" si="6"/>
        <v>7.7689857094577954</v>
      </c>
      <c r="L11" s="17"/>
      <c r="M11" s="17"/>
      <c r="N11" s="112">
        <f t="shared" si="7"/>
        <v>0.14150921576045203</v>
      </c>
      <c r="O11" s="79">
        <f t="shared" si="2"/>
        <v>0.7286353397625045</v>
      </c>
      <c r="P11" s="80">
        <f t="shared" si="8"/>
        <v>0.10310861550514253</v>
      </c>
      <c r="Q11" s="80">
        <f t="shared" si="3"/>
        <v>6.1501753888046816E-2</v>
      </c>
      <c r="R11" s="113">
        <f>IF(Q11&gt;0, ('BPV Calcs'!$B$8/12)+(Q11/(PI()*(('BPV Calcs'!$B$8/12)^2))), "SEE EQN in Notes")</f>
        <v>0.53772400735462633</v>
      </c>
      <c r="S11" s="50"/>
    </row>
    <row r="12" spans="1:21" x14ac:dyDescent="0.25">
      <c r="A12" s="92">
        <v>39.200000000000003</v>
      </c>
      <c r="B12" s="96">
        <v>501.04537404000001</v>
      </c>
      <c r="C12" s="94">
        <v>1.7193932244799999</v>
      </c>
      <c r="D12" s="95">
        <v>0.18611099285759999</v>
      </c>
      <c r="E12" s="50"/>
      <c r="F12" s="85">
        <f t="shared" si="0"/>
        <v>0.16839248697229939</v>
      </c>
      <c r="G12" s="127">
        <f t="shared" si="1"/>
        <v>0.75122497093492424</v>
      </c>
      <c r="H12" s="74">
        <f t="shared" si="4"/>
        <v>0.12650064113142523</v>
      </c>
      <c r="I12" s="75">
        <f t="shared" si="5"/>
        <v>8.4893779514329526E-2</v>
      </c>
      <c r="J12" s="74">
        <f>IF(I12&gt;0, ('BPV Calcs'!$B$8/12)+(I12/(PI()*(('BPV Calcs'!$B$8/12)^2))), "Need to Use Goal Seek tool")</f>
        <v>0.63923515283328125</v>
      </c>
      <c r="K12" s="86">
        <f t="shared" si="6"/>
        <v>7.6708218339993746</v>
      </c>
      <c r="L12" s="17"/>
      <c r="M12" s="17"/>
      <c r="N12" s="112">
        <f t="shared" si="7"/>
        <v>0.13884731825649951</v>
      </c>
      <c r="O12" s="79">
        <f t="shared" si="2"/>
        <v>0.72863533976250439</v>
      </c>
      <c r="P12" s="80">
        <f t="shared" si="8"/>
        <v>0.1011690629129371</v>
      </c>
      <c r="Q12" s="80">
        <f t="shared" si="3"/>
        <v>5.9562201295841395E-2</v>
      </c>
      <c r="R12" s="113">
        <f>IF(Q12&gt;0, ('BPV Calcs'!$B$8/12)+(Q12/(PI()*(('BPV Calcs'!$B$8/12)^2))), "SEE EQN in Notes")</f>
        <v>0.52930719863115905</v>
      </c>
      <c r="S12" s="50"/>
    </row>
    <row r="13" spans="1:21" x14ac:dyDescent="0.25">
      <c r="A13" s="92">
        <v>40.1</v>
      </c>
      <c r="B13" s="96">
        <v>507.32696982000004</v>
      </c>
      <c r="C13" s="94">
        <v>1.71414853952</v>
      </c>
      <c r="D13" s="95">
        <v>0.1889074790576</v>
      </c>
      <c r="E13" s="50"/>
      <c r="F13" s="85">
        <f t="shared" si="0"/>
        <v>0.16584166910419268</v>
      </c>
      <c r="G13" s="127">
        <f t="shared" si="1"/>
        <v>0.75122497093492424</v>
      </c>
      <c r="H13" s="74">
        <f t="shared" si="4"/>
        <v>0.12458440305259647</v>
      </c>
      <c r="I13" s="75">
        <f t="shared" si="5"/>
        <v>8.2977541435500762E-2</v>
      </c>
      <c r="J13" s="74">
        <f>IF(I13&gt;0, ('BPV Calcs'!$B$8/12)+(I13/(PI()*(('BPV Calcs'!$B$8/12)^2))), "Need to Use Goal Seek tool")</f>
        <v>0.63091951888607967</v>
      </c>
      <c r="K13" s="86">
        <f t="shared" si="6"/>
        <v>7.571034226632956</v>
      </c>
      <c r="L13" s="17"/>
      <c r="M13" s="17"/>
      <c r="N13" s="112">
        <f t="shared" si="7"/>
        <v>0.13614073631623833</v>
      </c>
      <c r="O13" s="79">
        <f t="shared" si="2"/>
        <v>0.72863533976250439</v>
      </c>
      <c r="P13" s="80">
        <f t="shared" si="8"/>
        <v>9.9196951661299826E-2</v>
      </c>
      <c r="Q13" s="80">
        <f t="shared" si="3"/>
        <v>5.7590090044204116E-2</v>
      </c>
      <c r="R13" s="113">
        <f>IF(Q13&gt;0, ('BPV Calcs'!$B$8/12)+(Q13/(PI()*(('BPV Calcs'!$B$8/12)^2))), "SEE EQN in Notes")</f>
        <v>0.52074909958649518</v>
      </c>
      <c r="S13" s="50"/>
    </row>
    <row r="14" spans="1:21" x14ac:dyDescent="0.25">
      <c r="A14" s="92">
        <v>41</v>
      </c>
      <c r="B14" s="96">
        <v>513.66803117999996</v>
      </c>
      <c r="C14" s="94">
        <v>1.7088611675200001</v>
      </c>
      <c r="D14" s="95">
        <v>0.19174958218079999</v>
      </c>
      <c r="E14" s="50"/>
      <c r="F14" s="85">
        <f t="shared" si="0"/>
        <v>0.16324517830239926</v>
      </c>
      <c r="G14" s="127">
        <f t="shared" si="1"/>
        <v>0.75122497093492424</v>
      </c>
      <c r="H14" s="74">
        <f t="shared" si="4"/>
        <v>0.12263385432548642</v>
      </c>
      <c r="I14" s="75">
        <f t="shared" si="5"/>
        <v>8.1026992708390699E-2</v>
      </c>
      <c r="J14" s="74">
        <f>IF(I14&gt;0, ('BPV Calcs'!$B$8/12)+(I14/(PI()*(('BPV Calcs'!$B$8/12)^2))), "Need to Use Goal Seek tool")</f>
        <v>0.62245499175344854</v>
      </c>
      <c r="K14" s="86">
        <f t="shared" si="6"/>
        <v>7.4694599010413825</v>
      </c>
      <c r="L14" s="17"/>
      <c r="M14" s="17"/>
      <c r="N14" s="112">
        <f t="shared" si="7"/>
        <v>0.1333850924260572</v>
      </c>
      <c r="O14" s="79">
        <f t="shared" si="2"/>
        <v>0.72863533976250439</v>
      </c>
      <c r="P14" s="80">
        <f t="shared" si="8"/>
        <v>9.718909213911324E-2</v>
      </c>
      <c r="Q14" s="80">
        <f t="shared" si="3"/>
        <v>5.558223052201753E-2</v>
      </c>
      <c r="R14" s="113">
        <f>IF(Q14&gt;0, ('BPV Calcs'!$B$8/12)+(Q14/(PI()*(('BPV Calcs'!$B$8/12)^2))), "SEE EQN in Notes")</f>
        <v>0.51203586870543893</v>
      </c>
      <c r="S14" s="50"/>
    </row>
    <row r="15" spans="1:21" x14ac:dyDescent="0.25">
      <c r="A15" s="92">
        <v>41.9</v>
      </c>
      <c r="B15" s="96">
        <v>520.06565735999993</v>
      </c>
      <c r="C15" s="94">
        <v>1.7035330488</v>
      </c>
      <c r="D15" s="95">
        <v>0.19463846641919999</v>
      </c>
      <c r="E15" s="50"/>
      <c r="F15" s="85">
        <f t="shared" si="0"/>
        <v>0.16060302380499611</v>
      </c>
      <c r="G15" s="127">
        <f t="shared" si="1"/>
        <v>0.75122497093492424</v>
      </c>
      <c r="H15" s="74">
        <f t="shared" si="4"/>
        <v>0.12064900188996915</v>
      </c>
      <c r="I15" s="75">
        <f t="shared" si="5"/>
        <v>7.9042140272873429E-2</v>
      </c>
      <c r="J15" s="74">
        <f>IF(I15&gt;0, ('BPV Calcs'!$B$8/12)+(I15/(PI()*(('BPV Calcs'!$B$8/12)^2))), "Need to Use Goal Seek tool")</f>
        <v>0.61384160155140144</v>
      </c>
      <c r="K15" s="86">
        <f t="shared" si="6"/>
        <v>7.3660992186168173</v>
      </c>
      <c r="L15" s="17"/>
      <c r="M15" s="17"/>
      <c r="N15" s="112">
        <f t="shared" si="7"/>
        <v>0.13058032854768797</v>
      </c>
      <c r="O15" s="79">
        <f t="shared" si="2"/>
        <v>0.72863533976250439</v>
      </c>
      <c r="P15" s="80">
        <f t="shared" si="8"/>
        <v>9.5145442057644081E-2</v>
      </c>
      <c r="Q15" s="80">
        <f t="shared" si="3"/>
        <v>5.3538580440548371E-2</v>
      </c>
      <c r="R15" s="113">
        <f>IF(Q15&gt;0, ('BPV Calcs'!$B$8/12)+(Q15/(PI()*(('BPV Calcs'!$B$8/12)^2))), "SEE EQN in Notes")</f>
        <v>0.50316732247341056</v>
      </c>
      <c r="S15" s="50"/>
    </row>
    <row r="16" spans="1:21" x14ac:dyDescent="0.25">
      <c r="A16" s="92">
        <v>42.8</v>
      </c>
      <c r="B16" s="96">
        <v>526.52129874000002</v>
      </c>
      <c r="C16" s="94">
        <v>1.6981603027200001</v>
      </c>
      <c r="D16" s="95">
        <v>0.19757531536799999</v>
      </c>
      <c r="E16" s="50"/>
      <c r="F16" s="85">
        <f t="shared" si="0"/>
        <v>0.15791193997714462</v>
      </c>
      <c r="G16" s="127">
        <f t="shared" si="1"/>
        <v>0.75122497093492424</v>
      </c>
      <c r="H16" s="74">
        <f t="shared" si="4"/>
        <v>0.11862739251960797</v>
      </c>
      <c r="I16" s="75">
        <f t="shared" si="5"/>
        <v>7.7020530902512263E-2</v>
      </c>
      <c r="J16" s="74">
        <f>IF(I16&gt;0, ('BPV Calcs'!$B$8/12)+(I16/(PI()*(('BPV Calcs'!$B$8/12)^2))), "Need to Use Goal Seek tool")</f>
        <v>0.60506870235172006</v>
      </c>
      <c r="K16" s="86">
        <f t="shared" si="6"/>
        <v>7.2608244282206407</v>
      </c>
      <c r="L16" s="17"/>
      <c r="M16" s="17"/>
      <c r="N16" s="112">
        <f t="shared" si="7"/>
        <v>0.12772299193084816</v>
      </c>
      <c r="O16" s="79">
        <f t="shared" si="2"/>
        <v>0.72863533976250439</v>
      </c>
      <c r="P16" s="80">
        <f t="shared" si="8"/>
        <v>9.3063485621017156E-2</v>
      </c>
      <c r="Q16" s="80">
        <f t="shared" si="3"/>
        <v>5.1456624003921446E-2</v>
      </c>
      <c r="R16" s="113">
        <f>IF(Q16&gt;0, ('BPV Calcs'!$B$8/12)+(Q16/(PI()*(('BPV Calcs'!$B$8/12)^2))), "SEE EQN in Notes")</f>
        <v>0.49413254343823371</v>
      </c>
      <c r="S16" s="50"/>
    </row>
    <row r="17" spans="1:19" x14ac:dyDescent="0.25">
      <c r="A17" s="92">
        <v>43.7</v>
      </c>
      <c r="B17" s="96">
        <v>533.03640570000005</v>
      </c>
      <c r="C17" s="94">
        <v>1.69274292928</v>
      </c>
      <c r="D17" s="95">
        <v>0.20056135142879999</v>
      </c>
      <c r="E17" s="50"/>
      <c r="F17" s="85">
        <f t="shared" si="0"/>
        <v>0.15517073555268265</v>
      </c>
      <c r="G17" s="127">
        <f t="shared" si="1"/>
        <v>0.75122497093492435</v>
      </c>
      <c r="H17" s="74">
        <f t="shared" si="4"/>
        <v>0.11656813130551485</v>
      </c>
      <c r="I17" s="75">
        <f t="shared" si="5"/>
        <v>7.4961269688419152E-2</v>
      </c>
      <c r="J17" s="74">
        <f>IF(I17&gt;0, ('BPV Calcs'!$B$8/12)+(I17/(PI()*(('BPV Calcs'!$B$8/12)^2))), "Need to Use Goal Seek tool")</f>
        <v>0.59613241064180122</v>
      </c>
      <c r="K17" s="86">
        <f t="shared" si="6"/>
        <v>7.1535889277016143</v>
      </c>
      <c r="L17" s="17"/>
      <c r="M17" s="17"/>
      <c r="N17" s="112">
        <f t="shared" si="7"/>
        <v>0.1248117746228357</v>
      </c>
      <c r="O17" s="79">
        <f t="shared" si="2"/>
        <v>0.72863533976250439</v>
      </c>
      <c r="P17" s="80">
        <f t="shared" si="8"/>
        <v>9.0942269808671011E-2</v>
      </c>
      <c r="Q17" s="80">
        <f t="shared" si="3"/>
        <v>4.9335408191575301E-2</v>
      </c>
      <c r="R17" s="113">
        <f>IF(Q17&gt;0, ('BPV Calcs'!$B$8/12)+(Q17/(PI()*(('BPV Calcs'!$B$8/12)^2))), "SEE EQN in Notes")</f>
        <v>0.48492739590809608</v>
      </c>
      <c r="S17" s="50"/>
    </row>
    <row r="18" spans="1:19" x14ac:dyDescent="0.25">
      <c r="A18" s="92">
        <v>44.6</v>
      </c>
      <c r="B18" s="96">
        <v>539.61097824000001</v>
      </c>
      <c r="C18" s="94">
        <v>1.6872809284800001</v>
      </c>
      <c r="D18" s="95">
        <v>0.20359789401919998</v>
      </c>
      <c r="E18" s="50"/>
      <c r="F18" s="85">
        <f t="shared" si="0"/>
        <v>0.15237817442287846</v>
      </c>
      <c r="G18" s="127">
        <f t="shared" si="1"/>
        <v>0.75122497093492424</v>
      </c>
      <c r="H18" s="74">
        <f t="shared" si="4"/>
        <v>0.11447028965194368</v>
      </c>
      <c r="I18" s="75">
        <f t="shared" si="5"/>
        <v>7.2863428034847966E-2</v>
      </c>
      <c r="J18" s="74">
        <f>IF(I18&gt;0, ('BPV Calcs'!$B$8/12)+(I18/(PI()*(('BPV Calcs'!$B$8/12)^2))), "Need to Use Goal Seek tool")</f>
        <v>0.5870286967228332</v>
      </c>
      <c r="K18" s="86">
        <f t="shared" si="6"/>
        <v>7.0443443606739979</v>
      </c>
      <c r="L18" s="17"/>
      <c r="M18" s="17"/>
      <c r="N18" s="112">
        <f t="shared" si="7"/>
        <v>0.12184531722222625</v>
      </c>
      <c r="O18" s="79">
        <f t="shared" si="2"/>
        <v>0.72863533976250439</v>
      </c>
      <c r="P18" s="80">
        <f t="shared" si="8"/>
        <v>8.8780804112686948E-2</v>
      </c>
      <c r="Q18" s="80">
        <f t="shared" si="3"/>
        <v>4.7173942495591238E-2</v>
      </c>
      <c r="R18" s="113">
        <f>IF(Q18&gt;0, ('BPV Calcs'!$B$8/12)+(Q18/(PI()*(('BPV Calcs'!$B$8/12)^2))), "SEE EQN in Notes")</f>
        <v>0.47554758151247428</v>
      </c>
      <c r="S18" s="50"/>
    </row>
    <row r="19" spans="1:19" x14ac:dyDescent="0.25">
      <c r="A19" s="92">
        <v>45.5</v>
      </c>
      <c r="B19" s="96">
        <v>546.24646674000007</v>
      </c>
      <c r="C19" s="94">
        <v>1.6817723599999999</v>
      </c>
      <c r="D19" s="95">
        <v>0.20668630136319999</v>
      </c>
      <c r="E19" s="50"/>
      <c r="F19" s="85">
        <f t="shared" si="0"/>
        <v>0.14953184761109797</v>
      </c>
      <c r="G19" s="127">
        <f t="shared" si="1"/>
        <v>0.75122497093492424</v>
      </c>
      <c r="H19" s="74">
        <f t="shared" si="4"/>
        <v>0.11233205787549259</v>
      </c>
      <c r="I19" s="75">
        <f t="shared" si="5"/>
        <v>7.0725196258396877E-2</v>
      </c>
      <c r="J19" s="74">
        <f>IF(I19&gt;0, ('BPV Calcs'!$B$8/12)+(I19/(PI()*(('BPV Calcs'!$B$8/12)^2))), "Need to Use Goal Seek tool")</f>
        <v>0.57774970736149589</v>
      </c>
      <c r="K19" s="86">
        <f t="shared" si="6"/>
        <v>6.9329964883379507</v>
      </c>
      <c r="L19" s="17"/>
      <c r="M19" s="17"/>
      <c r="N19" s="112">
        <f t="shared" si="7"/>
        <v>0.11882104131137136</v>
      </c>
      <c r="O19" s="79">
        <f t="shared" si="2"/>
        <v>0.72863533976250439</v>
      </c>
      <c r="P19" s="80">
        <f t="shared" si="8"/>
        <v>8.6577209806845648E-2</v>
      </c>
      <c r="Q19" s="80">
        <f t="shared" si="3"/>
        <v>4.4970348189749938E-2</v>
      </c>
      <c r="R19" s="113">
        <f>IF(Q19&gt;0, ('BPV Calcs'!$B$8/12)+(Q19/(PI()*(('BPV Calcs'!$B$8/12)^2))), "SEE EQN in Notes")</f>
        <v>0.46598494740246116</v>
      </c>
      <c r="S19" s="50"/>
    </row>
    <row r="20" spans="1:19" x14ac:dyDescent="0.25">
      <c r="A20" s="92">
        <v>46.4</v>
      </c>
      <c r="B20" s="96">
        <v>552.93997044000002</v>
      </c>
      <c r="C20" s="94">
        <v>1.6762152835199999</v>
      </c>
      <c r="D20" s="95">
        <v>0.2098279704912</v>
      </c>
      <c r="E20" s="50"/>
      <c r="F20" s="85">
        <f t="shared" si="0"/>
        <v>0.14662924681830652</v>
      </c>
      <c r="G20" s="127">
        <f t="shared" si="1"/>
        <v>0.75122497093492435</v>
      </c>
      <c r="H20" s="74">
        <f t="shared" si="4"/>
        <v>0.11015155167929216</v>
      </c>
      <c r="I20" s="75">
        <f t="shared" si="5"/>
        <v>6.8544690062196462E-2</v>
      </c>
      <c r="J20" s="74">
        <f>IF(I20&gt;0, ('BPV Calcs'!$B$8/12)+(I20/(PI()*(('BPV Calcs'!$B$8/12)^2))), "Need to Use Goal Seek tool")</f>
        <v>0.56828726553470044</v>
      </c>
      <c r="K20" s="86">
        <f t="shared" si="6"/>
        <v>6.8194471864164052</v>
      </c>
      <c r="L20" s="17"/>
      <c r="M20" s="17"/>
      <c r="N20" s="112">
        <f t="shared" si="7"/>
        <v>0.11573626116593252</v>
      </c>
      <c r="O20" s="79">
        <f t="shared" si="2"/>
        <v>0.72863533976250439</v>
      </c>
      <c r="P20" s="80">
        <f t="shared" si="8"/>
        <v>8.4329529977481194E-2</v>
      </c>
      <c r="Q20" s="80">
        <f t="shared" si="3"/>
        <v>4.2722668360385484E-2</v>
      </c>
      <c r="R20" s="113">
        <f>IF(Q20&gt;0, ('BPV Calcs'!$B$8/12)+(Q20/(PI()*(('BPV Calcs'!$B$8/12)^2))), "SEE EQN in Notes")</f>
        <v>0.45623100142987749</v>
      </c>
      <c r="S20" s="50"/>
    </row>
    <row r="21" spans="1:19" x14ac:dyDescent="0.25">
      <c r="A21" s="92">
        <v>47.3</v>
      </c>
      <c r="B21" s="96">
        <v>559.69439009999996</v>
      </c>
      <c r="C21" s="94">
        <v>1.6706096990399999</v>
      </c>
      <c r="D21" s="95">
        <v>0.21302437604639998</v>
      </c>
      <c r="E21" s="50"/>
      <c r="F21" s="85">
        <f t="shared" si="0"/>
        <v>0.14366890189539364</v>
      </c>
      <c r="G21" s="127">
        <f t="shared" si="1"/>
        <v>0.75122497093492424</v>
      </c>
      <c r="H21" s="74">
        <f t="shared" si="4"/>
        <v>0.10792766665061956</v>
      </c>
      <c r="I21" s="75">
        <f t="shared" si="5"/>
        <v>6.6320805033523861E-2</v>
      </c>
      <c r="J21" s="74">
        <f>IF(I21&gt;0, ('BPV Calcs'!$B$8/12)+(I21/(PI()*(('BPV Calcs'!$B$8/12)^2))), "Need to Use Goal Seek tool")</f>
        <v>0.55863657857496385</v>
      </c>
      <c r="K21" s="86">
        <f t="shared" si="6"/>
        <v>6.7036389428995662</v>
      </c>
      <c r="L21" s="17"/>
      <c r="M21" s="17"/>
      <c r="N21" s="112">
        <f t="shared" si="7"/>
        <v>0.11258936129657487</v>
      </c>
      <c r="O21" s="79">
        <f t="shared" si="2"/>
        <v>0.72863533976250439</v>
      </c>
      <c r="P21" s="80">
        <f t="shared" si="8"/>
        <v>8.2036587521973195E-2</v>
      </c>
      <c r="Q21" s="80">
        <f t="shared" si="3"/>
        <v>4.0429725904877485E-2</v>
      </c>
      <c r="R21" s="113">
        <f>IF(Q21&gt;0, ('BPV Calcs'!$B$8/12)+(Q21/(PI()*(('BPV Calcs'!$B$8/12)^2))), "SEE EQN in Notes")</f>
        <v>0.44628063548492347</v>
      </c>
      <c r="S21" s="50"/>
    </row>
    <row r="22" spans="1:19" x14ac:dyDescent="0.25">
      <c r="A22" s="92">
        <v>48.2</v>
      </c>
      <c r="B22" s="96">
        <v>566.51117609999994</v>
      </c>
      <c r="C22" s="94">
        <v>1.66495172592</v>
      </c>
      <c r="D22" s="95">
        <v>0.21627710909119999</v>
      </c>
      <c r="E22" s="50"/>
      <c r="F22" s="85">
        <f t="shared" si="0"/>
        <v>0.14064697985759764</v>
      </c>
      <c r="G22" s="127">
        <f t="shared" si="1"/>
        <v>0.75122497093492424</v>
      </c>
      <c r="H22" s="74">
        <f t="shared" si="4"/>
        <v>0.10565752335560866</v>
      </c>
      <c r="I22" s="75">
        <f t="shared" si="5"/>
        <v>6.4050661738512954E-2</v>
      </c>
      <c r="J22" s="74">
        <f>IF(I22&gt;0, ('BPV Calcs'!$B$8/12)+(I22/(PI()*(('BPV Calcs'!$B$8/12)^2))), "Need to Use Goal Seek tool")</f>
        <v>0.54878515100050351</v>
      </c>
      <c r="K22" s="86">
        <f t="shared" si="6"/>
        <v>6.5854218120060422</v>
      </c>
      <c r="L22" s="17"/>
      <c r="M22" s="17"/>
      <c r="N22" s="112">
        <f t="shared" si="7"/>
        <v>0.10937627096550176</v>
      </c>
      <c r="O22" s="79">
        <f t="shared" si="2"/>
        <v>0.72863533976250439</v>
      </c>
      <c r="P22" s="80">
        <f t="shared" si="8"/>
        <v>7.9695416356904122E-2</v>
      </c>
      <c r="Q22" s="80">
        <f t="shared" si="3"/>
        <v>3.8088554739808413E-2</v>
      </c>
      <c r="R22" s="113">
        <f>IF(Q22&gt;0, ('BPV Calcs'!$B$8/12)+(Q22/(PI()*(('BPV Calcs'!$B$8/12)^2))), "SEE EQN in Notes")</f>
        <v>0.43612097806471545</v>
      </c>
      <c r="S22" s="50"/>
    </row>
    <row r="23" spans="1:19" x14ac:dyDescent="0.25">
      <c r="A23" s="92">
        <v>49.1</v>
      </c>
      <c r="B23" s="96">
        <v>573.38742767999997</v>
      </c>
      <c r="C23" s="94">
        <v>1.6592413641600001</v>
      </c>
      <c r="D23" s="95">
        <v>0.21958774128479999</v>
      </c>
      <c r="E23" s="50"/>
      <c r="F23" s="85">
        <f t="shared" si="0"/>
        <v>0.13756180288548553</v>
      </c>
      <c r="G23" s="127">
        <f t="shared" si="1"/>
        <v>0.75122497093492413</v>
      </c>
      <c r="H23" s="74">
        <f t="shared" si="4"/>
        <v>0.10333986137440462</v>
      </c>
      <c r="I23" s="75">
        <f t="shared" si="5"/>
        <v>6.1732999757308914E-2</v>
      </c>
      <c r="J23" s="74">
        <f>IF(I23&gt;0, ('BPV Calcs'!$B$8/12)+(I23/(PI()*(('BPV Calcs'!$B$8/12)^2))), "Need to Use Goal Seek tool")</f>
        <v>0.53872751314121492</v>
      </c>
      <c r="K23" s="86">
        <f t="shared" si="6"/>
        <v>6.4647301576945786</v>
      </c>
      <c r="L23" s="17"/>
      <c r="M23" s="17"/>
      <c r="N23" s="112">
        <f t="shared" si="7"/>
        <v>0.10609514903040819</v>
      </c>
      <c r="O23" s="79">
        <f t="shared" si="2"/>
        <v>0.72863533976250439</v>
      </c>
      <c r="P23" s="80">
        <f t="shared" si="8"/>
        <v>7.730467496092501E-2</v>
      </c>
      <c r="Q23" s="80">
        <f t="shared" si="3"/>
        <v>3.56978133438293E-2</v>
      </c>
      <c r="R23" s="113">
        <f>IF(Q23&gt;0, ('BPV Calcs'!$B$8/12)+(Q23/(PI()*(('BPV Calcs'!$B$8/12)^2))), "SEE EQN in Notes")</f>
        <v>0.42574620755418724</v>
      </c>
      <c r="S23" s="50"/>
    </row>
    <row r="24" spans="1:19" x14ac:dyDescent="0.25">
      <c r="A24" s="92">
        <v>50</v>
      </c>
      <c r="B24" s="96">
        <v>580.32604560000004</v>
      </c>
      <c r="C24" s="94">
        <v>1.6534766734399999</v>
      </c>
      <c r="D24" s="95">
        <v>0.22295801891519998</v>
      </c>
      <c r="E24" s="50"/>
      <c r="F24" s="85">
        <f t="shared" si="0"/>
        <v>0.13441045075864813</v>
      </c>
      <c r="G24" s="127">
        <f t="shared" si="1"/>
        <v>0.75122497093492424</v>
      </c>
      <c r="H24" s="74">
        <f t="shared" si="4"/>
        <v>0.10097248696451551</v>
      </c>
      <c r="I24" s="75">
        <f t="shared" si="5"/>
        <v>5.93656253474198E-2</v>
      </c>
      <c r="J24" s="74">
        <f>IF(I24&gt;0, ('BPV Calcs'!$B$8/12)+(I24/(PI()*(('BPV Calcs'!$B$8/12)^2))), "Need to Use Goal Seek tool")</f>
        <v>0.52845414511554523</v>
      </c>
      <c r="K24" s="86">
        <f t="shared" si="6"/>
        <v>6.3414497413865423</v>
      </c>
      <c r="L24" s="17"/>
      <c r="M24" s="17"/>
      <c r="N24" s="112">
        <f t="shared" si="7"/>
        <v>0.10274285797407841</v>
      </c>
      <c r="O24" s="79">
        <f t="shared" si="2"/>
        <v>0.72863533976250439</v>
      </c>
      <c r="P24" s="80">
        <f t="shared" si="8"/>
        <v>7.4862077228113361E-2</v>
      </c>
      <c r="Q24" s="80">
        <f t="shared" si="3"/>
        <v>3.3255215611017651E-2</v>
      </c>
      <c r="R24" s="113">
        <f>IF(Q24&gt;0, ('BPV Calcs'!$B$8/12)+(Q24/(PI()*(('BPV Calcs'!$B$8/12)^2))), "SEE EQN in Notes")</f>
        <v>0.41514640325495267</v>
      </c>
      <c r="S24" s="50"/>
    </row>
    <row r="25" spans="1:19" x14ac:dyDescent="0.25">
      <c r="A25" s="92">
        <v>50.9</v>
      </c>
      <c r="B25" s="96">
        <v>587.32702986000004</v>
      </c>
      <c r="C25" s="94">
        <v>1.6476576537600001</v>
      </c>
      <c r="D25" s="95">
        <v>0.22638970767359998</v>
      </c>
      <c r="E25" s="50"/>
      <c r="F25" s="85">
        <f t="shared" si="0"/>
        <v>0.13119105233236464</v>
      </c>
      <c r="G25" s="127">
        <f t="shared" si="1"/>
        <v>0.75122497093492424</v>
      </c>
      <c r="H25" s="74">
        <f t="shared" si="4"/>
        <v>9.8553994475302747E-2</v>
      </c>
      <c r="I25" s="75">
        <f t="shared" si="5"/>
        <v>5.6947132858207038E-2</v>
      </c>
      <c r="J25" s="74">
        <f>IF(I25&gt;0, ('BPV Calcs'!$B$8/12)+(I25/(PI()*(('BPV Calcs'!$B$8/12)^2))), "Need to Use Goal Seek tool")</f>
        <v>0.51795894701540002</v>
      </c>
      <c r="K25" s="86">
        <f t="shared" si="6"/>
        <v>6.2155073641848002</v>
      </c>
      <c r="L25" s="17"/>
      <c r="M25" s="17"/>
      <c r="N25" s="112">
        <f t="shared" si="7"/>
        <v>9.9317342419351473E-2</v>
      </c>
      <c r="O25" s="79">
        <f t="shared" si="2"/>
        <v>0.72863533976250439</v>
      </c>
      <c r="P25" s="80">
        <f t="shared" si="8"/>
        <v>7.2366125538033149E-2</v>
      </c>
      <c r="Q25" s="80">
        <f t="shared" si="3"/>
        <v>3.0759263920937439E-2</v>
      </c>
      <c r="R25" s="113">
        <f>IF(Q25&gt;0, ('BPV Calcs'!$B$8/12)+(Q25/(PI()*(('BPV Calcs'!$B$8/12)^2))), "SEE EQN in Notes")</f>
        <v>0.40431506615027929</v>
      </c>
      <c r="S25" s="50"/>
    </row>
    <row r="26" spans="1:19" x14ac:dyDescent="0.25">
      <c r="A26" s="92">
        <v>51.8</v>
      </c>
      <c r="B26" s="96">
        <v>594.39038045999996</v>
      </c>
      <c r="C26" s="94">
        <v>1.6417804244800001</v>
      </c>
      <c r="D26" s="95">
        <v>0.22988470907359998</v>
      </c>
      <c r="E26" s="50"/>
      <c r="F26" s="85">
        <f t="shared" si="0"/>
        <v>0.12789925363670013</v>
      </c>
      <c r="G26" s="127">
        <f t="shared" si="1"/>
        <v>0.75122497093492413</v>
      </c>
      <c r="H26" s="74">
        <f t="shared" si="4"/>
        <v>9.6081113095828549E-2</v>
      </c>
      <c r="I26" s="75">
        <f t="shared" si="5"/>
        <v>5.4474251478732839E-2</v>
      </c>
      <c r="J26" s="74">
        <f>IF(I26&gt;0, ('BPV Calcs'!$B$8/12)+(I26/(PI()*(('BPV Calcs'!$B$8/12)^2))), "Need to Use Goal Seek tool")</f>
        <v>0.50722772495392887</v>
      </c>
      <c r="K26" s="86">
        <f t="shared" si="6"/>
        <v>6.0867326994471469</v>
      </c>
      <c r="L26" s="17"/>
      <c r="M26" s="17"/>
      <c r="N26" s="112">
        <f t="shared" si="7"/>
        <v>9.5813964526532028E-2</v>
      </c>
      <c r="O26" s="79">
        <f t="shared" si="2"/>
        <v>0.72863533976250439</v>
      </c>
      <c r="P26" s="80">
        <f t="shared" si="8"/>
        <v>6.9813440596782211E-2</v>
      </c>
      <c r="Q26" s="80">
        <f t="shared" si="3"/>
        <v>2.8206578979686502E-2</v>
      </c>
      <c r="R26" s="113">
        <f>IF(Q26&gt;0, ('BPV Calcs'!$B$8/12)+(Q26/(PI()*(('BPV Calcs'!$B$8/12)^2))), "SEE EQN in Notes")</f>
        <v>0.39323753158476704</v>
      </c>
      <c r="S26" s="50"/>
    </row>
    <row r="27" spans="1:19" x14ac:dyDescent="0.25">
      <c r="A27" s="92">
        <v>52.7</v>
      </c>
      <c r="B27" s="96">
        <v>601.51754778000009</v>
      </c>
      <c r="C27" s="94">
        <v>1.6358430452799999</v>
      </c>
      <c r="D27" s="95">
        <v>0.23344498283839998</v>
      </c>
      <c r="E27" s="50"/>
      <c r="F27" s="85">
        <f t="shared" si="0"/>
        <v>0.12453171014032675</v>
      </c>
      <c r="G27" s="127">
        <f t="shared" si="1"/>
        <v>0.75122497093492413</v>
      </c>
      <c r="H27" s="74">
        <f t="shared" si="4"/>
        <v>9.3551330330643362E-2</v>
      </c>
      <c r="I27" s="75">
        <f t="shared" si="5"/>
        <v>5.1944468713547652E-2</v>
      </c>
      <c r="J27" s="74">
        <f>IF(I27&gt;0, ('BPV Calcs'!$B$8/12)+(I27/(PI()*(('BPV Calcs'!$B$8/12)^2))), "Need to Use Goal Seek tool")</f>
        <v>0.49624957580135731</v>
      </c>
      <c r="K27" s="86">
        <f t="shared" si="6"/>
        <v>5.9549949096162873</v>
      </c>
      <c r="L27" s="17"/>
      <c r="M27" s="17"/>
      <c r="N27" s="112">
        <f t="shared" si="7"/>
        <v>9.2229125421012484E-2</v>
      </c>
      <c r="O27" s="79">
        <f t="shared" si="2"/>
        <v>0.72863533976250439</v>
      </c>
      <c r="P27" s="80">
        <f t="shared" si="8"/>
        <v>6.7201400137138059E-2</v>
      </c>
      <c r="Q27" s="80">
        <f t="shared" si="3"/>
        <v>2.5594538520042349E-2</v>
      </c>
      <c r="R27" s="113">
        <f>IF(Q27&gt;0, ('BPV Calcs'!$B$8/12)+(Q27/(PI()*(('BPV Calcs'!$B$8/12)^2))), "SEE EQN in Notes")</f>
        <v>0.38190242006722691</v>
      </c>
      <c r="S27" s="50"/>
    </row>
    <row r="28" spans="1:19" x14ac:dyDescent="0.25">
      <c r="A28" s="92">
        <v>53.6</v>
      </c>
      <c r="B28" s="96">
        <v>608.70708144000002</v>
      </c>
      <c r="C28" s="94">
        <v>1.6298455161600001</v>
      </c>
      <c r="D28" s="95">
        <v>0.23707262451360001</v>
      </c>
      <c r="E28" s="50"/>
      <c r="F28" s="85">
        <f t="shared" si="0"/>
        <v>0.12108614470086151</v>
      </c>
      <c r="G28" s="127">
        <f t="shared" si="1"/>
        <v>0.75122497093492424</v>
      </c>
      <c r="H28" s="74">
        <f t="shared" si="4"/>
        <v>9.0962935533526718E-2</v>
      </c>
      <c r="I28" s="75">
        <f t="shared" si="5"/>
        <v>4.9356073916431008E-2</v>
      </c>
      <c r="J28" s="74">
        <f>IF(I28&gt;0, ('BPV Calcs'!$B$8/12)+(I28/(PI()*(('BPV Calcs'!$B$8/12)^2))), "Need to Use Goal Seek tool")</f>
        <v>0.48501707610235389</v>
      </c>
      <c r="K28" s="86">
        <f t="shared" si="6"/>
        <v>5.8202049132282472</v>
      </c>
      <c r="L28" s="17"/>
      <c r="M28" s="17"/>
      <c r="N28" s="112">
        <f t="shared" si="7"/>
        <v>8.8560323374262145E-2</v>
      </c>
      <c r="O28" s="79">
        <f t="shared" si="2"/>
        <v>0.72863533976250439</v>
      </c>
      <c r="P28" s="80">
        <f t="shared" si="8"/>
        <v>6.4528181311282753E-2</v>
      </c>
      <c r="Q28" s="80">
        <f t="shared" si="3"/>
        <v>2.2921319694187044E-2</v>
      </c>
      <c r="R28" s="113">
        <f>IF(Q28&gt;0, ('BPV Calcs'!$B$8/12)+(Q28/(PI()*(('BPV Calcs'!$B$8/12)^2))), "SEE EQN in Notes")</f>
        <v>0.37030182123653899</v>
      </c>
      <c r="S28" s="50"/>
    </row>
    <row r="29" spans="1:19" x14ac:dyDescent="0.25">
      <c r="A29" s="92">
        <v>54.5</v>
      </c>
      <c r="B29" s="96">
        <v>615.96188219999999</v>
      </c>
      <c r="C29" s="94">
        <v>1.6237820161600001</v>
      </c>
      <c r="D29" s="95">
        <v>0.2407698072576</v>
      </c>
      <c r="E29" s="50"/>
      <c r="F29" s="85">
        <f t="shared" si="0"/>
        <v>0.11755644588442445</v>
      </c>
      <c r="G29" s="127">
        <f t="shared" si="1"/>
        <v>0.75122497093492424</v>
      </c>
      <c r="H29" s="74">
        <f t="shared" si="4"/>
        <v>8.8311337642739754E-2</v>
      </c>
      <c r="I29" s="75">
        <f t="shared" si="5"/>
        <v>4.6704476025644044E-2</v>
      </c>
      <c r="J29" s="74">
        <f>IF(I29&gt;0, ('BPV Calcs'!$B$8/12)+(I29/(PI()*(('BPV Calcs'!$B$8/12)^2))), "Need to Use Goal Seek tool")</f>
        <v>0.47351030265986327</v>
      </c>
      <c r="K29" s="86">
        <f t="shared" si="6"/>
        <v>5.6821236319183592</v>
      </c>
      <c r="L29" s="17"/>
      <c r="M29" s="17"/>
      <c r="N29" s="112">
        <f t="shared" si="7"/>
        <v>8.4801071831599392E-2</v>
      </c>
      <c r="O29" s="79">
        <f t="shared" si="2"/>
        <v>0.72863533976250439</v>
      </c>
      <c r="P29" s="80">
        <f t="shared" si="8"/>
        <v>6.1789057786241962E-2</v>
      </c>
      <c r="Q29" s="80">
        <f t="shared" si="3"/>
        <v>2.0182196169146252E-2</v>
      </c>
      <c r="R29" s="113">
        <f>IF(Q29&gt;0, ('BPV Calcs'!$B$8/12)+(Q29/(PI()*(('BPV Calcs'!$B$8/12)^2))), "SEE EQN in Notes")</f>
        <v>0.35841522487773503</v>
      </c>
      <c r="S29" s="50"/>
    </row>
    <row r="30" spans="1:19" x14ac:dyDescent="0.25">
      <c r="A30" s="92">
        <v>55.4</v>
      </c>
      <c r="B30" s="96">
        <v>623.28049967999993</v>
      </c>
      <c r="C30" s="94">
        <v>1.6176544856000001</v>
      </c>
      <c r="D30" s="95">
        <v>0.24453885945439999</v>
      </c>
      <c r="E30" s="50"/>
      <c r="F30" s="85">
        <f t="shared" si="0"/>
        <v>0.11394121977368245</v>
      </c>
      <c r="G30" s="127">
        <f t="shared" si="1"/>
        <v>0.75122497093492424</v>
      </c>
      <c r="H30" s="74">
        <f t="shared" si="4"/>
        <v>8.5595489512774417E-2</v>
      </c>
      <c r="I30" s="75">
        <f t="shared" si="5"/>
        <v>4.3988627895678707E-2</v>
      </c>
      <c r="J30" s="74">
        <f>IF(I30&gt;0, ('BPV Calcs'!$B$8/12)+(I30/(PI()*(('BPV Calcs'!$B$8/12)^2))), "Need to Use Goal Seek tool")</f>
        <v>0.46172471132103166</v>
      </c>
      <c r="K30" s="86">
        <f t="shared" si="6"/>
        <v>5.5406965358523799</v>
      </c>
      <c r="L30" s="17"/>
      <c r="M30" s="17"/>
      <c r="N30" s="112">
        <f t="shared" si="7"/>
        <v>8.0949764895709625E-2</v>
      </c>
      <c r="O30" s="79">
        <f t="shared" si="2"/>
        <v>0.72863533976250439</v>
      </c>
      <c r="P30" s="80">
        <f t="shared" si="8"/>
        <v>5.8982859448480231E-2</v>
      </c>
      <c r="Q30" s="80">
        <f t="shared" si="3"/>
        <v>1.7375997831384521E-2</v>
      </c>
      <c r="R30" s="113">
        <f>IF(Q30&gt;0, ('BPV Calcs'!$B$8/12)+(Q30/(PI()*(('BPV Calcs'!$B$8/12)^2))), "SEE EQN in Notes")</f>
        <v>0.34623755321058242</v>
      </c>
      <c r="S30" s="50"/>
    </row>
    <row r="31" spans="1:19" x14ac:dyDescent="0.25">
      <c r="A31" s="92">
        <v>56.3</v>
      </c>
      <c r="B31" s="96">
        <v>630.66438426000002</v>
      </c>
      <c r="C31" s="94">
        <v>1.6114590438399998</v>
      </c>
      <c r="D31" s="95">
        <v>0.24838222590720002</v>
      </c>
      <c r="E31" s="50"/>
      <c r="F31" s="85">
        <f t="shared" si="0"/>
        <v>0.11023518674553594</v>
      </c>
      <c r="G31" s="127">
        <f t="shared" si="1"/>
        <v>0.75122497093492413</v>
      </c>
      <c r="H31" s="74">
        <f t="shared" si="4"/>
        <v>8.2811424958921173E-2</v>
      </c>
      <c r="I31" s="75">
        <f t="shared" si="5"/>
        <v>4.1204563341825463E-2</v>
      </c>
      <c r="J31" s="74">
        <f>IF(I31&gt;0, ('BPV Calcs'!$B$8/12)+(I31/(PI()*(('BPV Calcs'!$B$8/12)^2))), "Need to Use Goal Seek tool")</f>
        <v>0.44964309058141411</v>
      </c>
      <c r="K31" s="86">
        <f t="shared" si="6"/>
        <v>5.3957170869769691</v>
      </c>
      <c r="L31" s="17"/>
      <c r="M31" s="17"/>
      <c r="N31" s="112">
        <f t="shared" si="7"/>
        <v>7.7000755915053343E-2</v>
      </c>
      <c r="O31" s="79">
        <f t="shared" si="2"/>
        <v>0.7286353397625045</v>
      </c>
      <c r="P31" s="80">
        <f t="shared" si="8"/>
        <v>5.6105471948134568E-2</v>
      </c>
      <c r="Q31" s="80">
        <f t="shared" si="3"/>
        <v>1.4498610331038858E-2</v>
      </c>
      <c r="R31" s="113">
        <f>IF(Q31&gt;0, ('BPV Calcs'!$B$8/12)+(Q31/(PI()*(('BPV Calcs'!$B$8/12)^2))), "SEE EQN in Notes")</f>
        <v>0.33375095175876668</v>
      </c>
      <c r="S31" s="50"/>
    </row>
    <row r="32" spans="1:19" x14ac:dyDescent="0.25">
      <c r="A32" s="92">
        <v>57.2</v>
      </c>
      <c r="B32" s="96">
        <v>638.11353594000002</v>
      </c>
      <c r="C32" s="94">
        <v>1.60519375056</v>
      </c>
      <c r="D32" s="95">
        <v>0.25230250664479997</v>
      </c>
      <c r="E32" s="50"/>
      <c r="F32" s="85">
        <f t="shared" si="0"/>
        <v>0.10643407956180023</v>
      </c>
      <c r="G32" s="127">
        <f t="shared" si="1"/>
        <v>0.75122497093492424</v>
      </c>
      <c r="H32" s="74">
        <f t="shared" si="4"/>
        <v>7.9955938325298792E-2</v>
      </c>
      <c r="I32" s="75">
        <f t="shared" si="5"/>
        <v>3.8349076708203082E-2</v>
      </c>
      <c r="J32" s="74">
        <f>IF(I32&gt;0, ('BPV Calcs'!$B$8/12)+(I32/(PI()*(('BPV Calcs'!$B$8/12)^2))), "Need to Use Goal Seek tool")</f>
        <v>0.4372515292985677</v>
      </c>
      <c r="K32" s="86">
        <f t="shared" si="6"/>
        <v>5.2470183515828124</v>
      </c>
      <c r="L32" s="17"/>
      <c r="M32" s="17"/>
      <c r="N32" s="112">
        <f t="shared" si="7"/>
        <v>7.2949435155999456E-2</v>
      </c>
      <c r="O32" s="79">
        <f t="shared" si="2"/>
        <v>0.72863533976250439</v>
      </c>
      <c r="P32" s="80">
        <f t="shared" si="8"/>
        <v>5.3153536470374449E-2</v>
      </c>
      <c r="Q32" s="80">
        <f t="shared" si="3"/>
        <v>1.1546674853278739E-2</v>
      </c>
      <c r="R32" s="113">
        <f>IF(Q32&gt;0, ('BPV Calcs'!$B$8/12)+(Q32/(PI()*(('BPV Calcs'!$B$8/12)^2))), "SEE EQN in Notes")</f>
        <v>0.32094084473708895</v>
      </c>
      <c r="S32" s="50"/>
    </row>
    <row r="33" spans="1:20" x14ac:dyDescent="0.25">
      <c r="A33" s="92">
        <v>58.1</v>
      </c>
      <c r="B33" s="96">
        <v>645.62795472000005</v>
      </c>
      <c r="C33" s="94">
        <v>1.5988547251199998</v>
      </c>
      <c r="D33" s="95">
        <v>0.25630243751839998</v>
      </c>
      <c r="E33" s="50"/>
      <c r="F33" s="85">
        <f t="shared" si="0"/>
        <v>0.10253210256655709</v>
      </c>
      <c r="G33" s="127">
        <f t="shared" si="1"/>
        <v>0.75122497093492424</v>
      </c>
      <c r="H33" s="74">
        <f t="shared" si="4"/>
        <v>7.7024675770458517E-2</v>
      </c>
      <c r="I33" s="75">
        <f t="shared" si="5"/>
        <v>3.5417814153362807E-2</v>
      </c>
      <c r="J33" s="74">
        <f>IF(I33&gt;0, ('BPV Calcs'!$B$8/12)+(I33/(PI()*(('BPV Calcs'!$B$8/12)^2))), "Need to Use Goal Seek tool")</f>
        <v>0.42453113370759338</v>
      </c>
      <c r="K33" s="86">
        <f t="shared" si="6"/>
        <v>5.0943736044911203</v>
      </c>
      <c r="L33" s="17"/>
      <c r="M33" s="17"/>
      <c r="N33" s="112">
        <f t="shared" si="7"/>
        <v>6.8789593883226779E-2</v>
      </c>
      <c r="O33" s="79">
        <f t="shared" si="2"/>
        <v>0.72863533976250439</v>
      </c>
      <c r="P33" s="80">
        <f t="shared" si="8"/>
        <v>5.0122529111229636E-2</v>
      </c>
      <c r="Q33" s="80">
        <f t="shared" si="3"/>
        <v>8.5156674941339258E-3</v>
      </c>
      <c r="R33" s="113">
        <f>IF(Q33&gt;0, ('BPV Calcs'!$B$8/12)+(Q33/(PI()*(('BPV Calcs'!$B$8/12)^2))), "SEE EQN in Notes")</f>
        <v>0.30778760038379444</v>
      </c>
      <c r="S33" s="50"/>
    </row>
    <row r="34" spans="1:20" x14ac:dyDescent="0.25">
      <c r="A34" s="92">
        <v>59</v>
      </c>
      <c r="B34" s="96">
        <v>653.21054135999998</v>
      </c>
      <c r="C34" s="94">
        <v>1.5924400272000001</v>
      </c>
      <c r="D34" s="95">
        <v>0.26038490960479999</v>
      </c>
      <c r="E34" s="50"/>
      <c r="F34" s="85">
        <f t="shared" si="0"/>
        <v>9.8524459836365458E-2</v>
      </c>
      <c r="G34" s="127">
        <f t="shared" si="1"/>
        <v>0.75122497093492435</v>
      </c>
      <c r="H34" s="74">
        <f t="shared" si="4"/>
        <v>7.4014034476952761E-2</v>
      </c>
      <c r="I34" s="75">
        <f t="shared" si="5"/>
        <v>3.2407172859857052E-2</v>
      </c>
      <c r="J34" s="74">
        <f>IF(I34&gt;0, ('BPV Calcs'!$B$8/12)+(I34/(PI()*(('BPV Calcs'!$B$8/12)^2))), "Need to Use Goal Seek tool")</f>
        <v>0.41146626915880763</v>
      </c>
      <c r="K34" s="86">
        <f t="shared" si="6"/>
        <v>4.9375952299056918</v>
      </c>
      <c r="L34" s="17"/>
      <c r="M34" s="17"/>
      <c r="N34" s="112">
        <f t="shared" si="7"/>
        <v>6.4516045601971481E-2</v>
      </c>
      <c r="O34" s="79">
        <f t="shared" si="2"/>
        <v>0.72863533976250439</v>
      </c>
      <c r="P34" s="80">
        <f t="shared" si="8"/>
        <v>4.7008670807325716E-2</v>
      </c>
      <c r="Q34" s="80">
        <f t="shared" si="3"/>
        <v>5.4018091902300058E-3</v>
      </c>
      <c r="R34" s="113">
        <f>IF(Q34&gt;0, ('BPV Calcs'!$B$8/12)+(Q34/(PI()*(('BPV Calcs'!$B$8/12)^2))), "SEE EQN in Notes")</f>
        <v>0.29427481921907328</v>
      </c>
      <c r="S34" s="50"/>
    </row>
    <row r="35" spans="1:20" x14ac:dyDescent="0.25">
      <c r="A35" s="92">
        <v>59.9</v>
      </c>
      <c r="B35" s="96">
        <v>660.85839510000005</v>
      </c>
      <c r="C35" s="94">
        <v>1.58594577616</v>
      </c>
      <c r="D35" s="95">
        <v>0.26455302741599995</v>
      </c>
      <c r="E35" s="50"/>
      <c r="F35" s="85">
        <f t="shared" si="0"/>
        <v>9.4404755900095283E-2</v>
      </c>
      <c r="G35" s="127">
        <f t="shared" si="1"/>
        <v>0.75122497093492435</v>
      </c>
      <c r="H35" s="74">
        <f t="shared" si="4"/>
        <v>7.0919210007167707E-2</v>
      </c>
      <c r="I35" s="75">
        <f t="shared" si="5"/>
        <v>2.9312348390071997E-2</v>
      </c>
      <c r="J35" s="74">
        <f>IF(I35&gt;0, ('BPV Calcs'!$B$8/12)+(I35/(PI()*(('BPV Calcs'!$B$8/12)^2))), "Need to Use Goal Seek tool")</f>
        <v>0.39803608649731681</v>
      </c>
      <c r="K35" s="86">
        <f t="shared" si="6"/>
        <v>4.7764330379678022</v>
      </c>
      <c r="L35" s="17"/>
      <c r="M35" s="17"/>
      <c r="N35" s="112">
        <f t="shared" si="7"/>
        <v>6.0121926464803473E-2</v>
      </c>
      <c r="O35" s="79">
        <f t="shared" si="2"/>
        <v>0.7286353397625045</v>
      </c>
      <c r="P35" s="80">
        <f t="shared" si="8"/>
        <v>4.3806960316858386E-2</v>
      </c>
      <c r="Q35" s="80">
        <f t="shared" si="3"/>
        <v>2.2000986997626759E-3</v>
      </c>
      <c r="R35" s="113">
        <f>IF(Q35&gt;0, ('BPV Calcs'!$B$8/12)+(Q35/(PI()*(('BPV Calcs'!$B$8/12)^2))), "SEE EQN in Notes")</f>
        <v>0.28038079804404548</v>
      </c>
      <c r="S35" s="50"/>
    </row>
    <row r="36" spans="1:20" x14ac:dyDescent="0.25">
      <c r="A36" s="92">
        <v>60.8</v>
      </c>
      <c r="B36" s="96">
        <v>668.57586708000008</v>
      </c>
      <c r="C36" s="94">
        <v>1.5793700316800001</v>
      </c>
      <c r="D36" s="95">
        <v>0.2688100700928</v>
      </c>
      <c r="E36" s="50"/>
      <c r="F36" s="85">
        <f t="shared" ref="F36:F53" si="9">($C$53-C36)/(D36-C36)</f>
        <v>9.0167576361954008E-2</v>
      </c>
      <c r="G36" s="127">
        <f t="shared" ref="G36:G53" si="10">$U$7/((C36*(1-F36))+(D36*F36))</f>
        <v>0.75122497093492424</v>
      </c>
      <c r="H36" s="74">
        <f t="shared" si="4"/>
        <v>6.7736134931781461E-2</v>
      </c>
      <c r="I36" s="75">
        <f t="shared" si="5"/>
        <v>2.6129273314685751E-2</v>
      </c>
      <c r="J36" s="74">
        <f>IF(I36&gt;0, ('BPV Calcs'!$B$8/12)+(I36/(PI()*(('BPV Calcs'!$B$8/12)^2))), "Need to Use Goal Seek tool")</f>
        <v>0.38422293486140346</v>
      </c>
      <c r="K36" s="86">
        <f t="shared" si="6"/>
        <v>4.6106752183368416</v>
      </c>
      <c r="L36" s="17"/>
      <c r="M36" s="17"/>
      <c r="N36" s="112">
        <f t="shared" si="7"/>
        <v>5.5601372945089003E-2</v>
      </c>
      <c r="O36" s="79">
        <f t="shared" si="2"/>
        <v>0.7286353397625045</v>
      </c>
      <c r="P36" s="80">
        <f t="shared" si="8"/>
        <v>4.0513125267106653E-2</v>
      </c>
      <c r="Q36" s="80">
        <f t="shared" si="3"/>
        <v>-1.0937363499890565E-3</v>
      </c>
      <c r="R36" s="113" t="str">
        <f>IF(Q36&gt;0, ('BPV Calcs'!$B$8/12)+(Q36/(PI()*(('BPV Calcs'!$B$8/12)^2))), "SEE EQN in Notes")</f>
        <v>SEE EQN in Notes</v>
      </c>
      <c r="S36" s="50"/>
    </row>
    <row r="37" spans="1:20" x14ac:dyDescent="0.25">
      <c r="A37" s="92">
        <v>61.7</v>
      </c>
      <c r="B37" s="96">
        <v>676.36005653999996</v>
      </c>
      <c r="C37" s="94">
        <v>1.5727089131200001</v>
      </c>
      <c r="D37" s="95">
        <v>0.27315953021120004</v>
      </c>
      <c r="E37" s="50"/>
      <c r="F37" s="85">
        <f t="shared" si="9"/>
        <v>8.5805817247007074E-2</v>
      </c>
      <c r="G37" s="127">
        <f t="shared" si="10"/>
        <v>0.75122497093492424</v>
      </c>
      <c r="H37" s="74">
        <f t="shared" si="4"/>
        <v>6.4459472567430315E-2</v>
      </c>
      <c r="I37" s="75">
        <f t="shared" si="5"/>
        <v>2.2852610950334605E-2</v>
      </c>
      <c r="J37" s="74">
        <f>IF(I37&gt;0, ('BPV Calcs'!$B$8/12)+(I37/(PI()*(('BPV Calcs'!$B$8/12)^2))), "Need to Use Goal Seek tool")</f>
        <v>0.37000365538274377</v>
      </c>
      <c r="K37" s="86">
        <f t="shared" si="6"/>
        <v>4.4400438645929254</v>
      </c>
      <c r="L37" s="17"/>
      <c r="M37" s="17"/>
      <c r="N37" s="112">
        <f t="shared" si="7"/>
        <v>5.0946747774153422E-2</v>
      </c>
      <c r="O37" s="79">
        <f t="shared" si="2"/>
        <v>0.72863533976250439</v>
      </c>
      <c r="P37" s="80">
        <f t="shared" si="8"/>
        <v>3.7121600874214893E-2</v>
      </c>
      <c r="Q37" s="80">
        <f t="shared" si="3"/>
        <v>-4.4852607428808172E-3</v>
      </c>
      <c r="R37" s="113" t="str">
        <f>IF(Q37&gt;0, ('BPV Calcs'!$B$8/12)+(Q37/(PI()*(('BPV Calcs'!$B$8/12)^2))), "SEE EQN in Notes")</f>
        <v>SEE EQN in Notes</v>
      </c>
      <c r="S37" s="50" t="s">
        <v>53</v>
      </c>
    </row>
    <row r="38" spans="1:20" x14ac:dyDescent="0.25">
      <c r="A38" s="92">
        <v>62.6</v>
      </c>
      <c r="B38" s="96">
        <v>684.21241385999997</v>
      </c>
      <c r="C38" s="94">
        <v>1.56595853984</v>
      </c>
      <c r="D38" s="95">
        <v>0.27760515258880003</v>
      </c>
      <c r="E38" s="50"/>
      <c r="F38" s="85">
        <f t="shared" si="9"/>
        <v>8.1311947956176495E-2</v>
      </c>
      <c r="G38" s="127">
        <f t="shared" si="10"/>
        <v>0.75122497093492424</v>
      </c>
      <c r="H38" s="74">
        <f t="shared" si="4"/>
        <v>6.1083565740040757E-2</v>
      </c>
      <c r="I38" s="75">
        <f t="shared" si="5"/>
        <v>1.9476704122945047E-2</v>
      </c>
      <c r="J38" s="74">
        <f>IF(I38&gt;0, ('BPV Calcs'!$B$8/12)+(I38/(PI()*(('BPV Calcs'!$B$8/12)^2))), "Need to Use Goal Seek tool")</f>
        <v>0.35535369840370878</v>
      </c>
      <c r="K38" s="86">
        <f t="shared" si="6"/>
        <v>4.2642443808445059</v>
      </c>
      <c r="L38" s="50"/>
      <c r="M38" s="50"/>
      <c r="N38" s="112">
        <f t="shared" si="7"/>
        <v>4.6149947630415508E-2</v>
      </c>
      <c r="O38" s="79">
        <f t="shared" si="2"/>
        <v>0.72863533976250427</v>
      </c>
      <c r="P38" s="80">
        <f t="shared" si="8"/>
        <v>3.3626482771709584E-2</v>
      </c>
      <c r="Q38" s="80">
        <f t="shared" si="3"/>
        <v>-7.9803788453861255E-3</v>
      </c>
      <c r="R38" s="113">
        <v>0.24521116920246497</v>
      </c>
      <c r="S38" s="50">
        <f>((1/3)*PI()*(R38^2)*((3*('BPV Calcs'!$B$8/12))-R38))-P38</f>
        <v>2.0936732477815634E-3</v>
      </c>
    </row>
    <row r="39" spans="1:20" x14ac:dyDescent="0.25">
      <c r="A39" s="92">
        <v>63.5</v>
      </c>
      <c r="B39" s="96">
        <v>692.13438942000005</v>
      </c>
      <c r="C39" s="94">
        <v>1.5591150311999999</v>
      </c>
      <c r="D39" s="95">
        <v>0.28215091488159999</v>
      </c>
      <c r="E39" s="50"/>
      <c r="F39" s="85">
        <f t="shared" si="9"/>
        <v>7.6677969006389013E-2</v>
      </c>
      <c r="G39" s="127">
        <f t="shared" si="10"/>
        <v>0.75122497093492424</v>
      </c>
      <c r="H39" s="74">
        <f t="shared" si="4"/>
        <v>5.7602405038173606E-2</v>
      </c>
      <c r="I39" s="75">
        <f t="shared" si="5"/>
        <v>1.5995543421077896E-2</v>
      </c>
      <c r="J39" s="74">
        <f>IF(I39&gt;0, ('BPV Calcs'!$B$8/12)+(I39/(PI()*(('BPV Calcs'!$B$8/12)^2))), "Need to Use Goal Seek tool")</f>
        <v>0.34024698571078288</v>
      </c>
      <c r="K39" s="86">
        <f t="shared" si="6"/>
        <v>4.0829638285293948</v>
      </c>
      <c r="L39" s="50"/>
      <c r="M39" s="50"/>
      <c r="N39" s="112">
        <f t="shared" si="7"/>
        <v>4.1202358029293618E-2</v>
      </c>
      <c r="O39" s="79">
        <f t="shared" si="2"/>
        <v>0.72863533976250439</v>
      </c>
      <c r="P39" s="80">
        <f t="shared" si="8"/>
        <v>3.0021494141690707E-2</v>
      </c>
      <c r="Q39" s="80">
        <f t="shared" si="3"/>
        <v>-1.1585367475405003E-2</v>
      </c>
      <c r="R39" s="113">
        <v>0.22780916988569017</v>
      </c>
      <c r="S39" s="50">
        <f>((1/3)*PI()*(R39^2)*((3*('BPV Calcs'!$B$8/12))-R39))-P39</f>
        <v>1.7543651536303488E-3</v>
      </c>
    </row>
    <row r="40" spans="1:20" x14ac:dyDescent="0.25">
      <c r="A40" s="92">
        <v>64.400000000000006</v>
      </c>
      <c r="B40" s="96">
        <v>700.12743360000002</v>
      </c>
      <c r="C40" s="94">
        <v>1.5521764468799999</v>
      </c>
      <c r="D40" s="95">
        <v>0.28680106639039998</v>
      </c>
      <c r="E40" s="50"/>
      <c r="F40" s="85">
        <f t="shared" si="9"/>
        <v>7.1896792063500151E-2</v>
      </c>
      <c r="G40" s="127">
        <f t="shared" si="10"/>
        <v>0.75122497093492424</v>
      </c>
      <c r="H40" s="74">
        <f t="shared" si="4"/>
        <v>5.4010665528217192E-2</v>
      </c>
      <c r="I40" s="75">
        <f t="shared" si="5"/>
        <v>1.2403803911121482E-2</v>
      </c>
      <c r="J40" s="74">
        <f>IF(I40&gt;0, ('BPV Calcs'!$B$8/12)+(I40/(PI()*(('BPV Calcs'!$B$8/12)^2))), "Need to Use Goal Seek tool")</f>
        <v>0.3246604094244197</v>
      </c>
      <c r="K40" s="86">
        <f t="shared" si="6"/>
        <v>3.8959249130930367</v>
      </c>
      <c r="L40" s="50"/>
      <c r="M40" s="50"/>
      <c r="N40" s="112">
        <f t="shared" si="7"/>
        <v>3.6096283439178707E-2</v>
      </c>
      <c r="O40" s="79">
        <f t="shared" si="2"/>
        <v>0.72863533976250439</v>
      </c>
      <c r="P40" s="80">
        <f t="shared" si="8"/>
        <v>2.6301027747869639E-2</v>
      </c>
      <c r="Q40" s="80">
        <f t="shared" si="3"/>
        <v>-1.5305833869226071E-2</v>
      </c>
      <c r="R40" s="113">
        <v>0.21248930599027482</v>
      </c>
      <c r="S40" s="50">
        <f>((1/3)*PI()*(R40^2)*((3*('BPV Calcs'!$B$8/12))-R40))-P40</f>
        <v>2.0691309400583079E-3</v>
      </c>
    </row>
    <row r="41" spans="1:20" x14ac:dyDescent="0.25">
      <c r="A41" s="92">
        <v>65.3</v>
      </c>
      <c r="B41" s="96">
        <v>708.18864564</v>
      </c>
      <c r="C41" s="94">
        <v>1.5451350256</v>
      </c>
      <c r="D41" s="95">
        <v>0.29156020567359997</v>
      </c>
      <c r="E41" s="50"/>
      <c r="F41" s="85">
        <f t="shared" si="9"/>
        <v>6.6956521460969767E-2</v>
      </c>
      <c r="G41" s="127">
        <f t="shared" si="10"/>
        <v>0.75122497093492424</v>
      </c>
      <c r="H41" s="74">
        <f t="shared" si="4"/>
        <v>5.0299410888420645E-2</v>
      </c>
      <c r="I41" s="75">
        <f t="shared" si="5"/>
        <v>8.6925492713249355E-3</v>
      </c>
      <c r="J41" s="74">
        <f>IF(I41&gt;0, ('BPV Calcs'!$B$8/12)+(I41/(PI()*(('BPV Calcs'!$B$8/12)^2))), "Need to Use Goal Seek tool")</f>
        <v>0.30855518982234165</v>
      </c>
      <c r="K41" s="86">
        <f t="shared" si="6"/>
        <v>3.7026622778680998</v>
      </c>
      <c r="L41" s="50"/>
      <c r="M41" s="50"/>
      <c r="N41" s="112">
        <f t="shared" si="7"/>
        <v>3.0819003777835637E-2</v>
      </c>
      <c r="O41" s="79">
        <f t="shared" si="2"/>
        <v>0.72863533976250439</v>
      </c>
      <c r="P41" s="80">
        <f t="shared" si="8"/>
        <v>2.2455815288805175E-2</v>
      </c>
      <c r="Q41" s="80">
        <f t="shared" si="3"/>
        <v>-1.9151046328290535E-2</v>
      </c>
      <c r="R41" s="113">
        <v>0.1907150772829011</v>
      </c>
      <c r="S41" s="50">
        <f>((1/3)*PI()*(R41^2)*((3*('BPV Calcs'!$B$8/12))-R41))-P41</f>
        <v>1.2273017576219479E-3</v>
      </c>
    </row>
    <row r="42" spans="1:20" x14ac:dyDescent="0.25">
      <c r="A42" s="92">
        <v>66.2</v>
      </c>
      <c r="B42" s="96">
        <v>716.32237667999993</v>
      </c>
      <c r="C42" s="94">
        <v>1.5379868867199999</v>
      </c>
      <c r="D42" s="95">
        <v>0.29643326114399998</v>
      </c>
      <c r="E42" s="50"/>
      <c r="F42" s="85">
        <f t="shared" si="9"/>
        <v>6.1847405437448669E-2</v>
      </c>
      <c r="G42" s="127">
        <f t="shared" si="10"/>
        <v>0.75122497093492424</v>
      </c>
      <c r="H42" s="74">
        <f t="shared" si="4"/>
        <v>4.6461315352147849E-2</v>
      </c>
      <c r="I42" s="75">
        <f t="shared" si="5"/>
        <v>4.8544537350521388E-3</v>
      </c>
      <c r="J42" s="74">
        <f>IF(I42&gt;0, ('BPV Calcs'!$B$8/12)+(I42/(PI()*(('BPV Calcs'!$B$8/12)^2))), "Need to Use Goal Seek tool")</f>
        <v>0.29189953628604387</v>
      </c>
      <c r="K42" s="86">
        <f t="shared" si="6"/>
        <v>3.5027944354325262</v>
      </c>
      <c r="L42" s="200" t="s">
        <v>56</v>
      </c>
      <c r="M42" s="50"/>
      <c r="N42" s="112">
        <f t="shared" si="7"/>
        <v>2.5359990565452944E-2</v>
      </c>
      <c r="O42" s="79">
        <f t="shared" si="2"/>
        <v>0.72863533976250427</v>
      </c>
      <c r="P42" s="80">
        <f t="shared" si="8"/>
        <v>1.8478185342032709E-2</v>
      </c>
      <c r="Q42" s="80">
        <f t="shared" si="3"/>
        <v>-2.3128676275063001E-2</v>
      </c>
      <c r="R42" s="113">
        <v>0.17168996493983751</v>
      </c>
      <c r="S42" s="50">
        <f>((1/3)*PI()*(R42^2)*((3*('BPV Calcs'!$B$8/12))-R42))-P42</f>
        <v>1.3027920242960137E-3</v>
      </c>
    </row>
    <row r="43" spans="1:20" x14ac:dyDescent="0.25">
      <c r="A43" s="92">
        <v>67.099999999999994</v>
      </c>
      <c r="B43" s="96">
        <v>724.52862672000003</v>
      </c>
      <c r="C43" s="94">
        <v>1.5307281495999998</v>
      </c>
      <c r="D43" s="95">
        <v>0.301425510472</v>
      </c>
      <c r="E43" s="50"/>
      <c r="F43" s="85">
        <f t="shared" si="9"/>
        <v>5.6559004365802502E-2</v>
      </c>
      <c r="G43" s="127">
        <f t="shared" si="10"/>
        <v>0.75122497093492424</v>
      </c>
      <c r="H43" s="74">
        <f t="shared" si="4"/>
        <v>4.2488536410808235E-2</v>
      </c>
      <c r="I43" s="75">
        <f t="shared" si="5"/>
        <v>8.8167479371252522E-4</v>
      </c>
      <c r="J43" s="74">
        <f>IF(I43&gt;0, ('BPV Calcs'!$B$8/12)+(I43/(PI()*(('BPV Calcs'!$B$8/12)^2))), "Need to Use Goal Seek tool")</f>
        <v>0.27465941576327285</v>
      </c>
      <c r="K43" s="86">
        <f t="shared" si="6"/>
        <v>3.295912989159274</v>
      </c>
      <c r="L43" s="200"/>
      <c r="M43" s="50"/>
      <c r="N43" s="112">
        <f t="shared" si="7"/>
        <v>1.9707963149169245E-2</v>
      </c>
      <c r="O43" s="79">
        <f t="shared" si="2"/>
        <v>0.72863533976250439</v>
      </c>
      <c r="P43" s="80">
        <f t="shared" si="8"/>
        <v>1.4359918425221848E-2</v>
      </c>
      <c r="Q43" s="80">
        <f t="shared" si="3"/>
        <v>-2.724694319187386E-2</v>
      </c>
      <c r="R43" s="113">
        <v>0.14850498963246994</v>
      </c>
      <c r="S43" s="50">
        <f>((1/3)*PI()*(R43^2)*((3*('BPV Calcs'!$B$8/12))-R43))-P43</f>
        <v>9.7479009578968663E-4</v>
      </c>
    </row>
    <row r="44" spans="1:20" x14ac:dyDescent="0.25">
      <c r="A44" s="92">
        <v>68</v>
      </c>
      <c r="B44" s="96">
        <v>732.80594538000003</v>
      </c>
      <c r="C44" s="94">
        <v>1.5233529932800001</v>
      </c>
      <c r="D44" s="95">
        <v>0.30654265819839999</v>
      </c>
      <c r="E44" s="50"/>
      <c r="F44" s="85">
        <f t="shared" si="9"/>
        <v>5.1078607093820678E-2</v>
      </c>
      <c r="G44" s="127">
        <f t="shared" si="10"/>
        <v>0.75122497093492424</v>
      </c>
      <c r="H44" s="74">
        <f t="shared" si="4"/>
        <v>3.8371525129451856E-2</v>
      </c>
      <c r="I44" s="75">
        <f t="shared" si="5"/>
        <v>-3.2353364876438542E-3</v>
      </c>
      <c r="J44" s="74" t="str">
        <f>IF(I44&gt;0, ('BPV Calcs'!$B$8/12)+(I44/(PI()*(('BPV Calcs'!$B$8/12)^2))), "Need to Use Goal Seek tool")</f>
        <v>Need to Use Goal Seek tool</v>
      </c>
      <c r="K44" s="86" t="e">
        <f t="shared" si="6"/>
        <v>#VALUE!</v>
      </c>
      <c r="L44" s="50" t="s">
        <v>53</v>
      </c>
      <c r="M44" s="50"/>
      <c r="N44" s="112">
        <f t="shared" si="7"/>
        <v>1.3849237062883164E-2</v>
      </c>
      <c r="O44" s="79">
        <f t="shared" si="2"/>
        <v>0.7286353397625045</v>
      </c>
      <c r="P44" s="80">
        <f t="shared" si="8"/>
        <v>1.0091043552765345E-2</v>
      </c>
      <c r="Q44" s="80">
        <f t="shared" si="3"/>
        <v>-3.1515818064330361E-2</v>
      </c>
      <c r="R44" s="113">
        <v>0.12149580367635861</v>
      </c>
      <c r="S44" s="50">
        <f>((1/3)*PI()*(R44^2)*((3*('BPV Calcs'!$B$8/12))-R44))-P44</f>
        <v>5.9044695958249474E-4</v>
      </c>
    </row>
    <row r="45" spans="1:20" x14ac:dyDescent="0.25">
      <c r="A45" s="92">
        <v>68.900000000000006</v>
      </c>
      <c r="B45" s="96">
        <v>741.15723342000001</v>
      </c>
      <c r="C45" s="94">
        <v>1.51585365648</v>
      </c>
      <c r="D45" s="95">
        <v>0.31179093275039999</v>
      </c>
      <c r="E45" s="50"/>
      <c r="F45" s="85">
        <f t="shared" si="9"/>
        <v>4.5391024185220959E-2</v>
      </c>
      <c r="G45" s="127">
        <f t="shared" si="10"/>
        <v>0.75122497093492435</v>
      </c>
      <c r="H45" s="74">
        <f t="shared" si="4"/>
        <v>3.4098870824249061E-2</v>
      </c>
      <c r="I45" s="75">
        <f t="shared" si="5"/>
        <v>-7.5079907928466486E-3</v>
      </c>
      <c r="J45" s="122">
        <v>0.24687064833561331</v>
      </c>
      <c r="K45" s="87">
        <f t="shared" si="6"/>
        <v>2.9624477800273596</v>
      </c>
      <c r="L45" s="50">
        <f>((1/3)*PI()*(J45^2)*((3*('BPV Calcs'!$B$8/12))-J45))-H45</f>
        <v>2.0004865604307878E-3</v>
      </c>
      <c r="M45" s="50"/>
      <c r="N45" s="112">
        <f t="shared" si="7"/>
        <v>7.7675006515787424E-3</v>
      </c>
      <c r="O45" s="79">
        <f t="shared" si="2"/>
        <v>0.72863533976250439</v>
      </c>
      <c r="P45" s="80">
        <f t="shared" si="8"/>
        <v>5.6596754763685508E-3</v>
      </c>
      <c r="Q45" s="80">
        <f t="shared" si="3"/>
        <v>-3.5947186140727158E-2</v>
      </c>
      <c r="R45" s="113">
        <v>9.2278680376457742E-2</v>
      </c>
      <c r="S45" s="50">
        <f>((1/3)*PI()*(R45^2)*((3*('BPV Calcs'!$B$8/12))-R45))-P45</f>
        <v>7.6272438697695157E-4</v>
      </c>
    </row>
    <row r="46" spans="1:20" x14ac:dyDescent="0.25">
      <c r="A46" s="92">
        <v>69.8</v>
      </c>
      <c r="B46" s="96">
        <v>749.58104045999994</v>
      </c>
      <c r="C46" s="94">
        <v>1.5082262585599999</v>
      </c>
      <c r="D46" s="95">
        <v>0.31717698942559996</v>
      </c>
      <c r="E46" s="50"/>
      <c r="F46" s="85">
        <f t="shared" si="9"/>
        <v>3.9483036942300216E-2</v>
      </c>
      <c r="G46" s="127">
        <f t="shared" si="10"/>
        <v>0.75122497093492435</v>
      </c>
      <c r="H46" s="74">
        <f t="shared" si="4"/>
        <v>2.9660643279402023E-2</v>
      </c>
      <c r="I46" s="75">
        <f t="shared" si="5"/>
        <v>-1.1946218337693687E-2</v>
      </c>
      <c r="J46" s="122">
        <v>0.22573990311305595</v>
      </c>
      <c r="K46" s="87">
        <f t="shared" si="6"/>
        <v>2.7088788373566715</v>
      </c>
      <c r="L46" s="50">
        <f>((1/3)*PI()*(J46^2)*((3*('BPV Calcs'!$B$8/12))-J46))-H46</f>
        <v>1.6509998273735796E-3</v>
      </c>
      <c r="M46" s="50"/>
      <c r="N46" s="112">
        <f t="shared" si="7"/>
        <v>1.4484372022368131E-3</v>
      </c>
      <c r="O46" s="79">
        <f t="shared" si="2"/>
        <v>0.72863533976250439</v>
      </c>
      <c r="P46" s="80">
        <f>O46*N46</f>
        <v>1.0553825329764717E-3</v>
      </c>
      <c r="Q46" s="80">
        <f t="shared" si="3"/>
        <v>-4.0551479084119241E-2</v>
      </c>
      <c r="R46" s="113">
        <v>4.3206062949403698E-2</v>
      </c>
      <c r="S46" s="50">
        <f>((1/3)*PI()*(R46^2)*((3*('BPV Calcs'!$B$8/12))-R46))-P46</f>
        <v>4.4848753591775789E-4</v>
      </c>
    </row>
    <row r="47" spans="1:20" ht="15.75" thickBot="1" x14ac:dyDescent="0.3">
      <c r="A47" s="97">
        <v>70</v>
      </c>
      <c r="B47" s="98">
        <f>B46+(((B48-B46)/($A$48-$A$46))*($A$47-$A$46))</f>
        <v>751.46975752666663</v>
      </c>
      <c r="C47" s="99">
        <f>C46+(((C48-C46)/($A$48-$A$46))*($A$47-$A$46))</f>
        <v>1.5065010984888887</v>
      </c>
      <c r="D47" s="100">
        <f>D46+(((D48-D46)/($A$48-$A$46))*($A$47-$A$46))</f>
        <v>0.31840613902737774</v>
      </c>
      <c r="E47" s="47"/>
      <c r="F47" s="88">
        <f t="shared" si="9"/>
        <v>3.8129176343576189E-2</v>
      </c>
      <c r="G47" s="128">
        <f t="shared" si="10"/>
        <v>0.75122497093492424</v>
      </c>
      <c r="H47" s="76">
        <f t="shared" si="4"/>
        <v>2.8643589390475625E-2</v>
      </c>
      <c r="I47" s="77">
        <f t="shared" si="5"/>
        <v>-1.2963272226620085E-2</v>
      </c>
      <c r="J47" s="123">
        <v>0.22082528187997902</v>
      </c>
      <c r="K47" s="87">
        <f t="shared" si="6"/>
        <v>2.6499033825597484</v>
      </c>
      <c r="L47" s="50">
        <f>((1/3)*PI()*(J47^2)*((3*('BPV Calcs'!$B$8/12))-J47))-H47</f>
        <v>1.5704796657203812E-3</v>
      </c>
      <c r="M47" s="50"/>
      <c r="N47" s="114">
        <f t="shared" si="7"/>
        <v>0</v>
      </c>
      <c r="O47" s="115">
        <f t="shared" si="2"/>
        <v>0.72863533976250439</v>
      </c>
      <c r="P47" s="116">
        <f>O47*N47</f>
        <v>0</v>
      </c>
      <c r="Q47" s="116">
        <f t="shared" si="3"/>
        <v>-4.160686161709571E-2</v>
      </c>
      <c r="R47" s="117">
        <v>2.9265192002976545E-2</v>
      </c>
      <c r="S47" s="50">
        <f>((1/3)*PI()*(R47^2)*((3*('BPV Calcs'!$B$8/12))-R47))-P47</f>
        <v>7.0246283708114458E-4</v>
      </c>
      <c r="T47" s="49"/>
    </row>
    <row r="48" spans="1:20" x14ac:dyDescent="0.25">
      <c r="A48" s="92">
        <v>70.7</v>
      </c>
      <c r="B48" s="96">
        <v>758.08026725999991</v>
      </c>
      <c r="C48" s="94">
        <v>1.5004630382399999</v>
      </c>
      <c r="D48" s="95">
        <v>0.32270816263359997</v>
      </c>
      <c r="E48" s="50"/>
      <c r="F48" s="85">
        <f t="shared" si="9"/>
        <v>3.3337176339955747E-2</v>
      </c>
      <c r="G48" s="127">
        <f t="shared" si="10"/>
        <v>0.75122497093492424</v>
      </c>
      <c r="H48" s="74">
        <f t="shared" si="4"/>
        <v>2.50437193270357E-2</v>
      </c>
      <c r="I48" s="75">
        <f t="shared" si="5"/>
        <v>-1.656314229006001E-2</v>
      </c>
      <c r="J48" s="122">
        <v>0.20311497711219526</v>
      </c>
      <c r="K48" s="87">
        <f t="shared" si="6"/>
        <v>2.437379725346343</v>
      </c>
      <c r="L48" s="50">
        <f>((1/3)*PI()*(J48^2)*((3*('BPV Calcs'!$B$8/12))-J48))-H48</f>
        <v>1.2834575105448859E-3</v>
      </c>
      <c r="M48" s="50"/>
      <c r="N48" s="50"/>
      <c r="O48" s="61"/>
      <c r="P48" s="50"/>
      <c r="Q48" s="50"/>
      <c r="R48" s="68"/>
      <c r="S48" s="50"/>
    </row>
    <row r="49" spans="1:20" x14ac:dyDescent="0.25">
      <c r="A49" s="92">
        <v>71.599999999999994</v>
      </c>
      <c r="B49" s="96">
        <v>766.65491381999993</v>
      </c>
      <c r="C49" s="94">
        <v>1.4925542939199998</v>
      </c>
      <c r="D49" s="95">
        <v>0.32839236888000001</v>
      </c>
      <c r="E49" s="50"/>
      <c r="F49" s="85">
        <f t="shared" si="9"/>
        <v>2.693291798927008E-2</v>
      </c>
      <c r="G49" s="127">
        <f t="shared" si="10"/>
        <v>0.75122497093492424</v>
      </c>
      <c r="H49" s="74">
        <f t="shared" si="4"/>
        <v>2.0232680533682115E-2</v>
      </c>
      <c r="I49" s="75">
        <f t="shared" si="5"/>
        <v>-2.1374181083413595E-2</v>
      </c>
      <c r="J49" s="122">
        <v>0.17870440324472858</v>
      </c>
      <c r="K49" s="87">
        <f t="shared" si="6"/>
        <v>2.144452838936743</v>
      </c>
      <c r="L49" s="50">
        <f>((1/3)*PI()*(J49^2)*((3*('BPV Calcs'!$B$8/12))-J49))-H49</f>
        <v>9.6304771475849704E-4</v>
      </c>
      <c r="M49" s="50"/>
      <c r="N49" s="50"/>
      <c r="O49" s="61"/>
      <c r="P49" s="50"/>
      <c r="Q49" s="50"/>
      <c r="R49" s="68"/>
      <c r="S49" s="50"/>
    </row>
    <row r="50" spans="1:20" x14ac:dyDescent="0.25">
      <c r="A50" s="92">
        <v>72.5</v>
      </c>
      <c r="B50" s="96">
        <v>775.30498014</v>
      </c>
      <c r="C50" s="94">
        <v>1.48449226432</v>
      </c>
      <c r="D50" s="95">
        <v>0.33423830079839995</v>
      </c>
      <c r="E50" s="50"/>
      <c r="F50" s="85">
        <f t="shared" si="9"/>
        <v>2.0249656851450533E-2</v>
      </c>
      <c r="G50" s="127">
        <f t="shared" si="10"/>
        <v>0.75122497093492424</v>
      </c>
      <c r="H50" s="74">
        <f t="shared" si="4"/>
        <v>1.5212047879673117E-2</v>
      </c>
      <c r="I50" s="75">
        <f t="shared" si="5"/>
        <v>-2.6394813737422591E-2</v>
      </c>
      <c r="J50" s="122">
        <v>0.14877637433762442</v>
      </c>
      <c r="K50" s="87">
        <f t="shared" si="6"/>
        <v>1.785316492051493</v>
      </c>
      <c r="L50" s="50">
        <f>((1/3)*PI()*(J50^2)*((3*('BPV Calcs'!$B$8/12))-J50))-H50</f>
        <v>1.7246807309537898E-4</v>
      </c>
      <c r="M50" s="50"/>
      <c r="N50" s="50"/>
      <c r="O50" s="61"/>
      <c r="P50" s="50"/>
      <c r="Q50" s="50"/>
      <c r="R50" s="68"/>
      <c r="S50" s="50"/>
    </row>
    <row r="51" spans="1:20" x14ac:dyDescent="0.25">
      <c r="A51" s="92">
        <v>73.400000000000006</v>
      </c>
      <c r="B51" s="96">
        <v>784.03191660000005</v>
      </c>
      <c r="C51" s="94">
        <v>1.4762691881599999</v>
      </c>
      <c r="D51" s="95">
        <v>0.34025552416639998</v>
      </c>
      <c r="E51" s="50"/>
      <c r="F51" s="85">
        <f t="shared" si="9"/>
        <v>1.3264956550221583E-2</v>
      </c>
      <c r="G51" s="127">
        <f t="shared" si="10"/>
        <v>0.75122497093492424</v>
      </c>
      <c r="H51" s="74">
        <f t="shared" si="4"/>
        <v>9.964966598893241E-3</v>
      </c>
      <c r="I51" s="75">
        <f t="shared" si="5"/>
        <v>-3.1641895018202471E-2</v>
      </c>
      <c r="J51" s="122">
        <v>0.11973998427717275</v>
      </c>
      <c r="K51" s="87">
        <f t="shared" si="6"/>
        <v>1.436879811326073</v>
      </c>
      <c r="L51" s="50">
        <f>((1/3)*PI()*(J51^2)*((3*('BPV Calcs'!$B$8/12))-J51))-H51</f>
        <v>4.3638614432493089E-4</v>
      </c>
      <c r="M51" s="50"/>
      <c r="N51" s="50"/>
      <c r="O51" s="137" t="s">
        <v>59</v>
      </c>
      <c r="P51" s="61"/>
      <c r="Q51" s="50"/>
      <c r="R51" s="68"/>
      <c r="S51" s="50"/>
    </row>
    <row r="52" spans="1:20" x14ac:dyDescent="0.25">
      <c r="A52" s="92">
        <v>74.3</v>
      </c>
      <c r="B52" s="96">
        <v>792.83572320000007</v>
      </c>
      <c r="C52" s="94">
        <v>1.4678734235199999</v>
      </c>
      <c r="D52" s="95">
        <v>0.34645449730880001</v>
      </c>
      <c r="E52" s="50"/>
      <c r="F52" s="85">
        <f t="shared" si="9"/>
        <v>5.9508601980526824E-3</v>
      </c>
      <c r="G52" s="127">
        <f t="shared" si="10"/>
        <v>0.75122497093492424</v>
      </c>
      <c r="H52" s="74">
        <f t="shared" si="4"/>
        <v>4.4704347793199243E-3</v>
      </c>
      <c r="I52" s="75">
        <f t="shared" si="5"/>
        <v>-3.7136426837775786E-2</v>
      </c>
      <c r="J52" s="122">
        <v>7.5494467975184554E-2</v>
      </c>
      <c r="K52" s="87">
        <f t="shared" si="6"/>
        <v>0.90593361570221465</v>
      </c>
      <c r="L52" s="50">
        <f>((1/3)*PI()*(J52^2)*((3*('BPV Calcs'!$B$8/12))-J52))-H52</f>
        <v>-7.1681298582215031E-5</v>
      </c>
      <c r="M52" s="50"/>
      <c r="N52" s="50"/>
      <c r="O52" s="61"/>
      <c r="P52" s="50"/>
      <c r="Q52" s="50"/>
      <c r="R52" s="68"/>
      <c r="S52" s="50"/>
    </row>
    <row r="53" spans="1:20" ht="15.75" thickBot="1" x14ac:dyDescent="0.3">
      <c r="A53" s="97">
        <v>75</v>
      </c>
      <c r="B53" s="98">
        <f>B52+(((B54-B52)/($A$54-$A$52))*($A$53-$A$52))</f>
        <v>799.74517236666668</v>
      </c>
      <c r="C53" s="99">
        <f t="shared" ref="C53:D53" si="11">C52+(((C54-C52)/($A$54-$A$52))*($A$53-$A$52))</f>
        <v>1.4612000162666667</v>
      </c>
      <c r="D53" s="100">
        <f t="shared" si="11"/>
        <v>0.35142632153493331</v>
      </c>
      <c r="E53" s="47"/>
      <c r="F53" s="89">
        <f t="shared" si="9"/>
        <v>0</v>
      </c>
      <c r="G53" s="129">
        <f t="shared" si="10"/>
        <v>0.75122497093492424</v>
      </c>
      <c r="H53" s="126">
        <f t="shared" si="4"/>
        <v>0</v>
      </c>
      <c r="I53" s="90">
        <f t="shared" si="5"/>
        <v>-4.160686161709571E-2</v>
      </c>
      <c r="J53" s="124">
        <v>0</v>
      </c>
      <c r="K53" s="91">
        <f t="shared" si="6"/>
        <v>0</v>
      </c>
      <c r="L53" s="50">
        <f>((1/3)*PI()*(J53^2)*((3*('BPV Calcs'!$B$8/12))-J53))-H53</f>
        <v>0</v>
      </c>
      <c r="M53" s="50"/>
      <c r="N53" s="50"/>
      <c r="O53" s="61"/>
      <c r="P53" s="47"/>
      <c r="Q53" s="47"/>
      <c r="R53" s="69"/>
      <c r="S53" s="47"/>
      <c r="T53" s="40"/>
    </row>
    <row r="54" spans="1:20" ht="15.75" thickBot="1" x14ac:dyDescent="0.3">
      <c r="A54" s="92">
        <v>75.2</v>
      </c>
      <c r="B54" s="96">
        <v>801.71930069999996</v>
      </c>
      <c r="C54" s="94">
        <v>1.45929332848</v>
      </c>
      <c r="D54" s="95">
        <v>0.35284684274239997</v>
      </c>
      <c r="E54" s="50"/>
      <c r="F54" s="17"/>
      <c r="G54" s="38"/>
      <c r="H54" s="38"/>
      <c r="I54" s="17"/>
      <c r="J54" s="50"/>
      <c r="K54" s="50"/>
      <c r="L54" s="17"/>
      <c r="M54" s="17"/>
      <c r="N54" s="50"/>
      <c r="O54" s="50"/>
      <c r="P54" s="50"/>
      <c r="Q54" s="50"/>
      <c r="R54" s="68"/>
      <c r="S54" s="50"/>
    </row>
    <row r="55" spans="1:20" x14ac:dyDescent="0.25">
      <c r="A55" s="92">
        <v>76.099999999999994</v>
      </c>
      <c r="B55" s="96">
        <v>810.68264910000005</v>
      </c>
      <c r="C55" s="94">
        <v>1.4505153208000001</v>
      </c>
      <c r="D55" s="95">
        <v>0.35944542478879998</v>
      </c>
      <c r="E55" s="50"/>
      <c r="F55" s="81" t="s">
        <v>43</v>
      </c>
      <c r="G55" s="130">
        <f>(2/3)*PI()*(('BPV Calcs'!B8/12)^3)</f>
        <v>4.160686161709571E-2</v>
      </c>
      <c r="H55" s="38"/>
      <c r="I55" s="17"/>
      <c r="J55" s="50"/>
      <c r="K55" s="50"/>
      <c r="L55" s="17"/>
      <c r="M55" s="17"/>
      <c r="N55" s="17"/>
      <c r="O55" s="17"/>
      <c r="P55" s="17"/>
      <c r="Q55" s="17"/>
      <c r="R55" s="70"/>
      <c r="S55" s="17"/>
    </row>
    <row r="56" spans="1:20" x14ac:dyDescent="0.25">
      <c r="A56" s="92">
        <v>77</v>
      </c>
      <c r="B56" s="96">
        <v>819.72576839999999</v>
      </c>
      <c r="C56" s="94">
        <v>1.4415277585599999</v>
      </c>
      <c r="D56" s="95">
        <v>0.36626458241279997</v>
      </c>
      <c r="E56" s="50"/>
      <c r="F56" s="82" t="s">
        <v>45</v>
      </c>
      <c r="G56" s="38">
        <f>G4-(2*G55)</f>
        <v>0.66801124770073284</v>
      </c>
      <c r="H56" s="38"/>
      <c r="I56" s="17"/>
      <c r="J56" s="50"/>
      <c r="K56" s="50"/>
      <c r="L56" s="17"/>
      <c r="M56" s="17"/>
      <c r="N56" s="17"/>
      <c r="O56" s="17"/>
      <c r="P56" s="17"/>
      <c r="Q56" s="17"/>
      <c r="R56" s="70"/>
      <c r="S56" s="17"/>
    </row>
    <row r="57" spans="1:20" x14ac:dyDescent="0.25">
      <c r="A57" s="92">
        <v>77.900000000000006</v>
      </c>
      <c r="B57" s="96">
        <v>828.85010898000007</v>
      </c>
      <c r="C57" s="94">
        <v>1.4323131788799999</v>
      </c>
      <c r="D57" s="95">
        <v>0.37332036206079999</v>
      </c>
      <c r="E57" s="50"/>
      <c r="F57" s="82" t="s">
        <v>44</v>
      </c>
      <c r="G57" s="38">
        <f>G56/(PI()*(('BPV Calcs'!B8/12)^2))</f>
        <v>2.8988762251754956</v>
      </c>
      <c r="H57" s="38"/>
      <c r="I57" s="17"/>
      <c r="J57" s="17"/>
      <c r="K57" s="17"/>
      <c r="L57" s="17"/>
      <c r="M57" s="17"/>
      <c r="N57" s="17"/>
      <c r="O57" s="17"/>
      <c r="P57" s="17"/>
      <c r="Q57" s="17"/>
      <c r="R57" s="70"/>
      <c r="S57" s="17"/>
    </row>
    <row r="58" spans="1:20" ht="15.75" thickBot="1" x14ac:dyDescent="0.3">
      <c r="A58" s="92">
        <v>78.8</v>
      </c>
      <c r="B58" s="96">
        <v>838.05712122</v>
      </c>
      <c r="C58" s="94">
        <v>1.4228541188799999</v>
      </c>
      <c r="D58" s="95">
        <v>0.38063080870880001</v>
      </c>
      <c r="E58" s="50"/>
      <c r="F58" s="83" t="s">
        <v>46</v>
      </c>
      <c r="G58" s="131">
        <f>G57+(2*'BPV Calcs'!B8/12)</f>
        <v>3.4405428918421621</v>
      </c>
      <c r="H58" s="38"/>
      <c r="I58" s="17"/>
      <c r="J58" s="17"/>
      <c r="K58" s="17"/>
      <c r="L58" s="17"/>
      <c r="M58" s="17"/>
      <c r="N58" s="17"/>
      <c r="O58" s="17"/>
      <c r="P58" s="17"/>
      <c r="Q58" s="17"/>
      <c r="R58" s="70"/>
      <c r="S58" s="17"/>
    </row>
    <row r="59" spans="1:20" x14ac:dyDescent="0.25">
      <c r="A59" s="92">
        <v>79.7</v>
      </c>
      <c r="B59" s="96">
        <v>847.34825549999994</v>
      </c>
      <c r="C59" s="94">
        <v>1.41312923504</v>
      </c>
      <c r="D59" s="95">
        <v>0.38821637332959996</v>
      </c>
      <c r="E59" s="50"/>
      <c r="F59" s="17"/>
      <c r="G59" s="38"/>
      <c r="H59" s="38"/>
      <c r="I59" s="17"/>
      <c r="J59" s="17"/>
      <c r="K59" s="17"/>
      <c r="L59" s="17"/>
      <c r="M59" s="17"/>
      <c r="N59" s="17"/>
      <c r="O59" s="17"/>
      <c r="P59" s="17"/>
      <c r="Q59" s="17"/>
      <c r="R59" s="70"/>
      <c r="S59" s="17"/>
    </row>
    <row r="60" spans="1:20" x14ac:dyDescent="0.25">
      <c r="A60" s="92">
        <v>80.599999999999994</v>
      </c>
      <c r="B60" s="96">
        <v>856.72351182</v>
      </c>
      <c r="C60" s="94">
        <v>1.4031171838399998</v>
      </c>
      <c r="D60" s="95">
        <v>0.3961002815536</v>
      </c>
      <c r="E60" s="50"/>
      <c r="F60" s="183"/>
      <c r="G60" s="183"/>
      <c r="H60" s="38"/>
      <c r="I60" s="17"/>
      <c r="J60" s="17"/>
      <c r="K60" s="17"/>
      <c r="L60" s="17"/>
      <c r="M60" s="17"/>
      <c r="N60" s="183"/>
      <c r="O60" s="183"/>
      <c r="P60" s="17"/>
      <c r="Q60" s="17"/>
      <c r="R60" s="70"/>
      <c r="S60" s="17"/>
    </row>
    <row r="61" spans="1:20" x14ac:dyDescent="0.25">
      <c r="A61" s="92">
        <v>81.5</v>
      </c>
      <c r="B61" s="96">
        <v>866.18579093999995</v>
      </c>
      <c r="C61" s="94">
        <v>1.3927888604799998</v>
      </c>
      <c r="D61" s="95">
        <v>0.40430919337760002</v>
      </c>
      <c r="E61" s="50"/>
      <c r="F61" s="17"/>
      <c r="G61" s="38"/>
      <c r="H61" s="38"/>
      <c r="I61" s="17"/>
      <c r="J61" s="17"/>
      <c r="K61" s="17"/>
      <c r="L61" s="17"/>
      <c r="M61" s="17"/>
      <c r="N61" s="17"/>
      <c r="O61" s="17"/>
      <c r="P61" s="17"/>
      <c r="Q61" s="17"/>
      <c r="R61" s="70"/>
      <c r="S61" s="17"/>
    </row>
    <row r="62" spans="1:20" x14ac:dyDescent="0.25">
      <c r="A62" s="92">
        <v>82.4</v>
      </c>
      <c r="B62" s="96">
        <v>875.73364248000007</v>
      </c>
      <c r="C62" s="94">
        <v>1.3821171004799999</v>
      </c>
      <c r="D62" s="95">
        <v>0.41287390167999999</v>
      </c>
      <c r="E62" s="50"/>
      <c r="F62" s="17"/>
      <c r="G62" s="38"/>
      <c r="H62" s="38"/>
      <c r="I62" s="17"/>
      <c r="J62" s="17"/>
      <c r="K62" s="17"/>
      <c r="L62" s="17"/>
      <c r="M62" s="17"/>
      <c r="N62" s="17"/>
      <c r="O62" s="17"/>
      <c r="P62" s="17"/>
      <c r="Q62" s="17"/>
      <c r="R62" s="70"/>
      <c r="S62" s="17"/>
    </row>
    <row r="63" spans="1:20" x14ac:dyDescent="0.25">
      <c r="A63" s="92">
        <v>83.3</v>
      </c>
      <c r="B63" s="96">
        <v>885.37141757999996</v>
      </c>
      <c r="C63" s="94">
        <v>1.37106309744</v>
      </c>
      <c r="D63" s="95">
        <v>0.42183024417120002</v>
      </c>
      <c r="E63" s="50"/>
      <c r="F63" s="17"/>
      <c r="G63" s="38"/>
      <c r="H63" s="38"/>
      <c r="I63" s="17"/>
      <c r="J63" s="17"/>
      <c r="K63" s="17"/>
      <c r="L63" s="17"/>
      <c r="M63" s="17"/>
      <c r="N63" s="17"/>
      <c r="O63" s="17"/>
      <c r="P63" s="17"/>
      <c r="Q63" s="17"/>
      <c r="R63" s="70"/>
      <c r="S63" s="17"/>
    </row>
    <row r="64" spans="1:20" x14ac:dyDescent="0.25">
      <c r="A64" s="92">
        <v>84.2</v>
      </c>
      <c r="B64" s="96">
        <v>895.10056662</v>
      </c>
      <c r="C64" s="94">
        <v>1.35958416432</v>
      </c>
      <c r="D64" s="95">
        <v>0.43122034519840002</v>
      </c>
      <c r="E64" s="50"/>
      <c r="F64" s="17"/>
      <c r="G64" s="38"/>
      <c r="H64" s="38"/>
      <c r="I64" s="17"/>
      <c r="J64" s="17"/>
      <c r="K64" s="17"/>
      <c r="L64" s="17"/>
      <c r="M64" s="17"/>
      <c r="N64" s="17"/>
      <c r="O64" s="17"/>
      <c r="P64" s="17"/>
      <c r="Q64" s="17"/>
      <c r="R64" s="70"/>
      <c r="S64" s="17"/>
    </row>
    <row r="65" spans="1:20" x14ac:dyDescent="0.25">
      <c r="A65" s="92">
        <v>85.1</v>
      </c>
      <c r="B65" s="96">
        <v>904.91963922000002</v>
      </c>
      <c r="C65" s="94">
        <v>1.3476317931200001</v>
      </c>
      <c r="D65" s="95">
        <v>0.44109424561439997</v>
      </c>
      <c r="E65" s="50"/>
      <c r="F65" s="17"/>
      <c r="G65" s="38"/>
      <c r="H65" s="38"/>
      <c r="I65" s="17"/>
      <c r="J65" s="17"/>
      <c r="K65" s="17"/>
      <c r="L65" s="17"/>
      <c r="M65" s="17"/>
      <c r="N65" s="17"/>
      <c r="O65" s="17"/>
      <c r="P65" s="17"/>
      <c r="Q65" s="17"/>
      <c r="R65" s="70"/>
      <c r="S65" s="17"/>
    </row>
    <row r="66" spans="1:20" x14ac:dyDescent="0.25">
      <c r="A66" s="92">
        <v>86</v>
      </c>
      <c r="B66" s="96">
        <v>914.83443690000001</v>
      </c>
      <c r="C66" s="94">
        <v>1.33514583392</v>
      </c>
      <c r="D66" s="95">
        <v>0.45151211474239994</v>
      </c>
      <c r="E66" s="50"/>
      <c r="F66" s="17"/>
      <c r="G66" s="38"/>
      <c r="H66" s="38"/>
      <c r="I66" s="17"/>
      <c r="J66" s="17"/>
      <c r="K66" s="17"/>
      <c r="L66" s="17"/>
      <c r="M66" s="17"/>
      <c r="N66" s="17"/>
      <c r="O66" s="17"/>
      <c r="P66" s="17"/>
      <c r="Q66" s="17"/>
      <c r="R66" s="70"/>
      <c r="S66" s="17"/>
    </row>
    <row r="67" spans="1:20" x14ac:dyDescent="0.25">
      <c r="A67" s="92">
        <v>86.9</v>
      </c>
      <c r="B67" s="96">
        <v>924.84350928000003</v>
      </c>
      <c r="C67" s="94">
        <v>1.3220506142399999</v>
      </c>
      <c r="D67" s="95">
        <v>0.4625472966784</v>
      </c>
      <c r="E67" s="50"/>
      <c r="F67" s="17"/>
      <c r="G67" s="38"/>
      <c r="H67" s="38"/>
      <c r="I67" s="17"/>
      <c r="J67" s="17"/>
      <c r="K67" s="17"/>
      <c r="L67" s="17"/>
      <c r="M67" s="17"/>
      <c r="N67" s="17"/>
      <c r="O67" s="17"/>
      <c r="P67" s="17"/>
      <c r="Q67" s="17"/>
      <c r="R67" s="70"/>
      <c r="S67" s="17"/>
    </row>
    <row r="68" spans="1:20" x14ac:dyDescent="0.25">
      <c r="A68" s="92">
        <v>87.8</v>
      </c>
      <c r="B68" s="96">
        <v>934.95120750000012</v>
      </c>
      <c r="C68" s="94">
        <v>1.30825687936</v>
      </c>
      <c r="D68" s="95">
        <v>0.47429065660800002</v>
      </c>
      <c r="E68" s="50"/>
      <c r="F68" s="17"/>
      <c r="G68" s="38"/>
      <c r="H68" s="38"/>
      <c r="I68" s="17"/>
      <c r="J68" s="17"/>
      <c r="K68" s="17"/>
      <c r="L68" s="17"/>
      <c r="M68" s="17"/>
      <c r="N68" s="17"/>
      <c r="O68" s="17"/>
      <c r="P68" s="17"/>
      <c r="Q68" s="17"/>
      <c r="R68" s="70"/>
      <c r="S68" s="17"/>
    </row>
    <row r="69" spans="1:20" x14ac:dyDescent="0.25">
      <c r="A69" s="92">
        <v>88.7</v>
      </c>
      <c r="B69" s="96">
        <v>945.16043231999993</v>
      </c>
      <c r="C69" s="94">
        <v>1.29364626976</v>
      </c>
      <c r="D69" s="95">
        <v>0.48685690624959999</v>
      </c>
      <c r="E69" s="50"/>
      <c r="F69" s="17"/>
      <c r="G69" s="38"/>
      <c r="H69" s="38"/>
      <c r="I69" s="17"/>
      <c r="J69" s="17"/>
      <c r="K69" s="17"/>
      <c r="L69" s="17"/>
      <c r="M69" s="17"/>
      <c r="N69" s="17"/>
      <c r="O69" s="17"/>
      <c r="P69" s="17"/>
      <c r="Q69" s="17"/>
      <c r="R69" s="70"/>
      <c r="S69" s="17"/>
    </row>
    <row r="70" spans="1:20" x14ac:dyDescent="0.25">
      <c r="A70" s="92">
        <v>89.6</v>
      </c>
      <c r="B70" s="96">
        <v>955.47118374000013</v>
      </c>
      <c r="C70" s="94">
        <v>1.2780693808000001</v>
      </c>
      <c r="D70" s="95">
        <v>0.50039415022879996</v>
      </c>
      <c r="E70" s="50"/>
      <c r="F70" s="17"/>
      <c r="G70" s="38"/>
      <c r="H70" s="38"/>
      <c r="I70" s="17"/>
      <c r="J70" s="17"/>
      <c r="K70" s="17"/>
      <c r="L70" s="17"/>
      <c r="M70" s="17"/>
      <c r="N70" s="17"/>
      <c r="O70" s="17"/>
      <c r="P70" s="17"/>
      <c r="Q70" s="17"/>
      <c r="R70" s="70"/>
      <c r="S70" s="17"/>
    </row>
    <row r="71" spans="1:20" x14ac:dyDescent="0.25">
      <c r="A71" s="92">
        <v>90.5</v>
      </c>
      <c r="B71" s="96">
        <v>965.88781289999997</v>
      </c>
      <c r="C71" s="94">
        <v>1.2613302401599999</v>
      </c>
      <c r="D71" s="95">
        <v>0.51509886534880001</v>
      </c>
      <c r="E71" s="50"/>
      <c r="F71" s="17"/>
      <c r="G71" s="38"/>
      <c r="H71" s="38"/>
      <c r="I71" s="17"/>
      <c r="J71" s="17"/>
      <c r="K71" s="17"/>
      <c r="L71" s="17"/>
      <c r="M71" s="17"/>
      <c r="N71" s="17"/>
      <c r="O71" s="17"/>
      <c r="P71" s="17"/>
      <c r="Q71" s="17"/>
      <c r="R71" s="70"/>
      <c r="S71" s="17"/>
    </row>
    <row r="72" spans="1:20" x14ac:dyDescent="0.25">
      <c r="A72" s="92">
        <v>91.4</v>
      </c>
      <c r="B72" s="96">
        <v>976.41612132</v>
      </c>
      <c r="C72" s="94">
        <v>1.24315138208</v>
      </c>
      <c r="D72" s="95">
        <v>0.53124065907359996</v>
      </c>
      <c r="E72" s="50"/>
      <c r="F72" s="17"/>
      <c r="G72" s="38"/>
      <c r="H72" s="38"/>
      <c r="I72" s="17"/>
      <c r="J72" s="17"/>
      <c r="K72" s="17"/>
      <c r="L72" s="17"/>
      <c r="M72" s="17"/>
      <c r="N72" s="17"/>
      <c r="O72" s="17"/>
      <c r="P72" s="17"/>
      <c r="Q72" s="17"/>
      <c r="R72" s="70"/>
      <c r="S72" s="17"/>
    </row>
    <row r="73" spans="1:20" x14ac:dyDescent="0.25">
      <c r="A73" s="92">
        <v>92.3</v>
      </c>
      <c r="B73" s="96">
        <v>987.05610900000011</v>
      </c>
      <c r="C73" s="94">
        <v>1.2231428022399999</v>
      </c>
      <c r="D73" s="95">
        <v>0.54920555806720006</v>
      </c>
      <c r="E73" s="50"/>
      <c r="F73" s="17"/>
      <c r="G73" s="38"/>
      <c r="H73" s="38"/>
      <c r="I73" s="17"/>
      <c r="J73" s="17"/>
      <c r="K73" s="17"/>
      <c r="L73" s="17"/>
      <c r="M73" s="17"/>
      <c r="N73" s="17"/>
      <c r="O73" s="17"/>
      <c r="P73" s="17"/>
      <c r="Q73" s="17"/>
      <c r="R73" s="70"/>
      <c r="S73" s="17"/>
    </row>
    <row r="74" spans="1:20" x14ac:dyDescent="0.25">
      <c r="A74" s="92">
        <v>93.2</v>
      </c>
      <c r="B74" s="96">
        <v>997.81792859999996</v>
      </c>
      <c r="C74" s="94">
        <v>1.20071076272</v>
      </c>
      <c r="D74" s="95">
        <v>0.56957841358399997</v>
      </c>
      <c r="E74" s="50"/>
      <c r="F74" s="17"/>
      <c r="G74" s="38"/>
      <c r="H74" s="38"/>
      <c r="I74" s="17"/>
      <c r="J74" s="17"/>
      <c r="K74" s="17"/>
      <c r="L74" s="17"/>
      <c r="M74" s="17"/>
      <c r="N74" s="17"/>
      <c r="O74" s="17"/>
      <c r="P74" s="17"/>
      <c r="Q74" s="17"/>
      <c r="R74" s="70"/>
      <c r="S74" s="17"/>
    </row>
    <row r="75" spans="1:20" x14ac:dyDescent="0.25">
      <c r="A75" s="92">
        <v>94.1</v>
      </c>
      <c r="B75" s="96">
        <v>1008.70448088</v>
      </c>
      <c r="C75" s="94">
        <v>1.1748812228800001</v>
      </c>
      <c r="D75" s="95">
        <v>0.59331624965759999</v>
      </c>
      <c r="E75" s="50"/>
      <c r="F75" s="17"/>
      <c r="G75" s="38"/>
      <c r="H75" s="38"/>
      <c r="I75" s="17"/>
      <c r="J75" s="17"/>
      <c r="K75" s="17"/>
      <c r="L75" s="17"/>
      <c r="M75" s="17"/>
      <c r="N75" s="17"/>
      <c r="O75" s="17"/>
      <c r="P75" s="17"/>
      <c r="Q75" s="17"/>
      <c r="R75" s="70"/>
      <c r="S75" s="17"/>
    </row>
    <row r="76" spans="1:20" x14ac:dyDescent="0.25">
      <c r="A76" s="92">
        <v>95</v>
      </c>
      <c r="B76" s="96">
        <v>1019.7259185</v>
      </c>
      <c r="C76" s="94">
        <v>1.143867148</v>
      </c>
      <c r="D76" s="95">
        <v>0.6221741633408</v>
      </c>
      <c r="E76" s="50"/>
      <c r="F76" s="17"/>
      <c r="G76" s="38"/>
      <c r="H76" s="38"/>
      <c r="I76" s="17"/>
      <c r="J76" s="17"/>
      <c r="K76" s="17"/>
      <c r="L76" s="17"/>
      <c r="M76" s="17"/>
      <c r="N76" s="17"/>
      <c r="O76" s="17"/>
      <c r="P76" s="17"/>
      <c r="Q76" s="17"/>
      <c r="R76" s="70"/>
      <c r="S76" s="17"/>
    </row>
    <row r="77" spans="1:20" x14ac:dyDescent="0.25">
      <c r="A77" s="92">
        <v>95.9</v>
      </c>
      <c r="B77" s="96">
        <v>1030.8938445000001</v>
      </c>
      <c r="C77" s="94">
        <v>1.1037122256</v>
      </c>
      <c r="D77" s="95">
        <v>0.66003374539039994</v>
      </c>
      <c r="E77" s="50"/>
      <c r="F77" s="17"/>
      <c r="G77" s="38"/>
      <c r="H77" s="38"/>
      <c r="I77" s="17"/>
      <c r="J77" s="17"/>
      <c r="K77" s="17"/>
      <c r="L77" s="17"/>
      <c r="M77" s="17"/>
      <c r="N77" s="17"/>
      <c r="O77" s="17"/>
      <c r="P77" s="17"/>
      <c r="Q77" s="17"/>
      <c r="R77" s="70"/>
      <c r="S77" s="17"/>
    </row>
    <row r="78" spans="1:20" x14ac:dyDescent="0.25">
      <c r="A78" s="92">
        <v>96.8</v>
      </c>
      <c r="B78" s="96">
        <v>1042.23146496</v>
      </c>
      <c r="C78" s="94">
        <v>1.04153273088</v>
      </c>
      <c r="D78" s="95">
        <v>0.7195324357888</v>
      </c>
      <c r="E78" s="50"/>
      <c r="F78" s="17"/>
      <c r="G78" s="38"/>
      <c r="H78" s="38"/>
      <c r="I78" s="17"/>
      <c r="J78" s="17"/>
      <c r="K78" s="17"/>
      <c r="L78" s="17"/>
      <c r="M78" s="17"/>
      <c r="N78" s="17"/>
      <c r="O78" s="17"/>
      <c r="P78" s="17"/>
      <c r="Q78" s="17"/>
      <c r="R78" s="70"/>
      <c r="S78" s="17"/>
    </row>
    <row r="79" spans="1:20" ht="15.75" thickBot="1" x14ac:dyDescent="0.3">
      <c r="A79" s="101">
        <v>97.47</v>
      </c>
      <c r="B79" s="102">
        <v>1050.8003100000001</v>
      </c>
      <c r="C79" s="103">
        <v>0.87704598352000007</v>
      </c>
      <c r="D79" s="104">
        <v>0.8770468760672</v>
      </c>
      <c r="E79" s="66"/>
      <c r="F79" s="17"/>
      <c r="G79" s="38"/>
      <c r="H79" s="38"/>
      <c r="I79" s="17"/>
      <c r="J79" s="17"/>
      <c r="K79" s="17"/>
      <c r="L79" s="18"/>
      <c r="M79" s="18"/>
      <c r="N79" s="17"/>
      <c r="O79" s="17"/>
      <c r="P79" s="17"/>
      <c r="Q79" s="17"/>
      <c r="R79" s="70"/>
      <c r="S79" s="17"/>
      <c r="T79" s="22"/>
    </row>
    <row r="80" spans="1:20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10">
    <mergeCell ref="O1:P1"/>
    <mergeCell ref="R1:R2"/>
    <mergeCell ref="N60:O60"/>
    <mergeCell ref="J2:K2"/>
    <mergeCell ref="L42:L43"/>
    <mergeCell ref="F60:G60"/>
    <mergeCell ref="A1:D1"/>
    <mergeCell ref="F1:F3"/>
    <mergeCell ref="I1:I2"/>
    <mergeCell ref="N1:N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D90F-7C71-49F2-B312-218C914DF272}">
  <dimension ref="A1:F4"/>
  <sheetViews>
    <sheetView zoomScale="55" zoomScaleNormal="55" workbookViewId="0">
      <selection activeCell="C6" sqref="C6"/>
    </sheetView>
  </sheetViews>
  <sheetFormatPr defaultRowHeight="15" x14ac:dyDescent="0.25"/>
  <cols>
    <col min="1" max="1" width="25.5703125" bestFit="1" customWidth="1"/>
    <col min="2" max="2" width="12.5703125" bestFit="1" customWidth="1"/>
    <col min="3" max="3" width="10.85546875" bestFit="1" customWidth="1"/>
    <col min="4" max="4" width="16.140625" bestFit="1" customWidth="1"/>
  </cols>
  <sheetData>
    <row r="1" spans="1:6" x14ac:dyDescent="0.25">
      <c r="A1" s="149" t="s">
        <v>64</v>
      </c>
      <c r="B1" s="149">
        <v>9.8000000000000004E-2</v>
      </c>
      <c r="D1" t="s">
        <v>69</v>
      </c>
      <c r="F1">
        <v>32.200000000000003</v>
      </c>
    </row>
    <row r="2" spans="1:6" x14ac:dyDescent="0.25">
      <c r="B2" s="40" t="s">
        <v>65</v>
      </c>
      <c r="C2" s="40" t="s">
        <v>68</v>
      </c>
      <c r="D2" s="40"/>
    </row>
    <row r="3" spans="1:6" x14ac:dyDescent="0.25">
      <c r="A3" s="40" t="s">
        <v>66</v>
      </c>
      <c r="B3">
        <v>35.567999999999998</v>
      </c>
      <c r="C3">
        <f>B3*$B$1</f>
        <v>3.4856639999999999</v>
      </c>
      <c r="D3">
        <f>C3-C4</f>
        <v>1.2031361999999999</v>
      </c>
      <c r="E3" t="s">
        <v>70</v>
      </c>
    </row>
    <row r="4" spans="1:6" x14ac:dyDescent="0.25">
      <c r="A4" s="40" t="s">
        <v>67</v>
      </c>
      <c r="B4">
        <v>23.2911</v>
      </c>
      <c r="C4">
        <f>B4*$B$1</f>
        <v>2.2825278</v>
      </c>
      <c r="D4">
        <f>D3*2</f>
        <v>2.4062723999999998</v>
      </c>
      <c r="E4" t="s">
        <v>71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FB6F-B5B6-45D0-A077-A1579B76EE79}">
  <dimension ref="A1:M28"/>
  <sheetViews>
    <sheetView workbookViewId="0">
      <selection activeCell="A2" sqref="A2"/>
    </sheetView>
  </sheetViews>
  <sheetFormatPr defaultRowHeight="15" x14ac:dyDescent="0.25"/>
  <cols>
    <col min="1" max="1" width="34.5703125" customWidth="1"/>
    <col min="8" max="8" width="27.5703125" customWidth="1"/>
    <col min="9" max="9" width="10.85546875" customWidth="1"/>
    <col min="12" max="12" width="15.42578125" bestFit="1" customWidth="1"/>
  </cols>
  <sheetData>
    <row r="1" spans="1:13" ht="21.75" customHeight="1" x14ac:dyDescent="0.25">
      <c r="A1" s="160" t="s">
        <v>94</v>
      </c>
      <c r="H1" t="s">
        <v>72</v>
      </c>
      <c r="I1">
        <v>0.125</v>
      </c>
      <c r="L1" t="s">
        <v>80</v>
      </c>
      <c r="M1">
        <v>32.164000000000001</v>
      </c>
    </row>
    <row r="2" spans="1:13" x14ac:dyDescent="0.25">
      <c r="A2" t="s">
        <v>86</v>
      </c>
      <c r="B2">
        <f>(4*I16)/(I17*PI()*(I19^2))</f>
        <v>7398.4911863549469</v>
      </c>
      <c r="H2" s="163" t="s">
        <v>83</v>
      </c>
      <c r="I2" s="163">
        <f>'BPV Calcs'!B11</f>
        <v>33000</v>
      </c>
    </row>
    <row r="3" spans="1:13" x14ac:dyDescent="0.25">
      <c r="A3" t="s">
        <v>103</v>
      </c>
      <c r="B3">
        <f>I6</f>
        <v>72000</v>
      </c>
      <c r="H3" s="163" t="s">
        <v>108</v>
      </c>
      <c r="I3" s="163">
        <v>85000</v>
      </c>
      <c r="J3" t="s">
        <v>107</v>
      </c>
    </row>
    <row r="4" spans="1:13" x14ac:dyDescent="0.25">
      <c r="A4" s="40" t="s">
        <v>5</v>
      </c>
      <c r="B4" s="40">
        <f>B3/B2</f>
        <v>9.7317139652460156</v>
      </c>
      <c r="H4" s="164" t="s">
        <v>88</v>
      </c>
      <c r="I4">
        <v>120000</v>
      </c>
    </row>
    <row r="5" spans="1:13" x14ac:dyDescent="0.25">
      <c r="A5" s="40"/>
      <c r="B5" s="40"/>
      <c r="H5" s="164" t="s">
        <v>89</v>
      </c>
      <c r="I5">
        <v>0.6</v>
      </c>
    </row>
    <row r="6" spans="1:13" x14ac:dyDescent="0.25">
      <c r="A6" s="40"/>
      <c r="B6" s="40"/>
      <c r="H6" s="164" t="s">
        <v>90</v>
      </c>
      <c r="I6">
        <f>I4*I5</f>
        <v>72000</v>
      </c>
    </row>
    <row r="7" spans="1:13" ht="20.25" customHeight="1" x14ac:dyDescent="0.25">
      <c r="A7" s="161" t="s">
        <v>93</v>
      </c>
      <c r="H7" s="162" t="s">
        <v>73</v>
      </c>
      <c r="I7" s="162"/>
    </row>
    <row r="8" spans="1:13" x14ac:dyDescent="0.25">
      <c r="A8" s="156" t="s">
        <v>96</v>
      </c>
      <c r="B8">
        <f>I16*I18/(PI()*('BPV Calcs'!B12-(2*'RT Mounting Bolt Calcs'!I1))*'RT Mounting Bolt Calcs'!I1)</f>
        <v>1096.072768348881</v>
      </c>
      <c r="C8" t="s">
        <v>100</v>
      </c>
      <c r="H8" t="s">
        <v>74</v>
      </c>
      <c r="I8">
        <f>'N2O Pressure Calcs'!P5</f>
        <v>6.1820000000000004</v>
      </c>
    </row>
    <row r="9" spans="1:13" x14ac:dyDescent="0.25">
      <c r="A9" s="156" t="s">
        <v>102</v>
      </c>
      <c r="B9">
        <f>I2</f>
        <v>33000</v>
      </c>
      <c r="H9" t="s">
        <v>75</v>
      </c>
      <c r="I9">
        <f>'N2O Pressure Calcs'!M3</f>
        <v>32.200000000000003</v>
      </c>
    </row>
    <row r="10" spans="1:13" x14ac:dyDescent="0.25">
      <c r="A10" s="169" t="s">
        <v>5</v>
      </c>
      <c r="B10" s="40">
        <f>B9/B8</f>
        <v>30.107490079979861</v>
      </c>
      <c r="H10" s="40" t="s">
        <v>76</v>
      </c>
      <c r="I10" s="155">
        <f>I8*I9</f>
        <v>199.06040000000004</v>
      </c>
    </row>
    <row r="12" spans="1:13" x14ac:dyDescent="0.25">
      <c r="H12" t="s">
        <v>81</v>
      </c>
      <c r="I12">
        <v>23.375</v>
      </c>
    </row>
    <row r="13" spans="1:13" ht="18.75" customHeight="1" x14ac:dyDescent="0.25">
      <c r="A13" s="161" t="s">
        <v>97</v>
      </c>
      <c r="H13" s="40" t="s">
        <v>82</v>
      </c>
      <c r="I13" s="154">
        <f>I12/M1</f>
        <v>0.72674418604651159</v>
      </c>
    </row>
    <row r="14" spans="1:13" x14ac:dyDescent="0.25">
      <c r="A14" t="s">
        <v>98</v>
      </c>
      <c r="B14">
        <v>0.3715</v>
      </c>
      <c r="H14" s="40" t="s">
        <v>77</v>
      </c>
      <c r="I14" s="154">
        <f>'N2O Pressure Calcs'!M7</f>
        <v>1.0976899397500375</v>
      </c>
    </row>
    <row r="15" spans="1:13" ht="15.75" thickBot="1" x14ac:dyDescent="0.3">
      <c r="A15" t="s">
        <v>99</v>
      </c>
      <c r="B15">
        <f>I16/(2*B14*I1)</f>
        <v>3910.3374089336367</v>
      </c>
    </row>
    <row r="16" spans="1:13" x14ac:dyDescent="0.25">
      <c r="A16" t="s">
        <v>101</v>
      </c>
      <c r="B16">
        <v>25000</v>
      </c>
      <c r="H16" s="165" t="s">
        <v>91</v>
      </c>
      <c r="I16" s="167">
        <f>I10*(I13+I14)</f>
        <v>363.17258685471148</v>
      </c>
      <c r="J16" t="s">
        <v>92</v>
      </c>
    </row>
    <row r="17" spans="1:10" ht="15.75" thickBot="1" x14ac:dyDescent="0.3">
      <c r="A17" s="40" t="s">
        <v>5</v>
      </c>
      <c r="B17" s="40">
        <f>B16/B15</f>
        <v>6.3933101892651232</v>
      </c>
      <c r="H17" s="166" t="s">
        <v>106</v>
      </c>
      <c r="I17" s="168">
        <v>1</v>
      </c>
    </row>
    <row r="18" spans="1:10" ht="15.75" thickBot="1" x14ac:dyDescent="0.3">
      <c r="H18" s="157" t="s">
        <v>84</v>
      </c>
      <c r="I18" s="153">
        <v>8</v>
      </c>
    </row>
    <row r="19" spans="1:10" ht="15.75" thickBot="1" x14ac:dyDescent="0.3">
      <c r="H19" s="159" t="s">
        <v>85</v>
      </c>
      <c r="I19" s="153">
        <v>0.25</v>
      </c>
      <c r="J19" s="158" t="s">
        <v>87</v>
      </c>
    </row>
    <row r="20" spans="1:10" x14ac:dyDescent="0.25">
      <c r="A20" s="73" t="s">
        <v>104</v>
      </c>
      <c r="H20" s="4"/>
    </row>
    <row r="21" spans="1:10" x14ac:dyDescent="0.25">
      <c r="A21" t="s">
        <v>105</v>
      </c>
      <c r="B21">
        <f>I16/(I1*I19)</f>
        <v>11621.522779350767</v>
      </c>
    </row>
    <row r="22" spans="1:10" x14ac:dyDescent="0.25">
      <c r="A22" t="s">
        <v>102</v>
      </c>
      <c r="B22">
        <f>I2</f>
        <v>33000</v>
      </c>
    </row>
    <row r="23" spans="1:10" x14ac:dyDescent="0.25">
      <c r="A23" s="40" t="s">
        <v>5</v>
      </c>
      <c r="B23" s="40">
        <f>B22/B21</f>
        <v>2.8395590342631101</v>
      </c>
    </row>
    <row r="25" spans="1:10" x14ac:dyDescent="0.25">
      <c r="A25" s="73" t="s">
        <v>110</v>
      </c>
    </row>
    <row r="26" spans="1:10" x14ac:dyDescent="0.25">
      <c r="A26" t="s">
        <v>111</v>
      </c>
      <c r="B26">
        <f>I16/(I1*I19)</f>
        <v>11621.522779350767</v>
      </c>
    </row>
    <row r="27" spans="1:10" x14ac:dyDescent="0.25">
      <c r="A27" t="s">
        <v>109</v>
      </c>
      <c r="B27">
        <f>I3</f>
        <v>85000</v>
      </c>
    </row>
    <row r="28" spans="1:10" x14ac:dyDescent="0.25">
      <c r="A28" s="40" t="s">
        <v>5</v>
      </c>
      <c r="B28" s="40">
        <f>B27/B26</f>
        <v>7.3140156943140715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BPV Calcs</vt:lpstr>
      <vt:lpstr>N2O Pressure Calcs</vt:lpstr>
      <vt:lpstr>N2O Ullage Calcs</vt:lpstr>
      <vt:lpstr>RT Head thickness Mass</vt:lpstr>
      <vt:lpstr>RT Mounting Bolt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2018-10-22T11:39:34Z</dcterms:modified>
</cp:coreProperties>
</file>