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bookViews>
    <workbookView xWindow="-20" yWindow="460" windowWidth="25620" windowHeight="15540" activeTab="1" xr2:uid="{CED26E2A-2889-A744-A5C4-EF90A4D39A10}"/>
  </bookViews>
  <sheets>
    <sheet name="Rough Mass Calculations" sheetId="2" r:id="rId1"/>
    <sheet name="Rough Flight Calcs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3" i="1"/>
  <c r="V5" i="1"/>
  <c r="V4" i="1"/>
  <c r="V3" i="1"/>
  <c r="W3" i="1"/>
  <c r="U3" i="1"/>
  <c r="T3" i="1"/>
  <c r="Q3" i="1"/>
  <c r="P3" i="1"/>
  <c r="O3" i="1"/>
  <c r="D3" i="1"/>
  <c r="Q5" i="1"/>
  <c r="T5" i="1"/>
  <c r="U5" i="1"/>
  <c r="Y5" i="1"/>
  <c r="Z5" i="1"/>
  <c r="W5" i="1"/>
  <c r="S5" i="1"/>
  <c r="R5" i="1"/>
  <c r="P5" i="1"/>
  <c r="O5" i="1"/>
  <c r="M5" i="1"/>
  <c r="K5" i="1"/>
  <c r="D5" i="1"/>
  <c r="D4" i="1"/>
  <c r="C5" i="1"/>
  <c r="B5" i="1"/>
  <c r="B4" i="1"/>
  <c r="O4" i="1"/>
  <c r="Q4" i="1"/>
  <c r="T4" i="1"/>
  <c r="U4" i="1"/>
  <c r="P4" i="1"/>
  <c r="Y4" i="1"/>
  <c r="Z4" i="1"/>
  <c r="R4" i="1"/>
  <c r="S4" i="1"/>
  <c r="W4" i="1"/>
  <c r="M4" i="1"/>
  <c r="K4" i="1"/>
  <c r="C4" i="1"/>
  <c r="C3" i="1"/>
  <c r="E4" i="1"/>
  <c r="E5" i="1"/>
  <c r="E3" i="1"/>
  <c r="M3" i="1"/>
  <c r="Y3" i="1"/>
  <c r="Z3" i="1"/>
  <c r="R3" i="1"/>
  <c r="S3" i="1"/>
  <c r="B3" i="1"/>
  <c r="I29" i="2"/>
  <c r="K3" i="1"/>
  <c r="D23" i="2"/>
  <c r="D22" i="2"/>
  <c r="I4" i="2"/>
  <c r="J4" i="2"/>
  <c r="Q4" i="2"/>
  <c r="R4" i="2"/>
  <c r="S4" i="2"/>
  <c r="I5" i="2"/>
  <c r="J5" i="2"/>
  <c r="I6" i="2"/>
  <c r="J6" i="2"/>
  <c r="P6" i="2"/>
  <c r="S6" i="2"/>
  <c r="W6" i="2"/>
  <c r="X6" i="2"/>
  <c r="Y6" i="2"/>
  <c r="Z6" i="2"/>
  <c r="AB6" i="2"/>
  <c r="I7" i="2"/>
  <c r="J7" i="2"/>
  <c r="W7" i="2"/>
  <c r="X7" i="2"/>
  <c r="Y7" i="2"/>
  <c r="Z7" i="2"/>
  <c r="AB7" i="2"/>
  <c r="I8" i="2"/>
  <c r="J8" i="2"/>
  <c r="W8" i="2"/>
  <c r="X8" i="2"/>
  <c r="Y8" i="2"/>
  <c r="Z8" i="2"/>
  <c r="AB8" i="2"/>
  <c r="I9" i="2"/>
  <c r="J9" i="2"/>
  <c r="W9" i="2"/>
  <c r="X9" i="2"/>
  <c r="Y9" i="2"/>
  <c r="Z9" i="2"/>
  <c r="AB9" i="2"/>
  <c r="I10" i="2"/>
  <c r="J10" i="2"/>
  <c r="W10" i="2"/>
  <c r="X10" i="2"/>
  <c r="Y10" i="2"/>
  <c r="Z10" i="2"/>
  <c r="AB10" i="2"/>
  <c r="AC10" i="2"/>
  <c r="AD10" i="2"/>
  <c r="AE10" i="2"/>
  <c r="I11" i="2"/>
  <c r="J11" i="2"/>
  <c r="W11" i="2"/>
  <c r="X11" i="2"/>
  <c r="Y11" i="2"/>
  <c r="Z11" i="2"/>
  <c r="AB11" i="2"/>
  <c r="AC11" i="2"/>
  <c r="AD11" i="2"/>
  <c r="AE11" i="2"/>
  <c r="I12" i="2"/>
  <c r="J12" i="2"/>
  <c r="W12" i="2"/>
  <c r="X12" i="2"/>
  <c r="Y12" i="2"/>
  <c r="Z12" i="2"/>
  <c r="AB12" i="2"/>
  <c r="AC12" i="2"/>
  <c r="AD12" i="2"/>
  <c r="AE12" i="2"/>
  <c r="I13" i="2"/>
  <c r="J13" i="2"/>
  <c r="W13" i="2"/>
  <c r="X13" i="2"/>
  <c r="Y13" i="2"/>
  <c r="Z13" i="2"/>
  <c r="AB13" i="2"/>
  <c r="AC13" i="2"/>
  <c r="AD13" i="2"/>
  <c r="AE13" i="2"/>
  <c r="I14" i="2"/>
  <c r="J14" i="2"/>
  <c r="W14" i="2"/>
  <c r="X14" i="2"/>
  <c r="Y14" i="2"/>
  <c r="Z14" i="2"/>
  <c r="AB14" i="2"/>
  <c r="AC14" i="2"/>
  <c r="AD14" i="2"/>
  <c r="AE14" i="2"/>
  <c r="I15" i="2"/>
  <c r="J15" i="2"/>
  <c r="W15" i="2"/>
  <c r="X15" i="2"/>
  <c r="Y15" i="2"/>
  <c r="Z15" i="2"/>
  <c r="AB15" i="2"/>
  <c r="AC15" i="2"/>
  <c r="AD15" i="2"/>
  <c r="AE15" i="2"/>
  <c r="I16" i="2"/>
  <c r="J16" i="2"/>
  <c r="W16" i="2"/>
  <c r="X16" i="2"/>
  <c r="Y16" i="2"/>
  <c r="Z16" i="2"/>
  <c r="AB16" i="2"/>
  <c r="AC16" i="2"/>
  <c r="AD16" i="2"/>
  <c r="AE16" i="2"/>
  <c r="I17" i="2"/>
  <c r="J17" i="2"/>
  <c r="W17" i="2"/>
  <c r="X17" i="2"/>
  <c r="Y17" i="2"/>
  <c r="Z17" i="2"/>
  <c r="AB17" i="2"/>
  <c r="AC17" i="2"/>
  <c r="AD17" i="2"/>
  <c r="AE17" i="2"/>
  <c r="I18" i="2"/>
  <c r="J18" i="2"/>
  <c r="W18" i="2"/>
  <c r="X18" i="2"/>
  <c r="Y18" i="2"/>
  <c r="Z18" i="2"/>
  <c r="AB18" i="2"/>
  <c r="AC18" i="2"/>
  <c r="AD18" i="2"/>
  <c r="AE18" i="2"/>
  <c r="I19" i="2"/>
  <c r="J19" i="2"/>
  <c r="W19" i="2"/>
  <c r="X19" i="2"/>
  <c r="Y19" i="2"/>
  <c r="Z19" i="2"/>
  <c r="AB19" i="2"/>
  <c r="AC19" i="2"/>
  <c r="AD19" i="2"/>
  <c r="AE19" i="2"/>
  <c r="I20" i="2"/>
  <c r="J20" i="2"/>
  <c r="W20" i="2"/>
  <c r="X20" i="2"/>
  <c r="Y20" i="2"/>
  <c r="Z20" i="2"/>
  <c r="AB20" i="2"/>
  <c r="AC20" i="2"/>
  <c r="AD20" i="2"/>
  <c r="AE20" i="2"/>
  <c r="W21" i="2"/>
  <c r="X21" i="2"/>
  <c r="Y21" i="2"/>
  <c r="Z21" i="2"/>
  <c r="AB21" i="2"/>
  <c r="AC21" i="2"/>
  <c r="AD21" i="2"/>
  <c r="AE21" i="2"/>
  <c r="W22" i="2"/>
  <c r="X22" i="2"/>
  <c r="Y22" i="2"/>
  <c r="Z22" i="2"/>
  <c r="AB22" i="2"/>
  <c r="AC22" i="2"/>
  <c r="AD22" i="2"/>
  <c r="AE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</calcChain>
</file>

<file path=xl/sharedStrings.xml><?xml version="1.0" encoding="utf-8"?>
<sst xmlns="http://schemas.openxmlformats.org/spreadsheetml/2006/main" count="101" uniqueCount="85">
  <si>
    <t xml:space="preserve">Weight = </t>
  </si>
  <si>
    <t>Weight (g)</t>
  </si>
  <si>
    <t>Diameter (cm)</t>
  </si>
  <si>
    <t>TOTAL WEIGHT OF ROCKET</t>
  </si>
  <si>
    <t>BODY TUBE</t>
  </si>
  <si>
    <t>400-1500</t>
  </si>
  <si>
    <t>Total weight (g)</t>
  </si>
  <si>
    <t>Volume (cm3)</t>
  </si>
  <si>
    <t>Area (cm2)</t>
  </si>
  <si>
    <t>Total Weight (g)</t>
  </si>
  <si>
    <t>weight (g)</t>
  </si>
  <si>
    <t>volume (cm3)</t>
  </si>
  <si>
    <t>carbon fiber part</t>
  </si>
  <si>
    <t>size : 3-7.5inch</t>
  </si>
  <si>
    <t>INSIDE WEIGHT (g)</t>
  </si>
  <si>
    <t>combined weight (g)</t>
  </si>
  <si>
    <t>RINGS</t>
  </si>
  <si>
    <t>BULKHEADS</t>
  </si>
  <si>
    <t>total weight</t>
  </si>
  <si>
    <t>weight</t>
  </si>
  <si>
    <t>volume cm3</t>
  </si>
  <si>
    <t>density (g/cm3)</t>
  </si>
  <si>
    <t>FINS</t>
  </si>
  <si>
    <t>NOSECONE</t>
  </si>
  <si>
    <t>weight g</t>
  </si>
  <si>
    <t>outer diameter (cm)</t>
  </si>
  <si>
    <t>thickness (cm)</t>
  </si>
  <si>
    <t>density (g/cm^3)</t>
  </si>
  <si>
    <t>Constant</t>
  </si>
  <si>
    <t>Units</t>
  </si>
  <si>
    <t>Value</t>
  </si>
  <si>
    <t>Drag Coefficient</t>
  </si>
  <si>
    <t>Symbol</t>
  </si>
  <si>
    <t>C_d</t>
  </si>
  <si>
    <t>-</t>
  </si>
  <si>
    <t>Air Density</t>
  </si>
  <si>
    <t>Rho_air</t>
  </si>
  <si>
    <t>kg/m^3</t>
  </si>
  <si>
    <t>Accel. due to gravity</t>
  </si>
  <si>
    <t>g</t>
  </si>
  <si>
    <t>m/s^2</t>
  </si>
  <si>
    <t>k</t>
  </si>
  <si>
    <t>Motor Diameter</t>
  </si>
  <si>
    <t>Motor</t>
  </si>
  <si>
    <t>Name</t>
  </si>
  <si>
    <t>Link</t>
  </si>
  <si>
    <t>Newtons</t>
  </si>
  <si>
    <t>Avg. Thrust</t>
  </si>
  <si>
    <t>Total Impulse</t>
  </si>
  <si>
    <t>N-s</t>
  </si>
  <si>
    <t>Mass of Propellant</t>
  </si>
  <si>
    <t>kg</t>
  </si>
  <si>
    <t>Effective Burn Time</t>
  </si>
  <si>
    <t>s</t>
  </si>
  <si>
    <t>meters</t>
  </si>
  <si>
    <t>Required Rocket Diameter</t>
  </si>
  <si>
    <t>Motor Cross-sectional Diameter</t>
  </si>
  <si>
    <t>m^2</t>
  </si>
  <si>
    <t>kg/m</t>
  </si>
  <si>
    <t>Motor Dry Mass</t>
  </si>
  <si>
    <t>Average Mass During Boost</t>
  </si>
  <si>
    <t>Average Mass During Coast</t>
  </si>
  <si>
    <t>q</t>
  </si>
  <si>
    <t>kg/s</t>
  </si>
  <si>
    <t>q_a</t>
  </si>
  <si>
    <t>q_b</t>
  </si>
  <si>
    <t>x</t>
  </si>
  <si>
    <t>kg/m*s</t>
  </si>
  <si>
    <t>V_burnout</t>
  </si>
  <si>
    <t>m/s</t>
  </si>
  <si>
    <t>y_burnout</t>
  </si>
  <si>
    <t>m</t>
  </si>
  <si>
    <t>t_coast</t>
  </si>
  <si>
    <t>y_coast</t>
  </si>
  <si>
    <t>y_apogee</t>
  </si>
  <si>
    <t>y_apogee in feet</t>
  </si>
  <si>
    <t>ft</t>
  </si>
  <si>
    <t>M1340W-PS</t>
  </si>
  <si>
    <t xml:space="preserve"> https://wildmanrocketry.com/collections/98mm-single-use/products/m1340w-ps</t>
  </si>
  <si>
    <t>Price</t>
  </si>
  <si>
    <t>N2000W-PS</t>
  </si>
  <si>
    <t>RMS</t>
  </si>
  <si>
    <t>Motor Total Initial Mass</t>
  </si>
  <si>
    <t>N3300R-PS</t>
  </si>
  <si>
    <t>Mass of Rocket Excl. Propulsion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</si>
</sst>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99F0C3FA-4260-0A4B-9DE7-60CBC60443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AA69-669D-3F4C-86C4-70FAC1A69996}">
  <dimension ref="B2:AG38"/>
  <sheetViews>
    <sheetView topLeftCell="U1" workbookViewId="0">
      <selection activeCell="AG6" sqref="AG6"/>
    </sheetView>
  </sheetViews>
  <sheetFormatPr baseColWidth="10" defaultColWidth="8.83203125" defaultRowHeight="15"/>
  <cols>
    <col min="1" max="2" width="8.83203125" style="1"/>
    <col min="3" max="3" width="17.1640625" style="1" customWidth="1"/>
    <col min="4" max="7" width="8.83203125" style="1"/>
    <col min="8" max="8" width="16.5" style="1" customWidth="1"/>
    <col min="9" max="9" width="12.6640625" style="1" customWidth="1"/>
    <col min="10" max="10" width="10.83203125" style="1" customWidth="1"/>
    <col min="11" max="14" width="8.83203125" style="1"/>
    <col min="15" max="15" width="15.33203125" style="1" customWidth="1"/>
    <col min="16" max="16" width="14.33203125" style="1" customWidth="1"/>
    <col min="17" max="16384" width="8.83203125" style="1"/>
  </cols>
  <sheetData>
    <row r="2" spans="2:33">
      <c r="B2" s="1" t="s">
        <v>27</v>
      </c>
      <c r="D2" s="1" t="s">
        <v>26</v>
      </c>
    </row>
    <row r="3" spans="2:33">
      <c r="B3" s="1">
        <v>4.5</v>
      </c>
      <c r="D3" s="1">
        <v>0.03</v>
      </c>
      <c r="H3" s="1" t="s">
        <v>25</v>
      </c>
      <c r="I3" s="1" t="s">
        <v>7</v>
      </c>
      <c r="J3" s="1" t="s">
        <v>24</v>
      </c>
      <c r="L3" s="1" t="s">
        <v>23</v>
      </c>
      <c r="O3" s="1" t="s">
        <v>22</v>
      </c>
      <c r="P3" s="1" t="s">
        <v>21</v>
      </c>
      <c r="Q3" s="1" t="s">
        <v>20</v>
      </c>
      <c r="R3" s="1" t="s">
        <v>19</v>
      </c>
      <c r="S3" s="1" t="s">
        <v>18</v>
      </c>
      <c r="W3" s="1" t="s">
        <v>17</v>
      </c>
      <c r="AB3" s="1" t="s">
        <v>16</v>
      </c>
    </row>
    <row r="4" spans="2:33">
      <c r="H4" s="1">
        <v>7.62</v>
      </c>
      <c r="I4" s="1">
        <f>PI()*(POWER(H4,2)-POWER((H4-0.03),2))*250</f>
        <v>358.37718195825477</v>
      </c>
      <c r="J4" s="1">
        <f>I4*$B$3</f>
        <v>1612.6973188121465</v>
      </c>
      <c r="P4" s="1">
        <v>2.6</v>
      </c>
      <c r="Q4" s="1">
        <f>30*10*0.01</f>
        <v>3</v>
      </c>
      <c r="R4" s="1">
        <f>Q4*P4</f>
        <v>7.8000000000000007</v>
      </c>
      <c r="S4" s="1">
        <f>4*R4</f>
        <v>31.200000000000003</v>
      </c>
      <c r="T4" s="1" t="s">
        <v>15</v>
      </c>
      <c r="AG4" s="1" t="s">
        <v>14</v>
      </c>
    </row>
    <row r="5" spans="2:33">
      <c r="H5" s="1">
        <v>8.2550000000000008</v>
      </c>
      <c r="I5" s="1">
        <f>PI()*(POWER(H5,2)-POWER((H5-0.03),2))*250</f>
        <v>388.3008519836975</v>
      </c>
      <c r="J5" s="1">
        <f>I5*$B$3</f>
        <v>1747.3538339266388</v>
      </c>
      <c r="L5" s="1" t="s">
        <v>10</v>
      </c>
      <c r="M5" s="1" t="s">
        <v>13</v>
      </c>
      <c r="O5" s="1" t="s">
        <v>12</v>
      </c>
      <c r="P5" s="1" t="s">
        <v>11</v>
      </c>
      <c r="S5" s="1" t="s">
        <v>10</v>
      </c>
      <c r="T5" s="1">
        <v>400</v>
      </c>
      <c r="W5" s="1" t="s">
        <v>8</v>
      </c>
      <c r="X5" s="1" t="s">
        <v>7</v>
      </c>
      <c r="Y5" s="1" t="s">
        <v>1</v>
      </c>
      <c r="Z5" s="1" t="s">
        <v>9</v>
      </c>
      <c r="AB5" s="1" t="s">
        <v>8</v>
      </c>
      <c r="AC5" s="1" t="s">
        <v>7</v>
      </c>
      <c r="AD5" s="1" t="s">
        <v>1</v>
      </c>
      <c r="AE5" s="1" t="s">
        <v>6</v>
      </c>
    </row>
    <row r="6" spans="2:33">
      <c r="H6" s="1">
        <v>8.89</v>
      </c>
      <c r="I6" s="1">
        <f>PI()*(POWER(H6,2)-POWER((H6-0.03),2))*250</f>
        <v>418.22452200914034</v>
      </c>
      <c r="J6" s="1">
        <f>I6*$B$3</f>
        <v>1882.0103490411316</v>
      </c>
      <c r="L6" s="1" t="s">
        <v>5</v>
      </c>
      <c r="P6" s="1">
        <f>30*10*0.03*10</f>
        <v>90</v>
      </c>
      <c r="S6" s="1">
        <f>P6*4</f>
        <v>360</v>
      </c>
      <c r="W6" s="1">
        <f>PI()*(POWER(H4-0.03,2))</f>
        <v>180.98118374726616</v>
      </c>
      <c r="X6" s="1">
        <f>W6*0.625</f>
        <v>113.11323984204135</v>
      </c>
      <c r="Y6" s="1">
        <f>X6*0.7</f>
        <v>79.179267889428942</v>
      </c>
      <c r="Z6" s="1">
        <f>4*Y6</f>
        <v>316.71707155771577</v>
      </c>
      <c r="AB6" s="1">
        <f>PI()*POWER(H4-0.03,2)-PI()*POWER(9.8,2)</f>
        <v>-120.73737470349764</v>
      </c>
      <c r="AG6" s="1">
        <v>10500</v>
      </c>
    </row>
    <row r="7" spans="2:33">
      <c r="B7" s="1" t="s">
        <v>4</v>
      </c>
      <c r="H7" s="1">
        <v>9.5250000000000004</v>
      </c>
      <c r="I7" s="1">
        <f>PI()*(POWER(H7,2)-POWER((H7-0.03),2))*250</f>
        <v>448.14819203457193</v>
      </c>
      <c r="J7" s="1">
        <f>I7*$B$3</f>
        <v>2016.6668641555736</v>
      </c>
      <c r="W7" s="1">
        <f>PI()*(POWER(H5-0.03,2))</f>
        <v>212.53070651075805</v>
      </c>
      <c r="X7" s="1">
        <f>W7*0.625</f>
        <v>132.83169156922378</v>
      </c>
      <c r="Y7" s="1">
        <f>X7*0.7</f>
        <v>92.982184098456642</v>
      </c>
      <c r="Z7" s="1">
        <f>4*Y7</f>
        <v>371.92873639382657</v>
      </c>
      <c r="AB7" s="1">
        <f>PI()*POWER(H5-0.03,2)-PI()*POWER(9.8,2)</f>
        <v>-89.187851940005743</v>
      </c>
    </row>
    <row r="8" spans="2:33">
      <c r="H8" s="1">
        <v>10.16</v>
      </c>
      <c r="I8" s="1">
        <f>PI()*(POWER(H8,2)-POWER((H8-0.03),2))*250</f>
        <v>478.07186206001472</v>
      </c>
      <c r="J8" s="1">
        <f>I8*$B$3</f>
        <v>2151.3233792700662</v>
      </c>
      <c r="W8" s="1">
        <f>PI()*(POWER(H6-0.03,2))</f>
        <v>246.61376666973737</v>
      </c>
      <c r="X8" s="1">
        <f>W8*0.625</f>
        <v>154.13360416858586</v>
      </c>
      <c r="Y8" s="1">
        <f>X8*0.7</f>
        <v>107.89352291801009</v>
      </c>
      <c r="Z8" s="1">
        <f>4*Y8</f>
        <v>431.57409167204037</v>
      </c>
      <c r="AB8" s="1">
        <f>PI()*POWER(H6-0.03,2)-PI()*POWER(9.8,2)</f>
        <v>-55.104791781026421</v>
      </c>
    </row>
    <row r="9" spans="2:33">
      <c r="H9" s="1">
        <v>10.795</v>
      </c>
      <c r="I9" s="1">
        <f>PI()*(POWER(H9,2)-POWER((H9-0.03),2))*250</f>
        <v>507.99553208546865</v>
      </c>
      <c r="J9" s="1">
        <f>I9*$B$3</f>
        <v>2285.979894384609</v>
      </c>
      <c r="W9" s="1">
        <f>PI()*(POWER(H7-0.03,2))</f>
        <v>283.23036422420421</v>
      </c>
      <c r="X9" s="1">
        <f>W9*0.625</f>
        <v>177.01897764012762</v>
      </c>
      <c r="Y9" s="1">
        <f>X9*0.7</f>
        <v>123.91328434808932</v>
      </c>
      <c r="Z9" s="1">
        <f>4*Y9</f>
        <v>495.65313739235728</v>
      </c>
      <c r="AB9" s="1">
        <f>PI()*POWER(H7-0.03,2)-PI()*POWER(9.8,2)</f>
        <v>-18.488194226559585</v>
      </c>
    </row>
    <row r="10" spans="2:33">
      <c r="H10" s="1">
        <v>11.43</v>
      </c>
      <c r="I10" s="1">
        <f>PI()*(POWER(H10,2)-POWER((H10-0.03),2))*250</f>
        <v>537.91920211091144</v>
      </c>
      <c r="J10" s="1">
        <f>I10*$B$3</f>
        <v>2420.6364094991013</v>
      </c>
      <c r="W10" s="1">
        <f>PI()*(POWER(H8-0.03,2))</f>
        <v>322.3804991741585</v>
      </c>
      <c r="X10" s="1">
        <f>W10*0.625</f>
        <v>201.48781198384907</v>
      </c>
      <c r="Y10" s="1">
        <f>X10*0.7</f>
        <v>141.04146838869434</v>
      </c>
      <c r="Z10" s="1">
        <f>4*Y10</f>
        <v>564.16587355477736</v>
      </c>
      <c r="AB10" s="1">
        <f>PI()*POWER(H8-0.03,2)-PI()*POWER(9.8,2)</f>
        <v>20.661940723394707</v>
      </c>
      <c r="AC10" s="1">
        <f>AB10*0.625</f>
        <v>12.913712952121692</v>
      </c>
      <c r="AD10" s="1">
        <f>AC10*0.7</f>
        <v>9.0395990664851844</v>
      </c>
      <c r="AE10" s="1">
        <f>4*AD10</f>
        <v>36.158396265940738</v>
      </c>
    </row>
    <row r="11" spans="2:33">
      <c r="H11" s="1">
        <v>12.065</v>
      </c>
      <c r="I11" s="1">
        <f>PI()*(POWER(H11,2)-POWER((H11-0.03),2))*250</f>
        <v>567.84287213634309</v>
      </c>
      <c r="J11" s="1">
        <f>I11*$B$3</f>
        <v>2555.2929246135441</v>
      </c>
      <c r="W11" s="1">
        <f>PI()*(POWER(H9-0.03,2))</f>
        <v>364.06417151960022</v>
      </c>
      <c r="X11" s="1">
        <f>W11*0.625</f>
        <v>227.54010719975014</v>
      </c>
      <c r="Y11" s="1">
        <f>X11*0.7</f>
        <v>159.2780750398251</v>
      </c>
      <c r="Z11" s="1">
        <f>4*Y11</f>
        <v>637.11230015930039</v>
      </c>
      <c r="AB11" s="1">
        <f>PI()*POWER(H9-0.03,2)-PI()*POWER(9.8,2)</f>
        <v>62.345613068836428</v>
      </c>
      <c r="AC11" s="1">
        <f>AB11*0.625</f>
        <v>38.966008168022768</v>
      </c>
      <c r="AD11" s="1">
        <f>AC11*0.7</f>
        <v>27.276205717615937</v>
      </c>
      <c r="AE11" s="1">
        <f>4*AD11</f>
        <v>109.10482287046375</v>
      </c>
    </row>
    <row r="12" spans="2:33">
      <c r="H12" s="1">
        <v>12.7</v>
      </c>
      <c r="I12" s="1">
        <f>PI()*(POWER(H12,2)-POWER((H12-0.03),2))*250</f>
        <v>597.76654216179713</v>
      </c>
      <c r="J12" s="1">
        <f>I12*$B$3</f>
        <v>2689.9494397280869</v>
      </c>
      <c r="W12" s="1">
        <f>PI()*(POWER(H10-0.03,2))</f>
        <v>408.28138126052954</v>
      </c>
      <c r="X12" s="1">
        <f>W12*0.625</f>
        <v>255.17586328783096</v>
      </c>
      <c r="Y12" s="1">
        <f>X12*0.7</f>
        <v>178.62310430148167</v>
      </c>
      <c r="Z12" s="1">
        <f>4*Y12</f>
        <v>714.4924172059267</v>
      </c>
      <c r="AB12" s="1">
        <f>PI()*POWER(H10-0.03,2)-PI()*POWER(9.8,2)</f>
        <v>106.56282280976575</v>
      </c>
      <c r="AC12" s="1">
        <f>AB12*0.625</f>
        <v>66.601764256103593</v>
      </c>
      <c r="AD12" s="1">
        <f>AC12*0.7</f>
        <v>46.621234979272515</v>
      </c>
      <c r="AE12" s="1">
        <f>4*AD12</f>
        <v>186.48493991709006</v>
      </c>
    </row>
    <row r="13" spans="2:33">
      <c r="H13" s="1">
        <v>13.335000000000001</v>
      </c>
      <c r="I13" s="1">
        <f>PI()*(POWER(H13,2)-POWER((H13-0.03),2))*250</f>
        <v>627.69021218722878</v>
      </c>
      <c r="J13" s="1">
        <f>I13*$B$3</f>
        <v>2824.6059548425296</v>
      </c>
      <c r="W13" s="1">
        <f>PI()*(POWER(H11-0.03,2))</f>
        <v>455.03212839694629</v>
      </c>
      <c r="X13" s="1">
        <f>W13*0.625</f>
        <v>284.3950802480914</v>
      </c>
      <c r="Y13" s="1">
        <f>X13*0.7</f>
        <v>199.07655617366396</v>
      </c>
      <c r="Z13" s="1">
        <f>4*Y13</f>
        <v>796.30622469465584</v>
      </c>
      <c r="AB13" s="1">
        <f>PI()*POWER(H11-0.03,2)-PI()*POWER(9.8,2)</f>
        <v>153.3135699461825</v>
      </c>
      <c r="AC13" s="1">
        <f>AB13*0.625</f>
        <v>95.820981216364061</v>
      </c>
      <c r="AD13" s="1">
        <f>AC13*0.7</f>
        <v>67.074686851454842</v>
      </c>
      <c r="AE13" s="1">
        <f>4*AD13</f>
        <v>268.29874740581937</v>
      </c>
    </row>
    <row r="14" spans="2:33">
      <c r="H14" s="1">
        <v>13.97</v>
      </c>
      <c r="I14" s="1">
        <f>PI()*(POWER(H14,2)-POWER((H14-0.03),2))*250</f>
        <v>657.61388221268271</v>
      </c>
      <c r="J14" s="1">
        <f>I14*$B$3</f>
        <v>2959.2624699570724</v>
      </c>
      <c r="W14" s="1">
        <f>PI()*(POWER(H12-0.03,2))</f>
        <v>504.31641292885053</v>
      </c>
      <c r="X14" s="1">
        <f>W14*0.625</f>
        <v>315.19775808053157</v>
      </c>
      <c r="Y14" s="1">
        <f>X14*0.7</f>
        <v>220.63843065637209</v>
      </c>
      <c r="Z14" s="1">
        <f>4*Y14</f>
        <v>882.55372262548838</v>
      </c>
      <c r="AB14" s="1">
        <f>PI()*POWER(H12-0.03,2)-PI()*POWER(9.8,2)</f>
        <v>202.59785447808673</v>
      </c>
      <c r="AC14" s="1">
        <f>AB14*0.625</f>
        <v>126.6236590488042</v>
      </c>
      <c r="AD14" s="1">
        <f>AC14*0.7</f>
        <v>88.636561334162934</v>
      </c>
      <c r="AE14" s="1">
        <f>4*AD14</f>
        <v>354.54624533665174</v>
      </c>
    </row>
    <row r="15" spans="2:33">
      <c r="H15" s="1">
        <v>14.605</v>
      </c>
      <c r="I15" s="1">
        <f>PI()*(POWER(H15,2)-POWER((H15-0.03),2))*250</f>
        <v>687.53755223811436</v>
      </c>
      <c r="J15" s="1">
        <f>I15*$B$3</f>
        <v>3093.9189850715147</v>
      </c>
      <c r="W15" s="1">
        <f>PI()*(POWER(H13-0.03,2))</f>
        <v>556.13423485624241</v>
      </c>
      <c r="X15" s="1">
        <f>W15*0.625</f>
        <v>347.58389678515152</v>
      </c>
      <c r="Y15" s="1">
        <f>X15*0.7</f>
        <v>243.30872774960605</v>
      </c>
      <c r="Z15" s="1">
        <f>4*Y15</f>
        <v>973.2349109984242</v>
      </c>
      <c r="AB15" s="1">
        <f>PI()*POWER(H13-0.03,2)-PI()*POWER(9.8,2)</f>
        <v>254.41567640547862</v>
      </c>
      <c r="AC15" s="1">
        <f>AB15*0.625</f>
        <v>159.00979775342415</v>
      </c>
      <c r="AD15" s="1">
        <f>AC15*0.7</f>
        <v>111.3068584273969</v>
      </c>
      <c r="AE15" s="1">
        <f>4*AD15</f>
        <v>445.22743370958761</v>
      </c>
    </row>
    <row r="16" spans="2:33">
      <c r="H16" s="1">
        <v>15.24</v>
      </c>
      <c r="I16" s="1">
        <f>PI()*(POWER(H16,2)-POWER((H16-0.03),2))*250</f>
        <v>717.46122226354589</v>
      </c>
      <c r="J16" s="1">
        <f>I16*$B$3</f>
        <v>3228.5755001859566</v>
      </c>
      <c r="W16" s="1">
        <f>PI()*(POWER(H14-0.03,2))</f>
        <v>610.48559417912156</v>
      </c>
      <c r="X16" s="1">
        <f>W16*0.625</f>
        <v>381.55349636195098</v>
      </c>
      <c r="Y16" s="1">
        <f>X16*0.7</f>
        <v>267.08744745336566</v>
      </c>
      <c r="Z16" s="1">
        <f>4*Y16</f>
        <v>1068.3497898134626</v>
      </c>
      <c r="AB16" s="1">
        <f>PI()*POWER(H14-0.03,2)-PI()*POWER(9.8,2)</f>
        <v>308.76703572835777</v>
      </c>
      <c r="AC16" s="1">
        <f>AB16*0.625</f>
        <v>192.97939733022361</v>
      </c>
      <c r="AD16" s="1">
        <f>AC16*0.7</f>
        <v>135.08557813115652</v>
      </c>
      <c r="AE16" s="1">
        <f>4*AD16</f>
        <v>540.3423125246261</v>
      </c>
    </row>
    <row r="17" spans="3:31">
      <c r="H17" s="1">
        <v>15.875</v>
      </c>
      <c r="I17" s="1">
        <f>PI()*(POWER(H17,2)-POWER((H17-0.03),2))*250</f>
        <v>747.38489228899994</v>
      </c>
      <c r="J17" s="1">
        <f>I17*$B$3</f>
        <v>3363.2320153004998</v>
      </c>
      <c r="W17" s="1">
        <f>PI()*(POWER(H15-0.03,2))</f>
        <v>667.37049089748825</v>
      </c>
      <c r="X17" s="1">
        <f>W17*0.625</f>
        <v>417.10655681093016</v>
      </c>
      <c r="Y17" s="1">
        <f>X17*0.7</f>
        <v>291.97458976765108</v>
      </c>
      <c r="Z17" s="1">
        <f>4*Y17</f>
        <v>1167.8983590706043</v>
      </c>
      <c r="AB17" s="1">
        <f>PI()*POWER(H15-0.03,2)-PI()*POWER(9.8,2)</f>
        <v>365.65193244672446</v>
      </c>
      <c r="AC17" s="1">
        <f>AB17*0.625</f>
        <v>228.53245777920279</v>
      </c>
      <c r="AD17" s="1">
        <f>AC17*0.7</f>
        <v>159.97272044544195</v>
      </c>
      <c r="AE17" s="1">
        <f>4*AD17</f>
        <v>639.8908817817678</v>
      </c>
    </row>
    <row r="18" spans="3:31">
      <c r="H18" s="1">
        <v>16.510000000000002</v>
      </c>
      <c r="I18" s="1">
        <f>PI()*(POWER(H18,2)-POWER((H18-0.03),2))*250</f>
        <v>777.30856231452083</v>
      </c>
      <c r="J18" s="1">
        <f>I18*$B$3</f>
        <v>3497.8885304153437</v>
      </c>
      <c r="W18" s="1">
        <f>PI()*(POWER(H16-0.03,2))</f>
        <v>726.78892501134249</v>
      </c>
      <c r="X18" s="1">
        <f>W18*0.625</f>
        <v>454.24307813208907</v>
      </c>
      <c r="Y18" s="1">
        <f>X18*0.7</f>
        <v>317.9701546924623</v>
      </c>
      <c r="Z18" s="1">
        <f>4*Y18</f>
        <v>1271.8806187698492</v>
      </c>
      <c r="AB18" s="1">
        <f>PI()*POWER(H16-0.03,2)-PI()*POWER(9.8,2)</f>
        <v>425.07036656057869</v>
      </c>
      <c r="AC18" s="1">
        <f>AB18*0.625</f>
        <v>265.6689791003617</v>
      </c>
      <c r="AD18" s="1">
        <f>AC18*0.7</f>
        <v>185.96828537025317</v>
      </c>
      <c r="AE18" s="1">
        <f>4*AD18</f>
        <v>743.87314148101268</v>
      </c>
    </row>
    <row r="19" spans="3:31">
      <c r="C19" s="1" t="s">
        <v>3</v>
      </c>
      <c r="H19" s="1">
        <v>17.145</v>
      </c>
      <c r="I19" s="1">
        <f>PI()*(POWER(H19,2)-POWER((H19-0.03),2))*250</f>
        <v>807.2322323399078</v>
      </c>
      <c r="J19" s="1">
        <f>I19*$B$3</f>
        <v>3632.545045529585</v>
      </c>
      <c r="W19" s="1">
        <f>PI()*(POWER(H17-0.03,2))</f>
        <v>788.74089652068426</v>
      </c>
      <c r="X19" s="1">
        <f>W19*0.625</f>
        <v>492.96306032542765</v>
      </c>
      <c r="Y19" s="1">
        <f>X19*0.7</f>
        <v>345.07414222779931</v>
      </c>
      <c r="Z19" s="1">
        <f>4*Y19</f>
        <v>1380.2965689111973</v>
      </c>
      <c r="AB19" s="1">
        <f>PI()*POWER(H17-0.03,2)-PI()*POWER(9.8,2)</f>
        <v>487.02233806992047</v>
      </c>
      <c r="AC19" s="1">
        <f>AB19*0.625</f>
        <v>304.38896129370028</v>
      </c>
      <c r="AD19" s="1">
        <f>AC19*0.7</f>
        <v>213.07227290559018</v>
      </c>
      <c r="AE19" s="1">
        <f>4*AD19</f>
        <v>852.28909162236073</v>
      </c>
    </row>
    <row r="20" spans="3:31">
      <c r="C20" s="1" t="s">
        <v>2</v>
      </c>
      <c r="D20" s="1" t="s">
        <v>1</v>
      </c>
      <c r="H20" s="1">
        <v>17.78</v>
      </c>
      <c r="I20" s="1">
        <f>PI()*(POWER(H20,2)-POWER((H20-0.03),2))*250</f>
        <v>837.15590236538412</v>
      </c>
      <c r="J20" s="1">
        <f>I20*$B$3</f>
        <v>3767.2015606442287</v>
      </c>
      <c r="W20" s="1">
        <f>PI()*(POWER(H18-0.03,2))</f>
        <v>853.22640542551335</v>
      </c>
      <c r="X20" s="1">
        <f>W20*0.625</f>
        <v>533.2665033909459</v>
      </c>
      <c r="Y20" s="1">
        <f>X20*0.7</f>
        <v>373.28655237366212</v>
      </c>
      <c r="Z20" s="1">
        <f>4*Y20</f>
        <v>1493.1462094946485</v>
      </c>
      <c r="AB20" s="1">
        <f>PI()*POWER(H18-0.03,2)-PI()*POWER(9.8,2)</f>
        <v>551.50784697474955</v>
      </c>
      <c r="AC20" s="1">
        <f>AB20*0.625</f>
        <v>344.69240435921847</v>
      </c>
      <c r="AD20" s="1">
        <f>AC20*0.7</f>
        <v>241.2846830514529</v>
      </c>
      <c r="AE20" s="1">
        <f>4*AD20</f>
        <v>965.13873220581161</v>
      </c>
    </row>
    <row r="21" spans="3:31">
      <c r="W21" s="1">
        <f>PI()*(POWER(H19-0.03,2))</f>
        <v>920.24545172582987</v>
      </c>
      <c r="X21" s="1">
        <f>W21*0.625</f>
        <v>575.15340732864365</v>
      </c>
      <c r="Y21" s="1">
        <f>X21*0.7</f>
        <v>402.60738513005055</v>
      </c>
      <c r="Z21" s="1">
        <f>4*Y21</f>
        <v>1610.4295405202022</v>
      </c>
      <c r="AB21" s="1">
        <f>PI()*POWER(H19-0.03,2)-PI()*POWER(9.8,2)</f>
        <v>618.52689327506607</v>
      </c>
      <c r="AC21" s="1">
        <f>AB21*0.625</f>
        <v>386.57930829691628</v>
      </c>
      <c r="AD21" s="1">
        <f>AC21*0.7</f>
        <v>270.60551580784136</v>
      </c>
      <c r="AE21" s="1">
        <f>4*AD21</f>
        <v>1082.4220632313654</v>
      </c>
    </row>
    <row r="22" spans="3:31">
      <c r="C22" s="1">
        <v>7.62</v>
      </c>
      <c r="D22" s="1">
        <f>J4+1000+400+Z6+AE6+10500</f>
        <v>13829.414390369862</v>
      </c>
      <c r="W22" s="1">
        <f>PI()*(POWER(H20-0.03,2))</f>
        <v>989.79803542163415</v>
      </c>
      <c r="X22" s="1">
        <f>W22*0.625</f>
        <v>618.6237721385213</v>
      </c>
      <c r="Y22" s="1">
        <f>X22*0.7</f>
        <v>433.03664049696488</v>
      </c>
      <c r="Z22" s="1">
        <f>4*Y22</f>
        <v>1732.1465619878595</v>
      </c>
      <c r="AB22" s="1">
        <f>PI()*POWER(H20-0.03,2)-PI()*POWER(9.8,2)</f>
        <v>688.07947697087036</v>
      </c>
      <c r="AC22" s="1">
        <f>AB22*0.625</f>
        <v>430.04967310679399</v>
      </c>
      <c r="AD22" s="1">
        <f>AC22*0.7</f>
        <v>301.03477117475575</v>
      </c>
      <c r="AE22" s="1">
        <f>4*AD22</f>
        <v>1204.139084699023</v>
      </c>
    </row>
    <row r="23" spans="3:31">
      <c r="C23" s="1">
        <v>8.2550000000000008</v>
      </c>
      <c r="D23" s="1">
        <f>J5+1000+400+Z7+AE7+10500</f>
        <v>14019.282570320465</v>
      </c>
    </row>
    <row r="24" spans="3:31">
      <c r="C24" s="1">
        <v>8.89</v>
      </c>
      <c r="D24" s="1">
        <f>J6+1000+400+Z8+AE8+10500</f>
        <v>14213.584440713172</v>
      </c>
    </row>
    <row r="25" spans="3:31">
      <c r="C25" s="1">
        <v>9.5250000000000004</v>
      </c>
      <c r="D25" s="1">
        <f>J7+1000+400+Z9+AE9+10500</f>
        <v>14412.320001547931</v>
      </c>
    </row>
    <row r="26" spans="3:31">
      <c r="C26" s="1">
        <v>10.16</v>
      </c>
      <c r="D26" s="1">
        <f>J8+1000+400+Z10+AE10+10500</f>
        <v>14651.647649090784</v>
      </c>
    </row>
    <row r="27" spans="3:31">
      <c r="C27" s="1">
        <v>10.795</v>
      </c>
      <c r="D27" s="1">
        <f>J9+1000+400+Z11+AE11+10500</f>
        <v>14932.197017414373</v>
      </c>
      <c r="H27" s="1">
        <v>0</v>
      </c>
      <c r="I27" s="1">
        <v>0</v>
      </c>
    </row>
    <row r="28" spans="3:31">
      <c r="C28" s="1">
        <v>11.43</v>
      </c>
      <c r="D28" s="1">
        <f>J10+1000+400+Z12+AE12+10500</f>
        <v>15221.613766622118</v>
      </c>
    </row>
    <row r="29" spans="3:31">
      <c r="C29" s="1">
        <v>12.065</v>
      </c>
      <c r="D29" s="1">
        <f>J11+1000+400+Z13+AE13+10500</f>
        <v>15519.897896714019</v>
      </c>
      <c r="H29" s="1" t="s">
        <v>0</v>
      </c>
      <c r="I29" s="1">
        <f>(PI()*(POWER(H27,2)-POWER((H27-0.03),2)))*250*4.5 + PI()*(POWER(H27-0.03,2))*0.625*0.7*4 + (PI()*POWER(H27-0.03,2)-PI()*POWER(I27,2))*0.625*0.7*4 +1000+400+10500</f>
        <v>11896.829033455098</v>
      </c>
    </row>
    <row r="30" spans="3:31">
      <c r="C30" s="1">
        <v>12.7</v>
      </c>
      <c r="D30" s="1">
        <f>J12+1000+400+Z14+AE14+10500</f>
        <v>15827.049407690227</v>
      </c>
    </row>
    <row r="31" spans="3:31">
      <c r="C31" s="1">
        <v>13.335000000000001</v>
      </c>
      <c r="D31" s="1">
        <f>J13+1000+400+Z15+AE15+10500</f>
        <v>16143.068299550541</v>
      </c>
    </row>
    <row r="32" spans="3:31">
      <c r="C32" s="1">
        <v>13.97</v>
      </c>
      <c r="D32" s="1">
        <f>J14+1000+400+Z16+AE16+10500</f>
        <v>16467.954572295163</v>
      </c>
    </row>
    <row r="33" spans="3:4">
      <c r="C33" s="1">
        <v>14.605</v>
      </c>
      <c r="D33" s="1">
        <f>J15+1000+400+Z17+AE17+10500</f>
        <v>16801.708225923889</v>
      </c>
    </row>
    <row r="34" spans="3:4">
      <c r="C34" s="1">
        <v>15.24</v>
      </c>
      <c r="D34" s="1">
        <f>J16+1000+400+Z18+AE18+10500</f>
        <v>17144.329260436818</v>
      </c>
    </row>
    <row r="35" spans="3:4">
      <c r="C35" s="1">
        <v>15.875</v>
      </c>
      <c r="D35" s="1">
        <f>J17+1000+400+Z19+AE19+10500</f>
        <v>17495.817675834056</v>
      </c>
    </row>
    <row r="36" spans="3:4">
      <c r="C36" s="1">
        <v>16.510000000000002</v>
      </c>
      <c r="D36" s="1">
        <f>J18+1000+400+Z20+AE20+10500</f>
        <v>17856.173472115803</v>
      </c>
    </row>
    <row r="37" spans="3:4">
      <c r="C37" s="1">
        <v>17.145</v>
      </c>
      <c r="D37" s="1">
        <f>J19+1000+400+Z21+AE21+10500</f>
        <v>18225.396649281152</v>
      </c>
    </row>
    <row r="38" spans="3:4">
      <c r="C38" s="1">
        <v>17.78</v>
      </c>
      <c r="D38" s="1">
        <f>J20+1000+400+Z22+AE22+10500</f>
        <v>18603.487207331113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B893-D5DC-104F-A382-74A87D274EEE}">
  <dimension ref="A1:AE15"/>
  <sheetViews>
    <sheetView tabSelected="1" zoomScale="98" workbookViewId="0">
      <selection activeCell="F13" sqref="F13"/>
    </sheetView>
  </sheetViews>
  <sheetFormatPr baseColWidth="10" defaultRowHeight="16"/>
  <cols>
    <col min="1" max="1" width="10.33203125" customWidth="1"/>
    <col min="2" max="2" width="15.83203125" customWidth="1"/>
    <col min="3" max="4" width="17.5" customWidth="1"/>
    <col min="5" max="5" width="9" customWidth="1"/>
    <col min="6" max="6" width="20.1640625" style="9" customWidth="1"/>
    <col min="7" max="7" width="35.1640625" style="5" customWidth="1"/>
    <col min="8" max="8" width="7.83203125" style="12" customWidth="1"/>
    <col min="10" max="10" width="13" customWidth="1"/>
    <col min="11" max="11" width="13.1640625" customWidth="1"/>
    <col min="12" max="12" width="11.33203125" customWidth="1"/>
    <col min="13" max="13" width="10.5" customWidth="1"/>
    <col min="14" max="14" width="10" customWidth="1"/>
    <col min="15" max="15" width="13.83203125" customWidth="1"/>
    <col min="16" max="16" width="14.1640625" customWidth="1"/>
    <col min="17" max="17" width="14.1640625" style="9" customWidth="1"/>
    <col min="18" max="20" width="14.1640625" customWidth="1"/>
    <col min="21" max="21" width="14.1640625" style="9" customWidth="1"/>
    <col min="22" max="23" width="14.1640625" style="5" customWidth="1"/>
    <col min="24" max="26" width="14.1640625" customWidth="1"/>
    <col min="27" max="27" width="2.6640625" customWidth="1"/>
    <col min="28" max="28" width="36.5" customWidth="1"/>
    <col min="29" max="29" width="17" customWidth="1"/>
  </cols>
  <sheetData>
    <row r="1" spans="1:31" s="17" customFormat="1" ht="32">
      <c r="A1" s="16" t="s">
        <v>42</v>
      </c>
      <c r="B1" s="16" t="s">
        <v>55</v>
      </c>
      <c r="C1" s="16" t="s">
        <v>56</v>
      </c>
      <c r="D1" s="16" t="s">
        <v>84</v>
      </c>
      <c r="E1" s="16" t="s">
        <v>41</v>
      </c>
      <c r="F1" s="20" t="s">
        <v>43</v>
      </c>
      <c r="G1" s="18"/>
      <c r="H1" s="19"/>
      <c r="I1" s="16" t="s">
        <v>47</v>
      </c>
      <c r="J1" s="16" t="s">
        <v>48</v>
      </c>
      <c r="K1" s="16" t="s">
        <v>52</v>
      </c>
      <c r="L1" s="16" t="s">
        <v>82</v>
      </c>
      <c r="M1" s="16" t="s">
        <v>59</v>
      </c>
      <c r="N1" s="16" t="s">
        <v>50</v>
      </c>
      <c r="O1" s="16" t="s">
        <v>60</v>
      </c>
      <c r="P1" s="16" t="s">
        <v>61</v>
      </c>
      <c r="Q1" s="21" t="s">
        <v>62</v>
      </c>
      <c r="R1" s="16" t="s">
        <v>64</v>
      </c>
      <c r="S1" s="16" t="s">
        <v>65</v>
      </c>
      <c r="T1" s="16" t="s">
        <v>66</v>
      </c>
      <c r="U1" s="21" t="s">
        <v>68</v>
      </c>
      <c r="V1" s="22" t="s">
        <v>70</v>
      </c>
      <c r="W1" s="22" t="s">
        <v>72</v>
      </c>
      <c r="X1" s="16" t="s">
        <v>73</v>
      </c>
      <c r="Y1" s="16" t="s">
        <v>74</v>
      </c>
      <c r="Z1" s="16" t="s">
        <v>75</v>
      </c>
      <c r="AA1" s="15"/>
      <c r="AB1" s="16" t="s">
        <v>28</v>
      </c>
      <c r="AC1" s="16" t="s">
        <v>32</v>
      </c>
      <c r="AD1" s="16" t="s">
        <v>29</v>
      </c>
      <c r="AE1" s="16" t="s">
        <v>30</v>
      </c>
    </row>
    <row r="2" spans="1:31" s="5" customFormat="1">
      <c r="A2" s="6" t="s">
        <v>54</v>
      </c>
      <c r="B2" s="6" t="s">
        <v>54</v>
      </c>
      <c r="C2" s="6" t="s">
        <v>57</v>
      </c>
      <c r="D2" s="6" t="s">
        <v>51</v>
      </c>
      <c r="E2" s="6" t="s">
        <v>58</v>
      </c>
      <c r="F2" s="7" t="s">
        <v>44</v>
      </c>
      <c r="G2" s="10" t="s">
        <v>45</v>
      </c>
      <c r="H2" s="10" t="s">
        <v>79</v>
      </c>
      <c r="I2" s="6" t="s">
        <v>46</v>
      </c>
      <c r="J2" s="6" t="s">
        <v>49</v>
      </c>
      <c r="K2" s="6" t="s">
        <v>53</v>
      </c>
      <c r="L2" s="6" t="s">
        <v>51</v>
      </c>
      <c r="M2" s="6" t="s">
        <v>51</v>
      </c>
      <c r="N2" s="6" t="s">
        <v>51</v>
      </c>
      <c r="O2" s="6" t="s">
        <v>51</v>
      </c>
      <c r="P2" s="6" t="s">
        <v>51</v>
      </c>
      <c r="Q2" s="23" t="s">
        <v>63</v>
      </c>
      <c r="R2" s="6"/>
      <c r="S2" s="6"/>
      <c r="T2" s="6" t="s">
        <v>67</v>
      </c>
      <c r="U2" s="23" t="s">
        <v>69</v>
      </c>
      <c r="V2" s="6" t="s">
        <v>71</v>
      </c>
      <c r="W2" s="6" t="s">
        <v>53</v>
      </c>
      <c r="X2" s="6" t="s">
        <v>71</v>
      </c>
      <c r="Y2" s="6" t="s">
        <v>71</v>
      </c>
      <c r="Z2" s="6" t="s">
        <v>76</v>
      </c>
      <c r="AA2" s="3"/>
      <c r="AB2" s="4" t="s">
        <v>31</v>
      </c>
      <c r="AC2" s="13" t="s">
        <v>33</v>
      </c>
      <c r="AD2" s="4" t="s">
        <v>34</v>
      </c>
      <c r="AE2" s="4">
        <v>0.75</v>
      </c>
    </row>
    <row r="3" spans="1:31" ht="22">
      <c r="A3" s="2">
        <v>9.8000000000000004E-2</v>
      </c>
      <c r="B3" s="2">
        <f>'Rough Mass Calculations'!C26/100</f>
        <v>0.1016</v>
      </c>
      <c r="C3" s="2">
        <f>(PI()/4)*(('Rough Mass Calculations'!$C$26/100)^2)</f>
        <v>8.107319665559963E-3</v>
      </c>
      <c r="D3" s="2">
        <f>'Rough Mass Calculations'!D26/1000</f>
        <v>14.651647649090785</v>
      </c>
      <c r="E3" s="2">
        <f>(0.5)*($AE$3*$AE$2)*C3</f>
        <v>3.7090987469936831E-3</v>
      </c>
      <c r="F3" s="8" t="s">
        <v>77</v>
      </c>
      <c r="G3" s="24" t="s">
        <v>78</v>
      </c>
      <c r="H3" s="24"/>
      <c r="I3" s="2">
        <v>1340</v>
      </c>
      <c r="J3" s="2">
        <v>7369</v>
      </c>
      <c r="K3" s="2">
        <f>J3/I3</f>
        <v>5.4992537313432832</v>
      </c>
      <c r="L3" s="2">
        <v>6.9980000000000002</v>
      </c>
      <c r="M3" s="2">
        <f>L3-N3</f>
        <v>2.9550000000000001</v>
      </c>
      <c r="N3" s="2">
        <v>4.0430000000000001</v>
      </c>
      <c r="O3" s="2">
        <f>(M3+D3+(N3/2))</f>
        <v>19.628147649090785</v>
      </c>
      <c r="P3" s="2">
        <f>(M3+D3)</f>
        <v>17.606647649090785</v>
      </c>
      <c r="Q3" s="8">
        <f>SQRT((I3-(O3*$AE$4))/E3)</f>
        <v>556.20166489912992</v>
      </c>
      <c r="R3" s="2">
        <f>SQRT((P3*$AE$4)/E3)</f>
        <v>215.79364081374587</v>
      </c>
      <c r="S3" s="2">
        <f>SQRT((E3*$AE$4)/P3)</f>
        <v>4.5460097725804303E-2</v>
      </c>
      <c r="T3" s="2">
        <f>(2*E3*Q3)/O3</f>
        <v>0.21020902585769224</v>
      </c>
      <c r="U3" s="8">
        <f>Q3*(1-EXP((-T3)*K3)) / (1+EXP((-T3)*K3))</f>
        <v>289.89655477980267</v>
      </c>
      <c r="V3" s="4">
        <f>(-O3/(2*E3))*(LN((I3-(O3*$AE$4)-(E3*(U3^2)))/(I3-(O3*$AE$4))))</f>
        <v>838.7217498767269</v>
      </c>
      <c r="W3" s="4">
        <f>ATAN(U3/R3)/S3</f>
        <v>20.477315135787364</v>
      </c>
      <c r="X3" s="2">
        <f>(P3/(2*E3))*LN(((P3*$AE$4)+(E3*(U3^2)))/(P3*$AE$4))</f>
        <v>2447.7340762784179</v>
      </c>
      <c r="Y3" s="2">
        <f>V3+X3</f>
        <v>3286.4558261551447</v>
      </c>
      <c r="Z3" s="2">
        <f>Y3*3.28084</f>
        <v>10782.335732682845</v>
      </c>
      <c r="AB3" s="2" t="s">
        <v>35</v>
      </c>
      <c r="AC3" s="14" t="s">
        <v>36</v>
      </c>
      <c r="AD3" s="2" t="s">
        <v>37</v>
      </c>
      <c r="AE3" s="2">
        <v>1.22</v>
      </c>
    </row>
    <row r="4" spans="1:31">
      <c r="A4" s="2">
        <v>9.8000000000000004E-2</v>
      </c>
      <c r="B4" s="2">
        <f>'Rough Mass Calculations'!$C$26/100</f>
        <v>0.1016</v>
      </c>
      <c r="C4" s="2">
        <f>(PI()/4)*(('Rough Mass Calculations'!$C$26/100)^2)</f>
        <v>8.107319665559963E-3</v>
      </c>
      <c r="D4" s="2">
        <f>'Rough Mass Calculations'!$D$26/1000</f>
        <v>14.651647649090785</v>
      </c>
      <c r="E4" s="2">
        <f t="shared" ref="E4:E5" si="0">(0.5)*($AE$3*$AE$2)*C4</f>
        <v>3.7090987469936831E-3</v>
      </c>
      <c r="F4" s="8" t="s">
        <v>80</v>
      </c>
      <c r="G4" s="4" t="s">
        <v>81</v>
      </c>
      <c r="H4" s="11"/>
      <c r="I4" s="2">
        <v>2000</v>
      </c>
      <c r="J4" s="2">
        <v>13347.1</v>
      </c>
      <c r="K4" s="2">
        <f>J4/I4</f>
        <v>6.6735500000000005</v>
      </c>
      <c r="L4" s="2">
        <v>12.282999999999999</v>
      </c>
      <c r="M4" s="2">
        <f>L4-N4</f>
        <v>4.5299999999999994</v>
      </c>
      <c r="N4" s="2">
        <v>7.7530000000000001</v>
      </c>
      <c r="O4" s="2">
        <f>(M4+D4+(N4/2))</f>
        <v>23.058147649090785</v>
      </c>
      <c r="P4" s="2">
        <f>(M4+D4)</f>
        <v>19.181647649090785</v>
      </c>
      <c r="Q4" s="8">
        <f>SQRT((I4-(O4*$AE$4))/E4)</f>
        <v>691.54122514261246</v>
      </c>
      <c r="R4" s="2">
        <f>SQRT((P4*$AE$4)/E4)</f>
        <v>225.23882879146811</v>
      </c>
      <c r="S4" s="2">
        <f>SQRT((E4*$AE$4)/P4)</f>
        <v>4.3553769359555454E-2</v>
      </c>
      <c r="T4" s="2">
        <f>(2*E4*Q4)/O4</f>
        <v>0.22248055053737864</v>
      </c>
      <c r="U4" s="8">
        <f>Q4*((1-EXP(-T4*K4))/(1+EXP(-T4*K4)))</f>
        <v>436.06753090309246</v>
      </c>
      <c r="V4" s="4">
        <f>(-O4/(2*E4))*(LN((I4-(O4*$AE$4)-(E4*(U4^2)))/(I4-(O4*$AE$4))))</f>
        <v>1575.520107302676</v>
      </c>
      <c r="W4" s="4">
        <f>ATAN(U4/R4)/S4</f>
        <v>25.118790490974803</v>
      </c>
      <c r="X4" s="2">
        <f t="shared" ref="X4:X5" si="1">(P4/(2*E4))*LN(((P4*$AE$4)+(E4*(U4^2)))/(P4*$AE$4))</f>
        <v>4027.9931824692931</v>
      </c>
      <c r="Y4" s="2">
        <f>V4+X4</f>
        <v>5603.5132897719686</v>
      </c>
      <c r="Z4" s="2">
        <f>Y4*3.28084</f>
        <v>18384.230541615467</v>
      </c>
      <c r="AB4" s="2" t="s">
        <v>38</v>
      </c>
      <c r="AC4" s="14" t="s">
        <v>39</v>
      </c>
      <c r="AD4" s="2" t="s">
        <v>40</v>
      </c>
      <c r="AE4" s="2">
        <v>9.81</v>
      </c>
    </row>
    <row r="5" spans="1:31">
      <c r="A5" s="2">
        <v>9.8000000000000004E-2</v>
      </c>
      <c r="B5" s="2">
        <f>'Rough Mass Calculations'!$C$26/100</f>
        <v>0.1016</v>
      </c>
      <c r="C5" s="2">
        <f>(PI()/4)*(('Rough Mass Calculations'!$C$26/100)^2)</f>
        <v>8.107319665559963E-3</v>
      </c>
      <c r="D5" s="2">
        <f>'Rough Mass Calculations'!$D$26/1000</f>
        <v>14.651647649090785</v>
      </c>
      <c r="E5" s="2">
        <f t="shared" si="0"/>
        <v>3.7090987469936831E-3</v>
      </c>
      <c r="F5" s="2" t="s">
        <v>83</v>
      </c>
      <c r="G5" s="4" t="s">
        <v>81</v>
      </c>
      <c r="H5" s="11"/>
      <c r="I5" s="2">
        <v>3168</v>
      </c>
      <c r="J5" s="2">
        <v>14041</v>
      </c>
      <c r="K5" s="2">
        <f>J5/I5</f>
        <v>4.4321338383838382</v>
      </c>
      <c r="L5" s="2">
        <v>12.054</v>
      </c>
      <c r="M5" s="2">
        <f>L5-N5</f>
        <v>4.5420000000000007</v>
      </c>
      <c r="N5" s="2">
        <v>7.5119999999999996</v>
      </c>
      <c r="O5" s="2">
        <f>(M5+D5+(N5/2))</f>
        <v>22.949647649090785</v>
      </c>
      <c r="P5" s="2">
        <f>(M5+D5)</f>
        <v>19.193647649090785</v>
      </c>
      <c r="Q5" s="8">
        <f>SQRT((I5-(O5*$AE$4))/E5)</f>
        <v>890.7398763707231</v>
      </c>
      <c r="R5" s="2">
        <f>SQRT((P5*$AE$4)/E5)</f>
        <v>225.30927225389232</v>
      </c>
      <c r="S5" s="2">
        <f>SQRT((E5*$AE$4)/P5)</f>
        <v>4.3540152173344601E-2</v>
      </c>
      <c r="T5" s="2">
        <f>(2*E5*Q5)/O5</f>
        <v>0.28792094849219596</v>
      </c>
      <c r="U5" s="8">
        <f>Q5*((1-EXP(-T5*K5))/(1+EXP(-T5*K5)))</f>
        <v>501.99586075616014</v>
      </c>
      <c r="V5" s="4">
        <f>(-O5/(2*E5))*(LN((I5-(O5*$AE$4)-(E5*(U5^2)))/(I5-(O5*$AE$4))))</f>
        <v>1182.282397130404</v>
      </c>
      <c r="W5" s="4">
        <f>ATAN(U5/R5)/S5</f>
        <v>26.387559042736562</v>
      </c>
      <c r="X5" s="2">
        <f t="shared" si="1"/>
        <v>4620.4313979898607</v>
      </c>
      <c r="Y5" s="2">
        <f>V5+X5</f>
        <v>5802.7137951202649</v>
      </c>
      <c r="Z5" s="2">
        <f>Y5*3.28084</f>
        <v>19037.775527582369</v>
      </c>
      <c r="AB5" s="2"/>
      <c r="AC5" s="2"/>
      <c r="AD5" s="2"/>
      <c r="AE5" s="2"/>
    </row>
    <row r="6" spans="1:31">
      <c r="E6" s="2"/>
      <c r="AB6" s="2"/>
      <c r="AC6" s="2"/>
      <c r="AD6" s="2"/>
    </row>
    <row r="7" spans="1:31">
      <c r="E7" s="2"/>
    </row>
    <row r="8" spans="1:31">
      <c r="E8" s="2"/>
    </row>
    <row r="9" spans="1:31">
      <c r="E9" s="2"/>
    </row>
    <row r="10" spans="1:31">
      <c r="E10" s="2"/>
    </row>
    <row r="11" spans="1:31">
      <c r="E11" s="2"/>
    </row>
    <row r="12" spans="1:31">
      <c r="E12" s="2"/>
    </row>
    <row r="13" spans="1:31">
      <c r="E13" s="2"/>
    </row>
    <row r="14" spans="1:31">
      <c r="E14" s="2"/>
    </row>
    <row r="15" spans="1:31">
      <c r="E15" s="2"/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Rough Mass Calculations</vt:lpstr>
      <vt:lpstr>Rough Flight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Zanko</dc:creator>
  <cp:lastModifiedBy>Dan Zanko</cp:lastModifiedBy>
  <dcterms:created xsi:type="dcterms:W3CDTF">2018-04-01T17:40:15Z</dcterms:created>
  <dcterms:modified xsi:type="dcterms:W3CDTF">2018-04-01T19:27:17Z</dcterms:modified>
</cp:coreProperties>
</file>