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pulsion\Run Tank\"/>
    </mc:Choice>
  </mc:AlternateContent>
  <xr:revisionPtr revIDLastSave="0" documentId="13_ncr:1_{DD688838-8022-43A2-8E65-E68F01F714E9}" xr6:coauthVersionLast="44" xr6:coauthVersionMax="44" xr10:uidLastSave="{00000000-0000-0000-0000-000000000000}"/>
  <bookViews>
    <workbookView xWindow="-120" yWindow="-120" windowWidth="29040" windowHeight="15840" tabRatio="854" firstSheet="4" activeTab="7" xr2:uid="{838B0196-D158-479E-A7C6-911A07F6EFB7}"/>
  </bookViews>
  <sheets>
    <sheet name="BPV Calcs - T6" sheetId="1" r:id="rId1"/>
    <sheet name="BPV Calcs - T51" sheetId="7" r:id="rId2"/>
    <sheet name="BPV Calcs for No PWHT" sheetId="6" r:id="rId3"/>
    <sheet name="N2O Pressure Calcs" sheetId="2" r:id="rId4"/>
    <sheet name="N2O Ullage Calcs" sheetId="3" r:id="rId5"/>
    <sheet name="Max Mass 4 a set Diptube length" sheetId="11" r:id="rId6"/>
    <sheet name="RT Mounting Bolt Calcs" sheetId="5" r:id="rId7"/>
    <sheet name="Min Yield Strength Allow -Shell" sheetId="9" r:id="rId8"/>
    <sheet name="Min Yield Strength Allow - Head" sheetId="10" r:id="rId9"/>
  </sheets>
  <definedNames>
    <definedName name="_MailAutoSig" localSheetId="5">'Max Mass 4 a set Diptube length'!$N$14</definedName>
    <definedName name="_MailAutoSig" localSheetId="4">'N2O Ullage Calcs'!$N$14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1" l="1"/>
  <c r="L16" i="11"/>
  <c r="L24" i="11"/>
  <c r="L27" i="11"/>
  <c r="L28" i="11"/>
  <c r="L39" i="11"/>
  <c r="L40" i="11"/>
  <c r="L51" i="11"/>
  <c r="L52" i="11"/>
  <c r="J5" i="11"/>
  <c r="K5" i="11" s="1"/>
  <c r="J6" i="11"/>
  <c r="J7" i="11"/>
  <c r="J8" i="11"/>
  <c r="J9" i="11"/>
  <c r="J10" i="11"/>
  <c r="J11" i="11"/>
  <c r="J12" i="11"/>
  <c r="J13" i="11"/>
  <c r="K13" i="11" s="1"/>
  <c r="L13" i="11" s="1"/>
  <c r="J14" i="11"/>
  <c r="K14" i="11" s="1"/>
  <c r="L14" i="11" s="1"/>
  <c r="J15" i="11"/>
  <c r="K15" i="11" s="1"/>
  <c r="J16" i="11"/>
  <c r="K16" i="11" s="1"/>
  <c r="J17" i="11"/>
  <c r="K17" i="11" s="1"/>
  <c r="J18" i="11"/>
  <c r="J19" i="11"/>
  <c r="J20" i="11"/>
  <c r="J21" i="11"/>
  <c r="J22" i="11"/>
  <c r="J23" i="11"/>
  <c r="J24" i="11"/>
  <c r="J25" i="11"/>
  <c r="K25" i="11" s="1"/>
  <c r="L25" i="11" s="1"/>
  <c r="J26" i="11"/>
  <c r="K26" i="11" s="1"/>
  <c r="L26" i="11" s="1"/>
  <c r="J27" i="11"/>
  <c r="K27" i="11" s="1"/>
  <c r="J28" i="11"/>
  <c r="K28" i="11" s="1"/>
  <c r="J29" i="11"/>
  <c r="K29" i="11" s="1"/>
  <c r="J30" i="11"/>
  <c r="J31" i="11"/>
  <c r="J32" i="11"/>
  <c r="J33" i="11"/>
  <c r="J34" i="11"/>
  <c r="J35" i="11"/>
  <c r="J36" i="11"/>
  <c r="K36" i="11" s="1"/>
  <c r="L36" i="11" s="1"/>
  <c r="J37" i="11"/>
  <c r="K37" i="11" s="1"/>
  <c r="L37" i="11" s="1"/>
  <c r="J38" i="11"/>
  <c r="K38" i="11" s="1"/>
  <c r="L38" i="11" s="1"/>
  <c r="J39" i="11"/>
  <c r="K39" i="11" s="1"/>
  <c r="J40" i="11"/>
  <c r="K40" i="11" s="1"/>
  <c r="J41" i="11"/>
  <c r="K41" i="11" s="1"/>
  <c r="J42" i="11"/>
  <c r="J43" i="11"/>
  <c r="J44" i="11"/>
  <c r="J45" i="11"/>
  <c r="J46" i="11"/>
  <c r="J47" i="11"/>
  <c r="J48" i="11"/>
  <c r="K48" i="11" s="1"/>
  <c r="L48" i="11" s="1"/>
  <c r="J49" i="11"/>
  <c r="K49" i="11" s="1"/>
  <c r="L49" i="11" s="1"/>
  <c r="J50" i="11"/>
  <c r="K50" i="11" s="1"/>
  <c r="L50" i="11" s="1"/>
  <c r="J51" i="11"/>
  <c r="K51" i="11" s="1"/>
  <c r="J52" i="11"/>
  <c r="K52" i="11" s="1"/>
  <c r="J4" i="11"/>
  <c r="K47" i="11"/>
  <c r="L47" i="11" s="1"/>
  <c r="K46" i="11"/>
  <c r="K45" i="11"/>
  <c r="K44" i="11"/>
  <c r="K43" i="11"/>
  <c r="K42" i="11"/>
  <c r="K35" i="11"/>
  <c r="L35" i="11" s="1"/>
  <c r="K34" i="11"/>
  <c r="K33" i="11"/>
  <c r="K32" i="11"/>
  <c r="K31" i="11"/>
  <c r="K30" i="11"/>
  <c r="K24" i="11"/>
  <c r="K23" i="11"/>
  <c r="L23" i="11" s="1"/>
  <c r="K22" i="11"/>
  <c r="K21" i="11"/>
  <c r="K20" i="11"/>
  <c r="K19" i="11"/>
  <c r="K18" i="11"/>
  <c r="K12" i="11"/>
  <c r="L12" i="11" s="1"/>
  <c r="K11" i="11"/>
  <c r="L11" i="11" s="1"/>
  <c r="K10" i="11"/>
  <c r="K9" i="11"/>
  <c r="K8" i="11"/>
  <c r="K7" i="11"/>
  <c r="K6" i="11"/>
  <c r="K4" i="11"/>
  <c r="H5" i="11"/>
  <c r="L5" i="11" s="1"/>
  <c r="H6" i="11"/>
  <c r="L6" i="11" s="1"/>
  <c r="H7" i="11"/>
  <c r="L7" i="11" s="1"/>
  <c r="H8" i="11"/>
  <c r="L8" i="11" s="1"/>
  <c r="H9" i="11"/>
  <c r="L9" i="11" s="1"/>
  <c r="H10" i="11"/>
  <c r="L10" i="11" s="1"/>
  <c r="H11" i="11"/>
  <c r="H12" i="11"/>
  <c r="H13" i="11"/>
  <c r="H14" i="11"/>
  <c r="H15" i="11"/>
  <c r="H16" i="11"/>
  <c r="H17" i="11"/>
  <c r="L17" i="11" s="1"/>
  <c r="H18" i="11"/>
  <c r="L18" i="11" s="1"/>
  <c r="H19" i="11"/>
  <c r="L19" i="11" s="1"/>
  <c r="H20" i="11"/>
  <c r="L20" i="11" s="1"/>
  <c r="H21" i="11"/>
  <c r="L21" i="11" s="1"/>
  <c r="H22" i="11"/>
  <c r="L22" i="11" s="1"/>
  <c r="H23" i="11"/>
  <c r="H24" i="11"/>
  <c r="H25" i="11"/>
  <c r="H26" i="11"/>
  <c r="H27" i="11"/>
  <c r="H28" i="11"/>
  <c r="H29" i="11"/>
  <c r="L29" i="11" s="1"/>
  <c r="H30" i="11"/>
  <c r="L30" i="11" s="1"/>
  <c r="H31" i="11"/>
  <c r="L31" i="11" s="1"/>
  <c r="H32" i="11"/>
  <c r="L32" i="11" s="1"/>
  <c r="H33" i="11"/>
  <c r="L33" i="11" s="1"/>
  <c r="H34" i="11"/>
  <c r="L34" i="11" s="1"/>
  <c r="H35" i="11"/>
  <c r="H36" i="11"/>
  <c r="H37" i="11"/>
  <c r="H38" i="11"/>
  <c r="H39" i="11"/>
  <c r="H40" i="11"/>
  <c r="H41" i="11"/>
  <c r="L41" i="11" s="1"/>
  <c r="H42" i="11"/>
  <c r="L42" i="11" s="1"/>
  <c r="H43" i="11"/>
  <c r="L43" i="11" s="1"/>
  <c r="H44" i="11"/>
  <c r="L44" i="11" s="1"/>
  <c r="H45" i="11"/>
  <c r="L45" i="11" s="1"/>
  <c r="H46" i="11"/>
  <c r="L46" i="11" s="1"/>
  <c r="H47" i="11"/>
  <c r="H48" i="11"/>
  <c r="H49" i="11"/>
  <c r="H50" i="11"/>
  <c r="H51" i="11"/>
  <c r="H52" i="11"/>
  <c r="H4" i="11"/>
  <c r="L4" i="11" s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H53" i="11" s="1"/>
  <c r="L53" i="11" s="1"/>
  <c r="G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4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" i="11"/>
  <c r="F6" i="11"/>
  <c r="F7" i="11"/>
  <c r="F8" i="11"/>
  <c r="F9" i="11"/>
  <c r="F10" i="11"/>
  <c r="F4" i="11"/>
  <c r="E4" i="3"/>
  <c r="R10" i="11"/>
  <c r="R14" i="11" s="1"/>
  <c r="N19" i="3"/>
  <c r="N18" i="3"/>
  <c r="D53" i="11"/>
  <c r="C53" i="11"/>
  <c r="J53" i="11" s="1"/>
  <c r="K53" i="11" s="1"/>
  <c r="B53" i="11"/>
  <c r="D47" i="11"/>
  <c r="C47" i="11"/>
  <c r="B47" i="11"/>
  <c r="R13" i="11" l="1"/>
  <c r="R15" i="11" s="1"/>
  <c r="R11" i="11"/>
  <c r="G57" i="3"/>
  <c r="N17" i="3" s="1"/>
  <c r="N14" i="3"/>
  <c r="N16" i="3" s="1"/>
  <c r="B13" i="10" l="1"/>
  <c r="B13" i="9" l="1"/>
  <c r="B13" i="7" l="1"/>
  <c r="I54" i="3" l="1"/>
  <c r="B13" i="6"/>
  <c r="E31" i="3" l="1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B27" i="5" l="1"/>
  <c r="I6" i="5"/>
  <c r="B3" i="5" s="1"/>
  <c r="I13" i="5"/>
  <c r="I8" i="5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8" i="2"/>
  <c r="I49" i="2"/>
  <c r="I50" i="2"/>
  <c r="I51" i="2"/>
  <c r="I52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4" i="2"/>
  <c r="I9" i="5"/>
  <c r="I2" i="5"/>
  <c r="B22" i="5" s="1"/>
  <c r="B9" i="5" l="1"/>
  <c r="I10" i="5"/>
  <c r="B13" i="1" l="1"/>
  <c r="L45" i="3" l="1"/>
  <c r="L46" i="3"/>
  <c r="L47" i="3"/>
  <c r="L48" i="3"/>
  <c r="L49" i="3"/>
  <c r="L50" i="3"/>
  <c r="L51" i="3"/>
  <c r="L52" i="3"/>
  <c r="L53" i="3"/>
  <c r="P2" i="2"/>
  <c r="O2" i="3" l="1"/>
  <c r="O7" i="3"/>
  <c r="G55" i="3"/>
  <c r="J54" i="3" s="1"/>
  <c r="D53" i="3"/>
  <c r="C53" i="3"/>
  <c r="F53" i="3" s="1"/>
  <c r="B53" i="3"/>
  <c r="D47" i="3"/>
  <c r="C47" i="3"/>
  <c r="B47" i="3"/>
  <c r="M7" i="2"/>
  <c r="I14" i="5" s="1"/>
  <c r="I16" i="5" s="1"/>
  <c r="G15" i="3" l="1"/>
  <c r="G27" i="3"/>
  <c r="G39" i="3"/>
  <c r="G51" i="3"/>
  <c r="G42" i="3"/>
  <c r="G7" i="3"/>
  <c r="G43" i="3"/>
  <c r="G21" i="3"/>
  <c r="G34" i="3"/>
  <c r="G23" i="3"/>
  <c r="G35" i="3"/>
  <c r="G24" i="3"/>
  <c r="G48" i="3"/>
  <c r="G25" i="3"/>
  <c r="G49" i="3"/>
  <c r="G4" i="3"/>
  <c r="G56" i="3" s="1"/>
  <c r="G16" i="3"/>
  <c r="G28" i="3"/>
  <c r="G40" i="3"/>
  <c r="G52" i="3"/>
  <c r="G30" i="3"/>
  <c r="G19" i="3"/>
  <c r="G32" i="3"/>
  <c r="G9" i="3"/>
  <c r="G45" i="3"/>
  <c r="G22" i="3"/>
  <c r="G14" i="3"/>
  <c r="G50" i="3"/>
  <c r="G5" i="3"/>
  <c r="G17" i="3"/>
  <c r="G29" i="3"/>
  <c r="G41" i="3"/>
  <c r="G18" i="3"/>
  <c r="G31" i="3"/>
  <c r="G8" i="3"/>
  <c r="G44" i="3"/>
  <c r="G33" i="3"/>
  <c r="G46" i="3"/>
  <c r="G11" i="3"/>
  <c r="G6" i="3"/>
  <c r="G20" i="3"/>
  <c r="G10" i="3"/>
  <c r="G47" i="3"/>
  <c r="G12" i="3"/>
  <c r="G36" i="3"/>
  <c r="G13" i="3"/>
  <c r="G37" i="3"/>
  <c r="G26" i="3"/>
  <c r="G38" i="3"/>
  <c r="F14" i="3"/>
  <c r="I14" i="3" s="1"/>
  <c r="F26" i="3"/>
  <c r="I26" i="3" s="1"/>
  <c r="F38" i="3"/>
  <c r="I38" i="3" s="1"/>
  <c r="F50" i="3"/>
  <c r="I50" i="3" s="1"/>
  <c r="F27" i="3"/>
  <c r="I27" i="3" s="1"/>
  <c r="F51" i="3"/>
  <c r="I51" i="3" s="1"/>
  <c r="F41" i="3"/>
  <c r="I41" i="3" s="1"/>
  <c r="F18" i="3"/>
  <c r="I18" i="3" s="1"/>
  <c r="F4" i="3"/>
  <c r="F31" i="3"/>
  <c r="I31" i="3" s="1"/>
  <c r="F32" i="3"/>
  <c r="I32" i="3" s="1"/>
  <c r="F21" i="3"/>
  <c r="I21" i="3" s="1"/>
  <c r="F45" i="3"/>
  <c r="I45" i="3" s="1"/>
  <c r="F23" i="3"/>
  <c r="I23" i="3" s="1"/>
  <c r="F35" i="3"/>
  <c r="I35" i="3" s="1"/>
  <c r="F36" i="3"/>
  <c r="I36" i="3" s="1"/>
  <c r="F49" i="3"/>
  <c r="I49" i="3" s="1"/>
  <c r="G53" i="3"/>
  <c r="F15" i="3"/>
  <c r="I15" i="3" s="1"/>
  <c r="F39" i="3"/>
  <c r="I39" i="3" s="1"/>
  <c r="F5" i="3"/>
  <c r="I5" i="3" s="1"/>
  <c r="I53" i="3"/>
  <c r="F30" i="3"/>
  <c r="I30" i="3" s="1"/>
  <c r="F19" i="3"/>
  <c r="I19" i="3" s="1"/>
  <c r="F8" i="3"/>
  <c r="I8" i="3" s="1"/>
  <c r="F22" i="3"/>
  <c r="I22" i="3" s="1"/>
  <c r="F24" i="3"/>
  <c r="I24" i="3" s="1"/>
  <c r="F37" i="3"/>
  <c r="I37" i="3" s="1"/>
  <c r="F16" i="3"/>
  <c r="I16" i="3" s="1"/>
  <c r="F28" i="3"/>
  <c r="I28" i="3" s="1"/>
  <c r="F40" i="3"/>
  <c r="I40" i="3" s="1"/>
  <c r="F52" i="3"/>
  <c r="I52" i="3" s="1"/>
  <c r="F17" i="3"/>
  <c r="I17" i="3" s="1"/>
  <c r="F6" i="3"/>
  <c r="I6" i="3" s="1"/>
  <c r="F42" i="3"/>
  <c r="I42" i="3" s="1"/>
  <c r="F7" i="3"/>
  <c r="I7" i="3" s="1"/>
  <c r="F20" i="3"/>
  <c r="I20" i="3" s="1"/>
  <c r="F10" i="3"/>
  <c r="I10" i="3" s="1"/>
  <c r="F47" i="3"/>
  <c r="I47" i="3" s="1"/>
  <c r="F25" i="3"/>
  <c r="I25" i="3" s="1"/>
  <c r="F29" i="3"/>
  <c r="I29" i="3" s="1"/>
  <c r="F43" i="3"/>
  <c r="I43" i="3" s="1"/>
  <c r="F44" i="3"/>
  <c r="I44" i="3" s="1"/>
  <c r="F9" i="3"/>
  <c r="I9" i="3" s="1"/>
  <c r="F33" i="3"/>
  <c r="I33" i="3" s="1"/>
  <c r="F46" i="3"/>
  <c r="I46" i="3" s="1"/>
  <c r="F11" i="3"/>
  <c r="I11" i="3" s="1"/>
  <c r="F48" i="3"/>
  <c r="I48" i="3" s="1"/>
  <c r="F13" i="3"/>
  <c r="I13" i="3" s="1"/>
  <c r="F34" i="3"/>
  <c r="I34" i="3" s="1"/>
  <c r="F12" i="3"/>
  <c r="I12" i="3" s="1"/>
  <c r="E47" i="3"/>
  <c r="E53" i="3"/>
  <c r="B8" i="5"/>
  <c r="B10" i="5" s="1"/>
  <c r="B15" i="5"/>
  <c r="B17" i="5" s="1"/>
  <c r="B26" i="5"/>
  <c r="B28" i="5" s="1"/>
  <c r="B2" i="5"/>
  <c r="B4" i="5" s="1"/>
  <c r="B21" i="5"/>
  <c r="B23" i="5" s="1"/>
  <c r="D47" i="2"/>
  <c r="C47" i="2"/>
  <c r="B47" i="2"/>
  <c r="P3" i="2"/>
  <c r="C53" i="2"/>
  <c r="D53" i="2"/>
  <c r="B53" i="2"/>
  <c r="I4" i="3" l="1"/>
  <c r="J17" i="3"/>
  <c r="K17" i="3" s="1"/>
  <c r="L17" i="3" s="1"/>
  <c r="I47" i="2"/>
  <c r="I53" i="2"/>
  <c r="J52" i="3" l="1"/>
  <c r="J16" i="3"/>
  <c r="K16" i="3" s="1"/>
  <c r="L16" i="3" s="1"/>
  <c r="J39" i="3"/>
  <c r="K39" i="3" s="1"/>
  <c r="L39" i="3" s="1"/>
  <c r="J38" i="3"/>
  <c r="K38" i="3" s="1"/>
  <c r="L38" i="3" s="1"/>
  <c r="J34" i="3"/>
  <c r="K34" i="3" s="1"/>
  <c r="L34" i="3" s="1"/>
  <c r="J43" i="3"/>
  <c r="K43" i="3" s="1"/>
  <c r="L43" i="3" s="1"/>
  <c r="J31" i="3"/>
  <c r="K31" i="3" s="1"/>
  <c r="L31" i="3" s="1"/>
  <c r="J51" i="3"/>
  <c r="J15" i="3"/>
  <c r="K15" i="3" s="1"/>
  <c r="L15" i="3" s="1"/>
  <c r="J11" i="3"/>
  <c r="K11" i="3" s="1"/>
  <c r="L11" i="3" s="1"/>
  <c r="M46" i="3"/>
  <c r="J5" i="3"/>
  <c r="K5" i="3" s="1"/>
  <c r="L5" i="3" s="1"/>
  <c r="J10" i="3"/>
  <c r="K10" i="3" s="1"/>
  <c r="L10" i="3" s="1"/>
  <c r="J7" i="3"/>
  <c r="K7" i="3" s="1"/>
  <c r="L7" i="3" s="1"/>
  <c r="J37" i="3"/>
  <c r="K37" i="3" s="1"/>
  <c r="L37" i="3" s="1"/>
  <c r="J14" i="3"/>
  <c r="K14" i="3" s="1"/>
  <c r="L14" i="3" s="1"/>
  <c r="J30" i="3"/>
  <c r="K30" i="3" s="1"/>
  <c r="L30" i="3" s="1"/>
  <c r="M48" i="3"/>
  <c r="J12" i="3"/>
  <c r="K12" i="3" s="1"/>
  <c r="L12" i="3" s="1"/>
  <c r="J44" i="3"/>
  <c r="K44" i="3" s="1"/>
  <c r="L44" i="3" s="1"/>
  <c r="M53" i="3"/>
  <c r="J27" i="3"/>
  <c r="K27" i="3" s="1"/>
  <c r="L27" i="3" s="1"/>
  <c r="J33" i="3"/>
  <c r="K33" i="3" s="1"/>
  <c r="L33" i="3" s="1"/>
  <c r="M49" i="3"/>
  <c r="J21" i="3"/>
  <c r="K21" i="3" s="1"/>
  <c r="L21" i="3" s="1"/>
  <c r="J18" i="3"/>
  <c r="K18" i="3" s="1"/>
  <c r="L18" i="3" s="1"/>
  <c r="J25" i="3"/>
  <c r="K25" i="3" s="1"/>
  <c r="L25" i="3" s="1"/>
  <c r="J24" i="3"/>
  <c r="K24" i="3" s="1"/>
  <c r="L24" i="3" s="1"/>
  <c r="J9" i="3"/>
  <c r="K9" i="3" s="1"/>
  <c r="L9" i="3" s="1"/>
  <c r="J6" i="3"/>
  <c r="K6" i="3" s="1"/>
  <c r="L6" i="3" s="1"/>
  <c r="J22" i="3"/>
  <c r="K22" i="3" s="1"/>
  <c r="L22" i="3" s="1"/>
  <c r="J47" i="3"/>
  <c r="J32" i="3"/>
  <c r="K32" i="3" s="1"/>
  <c r="L32" i="3" s="1"/>
  <c r="J41" i="3"/>
  <c r="K41" i="3" s="1"/>
  <c r="L41" i="3" s="1"/>
  <c r="J19" i="3"/>
  <c r="K19" i="3" s="1"/>
  <c r="L19" i="3" s="1"/>
  <c r="J26" i="3"/>
  <c r="K26" i="3" s="1"/>
  <c r="L26" i="3" s="1"/>
  <c r="J4" i="3"/>
  <c r="K4" i="3" s="1"/>
  <c r="J36" i="3"/>
  <c r="K36" i="3" s="1"/>
  <c r="L36" i="3" s="1"/>
  <c r="J40" i="3"/>
  <c r="K40" i="3" s="1"/>
  <c r="L40" i="3" s="1"/>
  <c r="J35" i="3"/>
  <c r="K35" i="3" s="1"/>
  <c r="L35" i="3" s="1"/>
  <c r="J20" i="3"/>
  <c r="K20" i="3" s="1"/>
  <c r="L20" i="3" s="1"/>
  <c r="M50" i="3"/>
  <c r="J45" i="3"/>
  <c r="J42" i="3"/>
  <c r="K42" i="3" s="1"/>
  <c r="L42" i="3" s="1"/>
  <c r="J13" i="3"/>
  <c r="K13" i="3" s="1"/>
  <c r="L13" i="3" s="1"/>
  <c r="J29" i="3"/>
  <c r="K29" i="3" s="1"/>
  <c r="L29" i="3" s="1"/>
  <c r="J28" i="3"/>
  <c r="K28" i="3" s="1"/>
  <c r="L28" i="3" s="1"/>
  <c r="J23" i="3"/>
  <c r="K23" i="3" s="1"/>
  <c r="L23" i="3" s="1"/>
  <c r="J8" i="3"/>
  <c r="K8" i="3" s="1"/>
  <c r="L8" i="3" s="1"/>
  <c r="M52" i="3"/>
  <c r="P1" i="2"/>
  <c r="M2" i="2" s="1"/>
  <c r="M45" i="3" l="1"/>
  <c r="J50" i="3"/>
  <c r="M51" i="3"/>
  <c r="J48" i="3"/>
  <c r="J46" i="3"/>
  <c r="J49" i="3"/>
  <c r="M47" i="3"/>
  <c r="J53" i="3"/>
  <c r="G5" i="2"/>
  <c r="H5" i="2" s="1"/>
  <c r="J5" i="2" s="1"/>
  <c r="G17" i="2"/>
  <c r="H17" i="2" s="1"/>
  <c r="J17" i="2" s="1"/>
  <c r="G29" i="2"/>
  <c r="H29" i="2" s="1"/>
  <c r="J29" i="2" s="1"/>
  <c r="G41" i="2"/>
  <c r="H41" i="2" s="1"/>
  <c r="J41" i="2" s="1"/>
  <c r="G65" i="2"/>
  <c r="H65" i="2" s="1"/>
  <c r="J65" i="2" s="1"/>
  <c r="G22" i="2"/>
  <c r="H22" i="2" s="1"/>
  <c r="J22" i="2" s="1"/>
  <c r="G74" i="2"/>
  <c r="H74" i="2" s="1"/>
  <c r="J74" i="2" s="1"/>
  <c r="G60" i="2"/>
  <c r="H60" i="2" s="1"/>
  <c r="J60" i="2" s="1"/>
  <c r="G61" i="2"/>
  <c r="H61" i="2" s="1"/>
  <c r="J61" i="2" s="1"/>
  <c r="G77" i="2"/>
  <c r="H77" i="2" s="1"/>
  <c r="J77" i="2" s="1"/>
  <c r="G50" i="2"/>
  <c r="H50" i="2" s="1"/>
  <c r="J50" i="2" s="1"/>
  <c r="G63" i="2"/>
  <c r="H63" i="2" s="1"/>
  <c r="J63" i="2" s="1"/>
  <c r="G64" i="2"/>
  <c r="H64" i="2" s="1"/>
  <c r="J64" i="2" s="1"/>
  <c r="G6" i="2"/>
  <c r="H6" i="2" s="1"/>
  <c r="J6" i="2" s="1"/>
  <c r="G18" i="2"/>
  <c r="H18" i="2" s="1"/>
  <c r="J18" i="2" s="1"/>
  <c r="G30" i="2"/>
  <c r="H30" i="2" s="1"/>
  <c r="J30" i="2" s="1"/>
  <c r="G42" i="2"/>
  <c r="H42" i="2" s="1"/>
  <c r="J42" i="2" s="1"/>
  <c r="G54" i="2"/>
  <c r="H54" i="2" s="1"/>
  <c r="J54" i="2" s="1"/>
  <c r="G66" i="2"/>
  <c r="H66" i="2" s="1"/>
  <c r="J66" i="2" s="1"/>
  <c r="G10" i="2"/>
  <c r="H10" i="2" s="1"/>
  <c r="J10" i="2" s="1"/>
  <c r="G24" i="2"/>
  <c r="H24" i="2" s="1"/>
  <c r="J24" i="2" s="1"/>
  <c r="G48" i="2"/>
  <c r="H48" i="2" s="1"/>
  <c r="J48" i="2" s="1"/>
  <c r="G76" i="2"/>
  <c r="H76" i="2" s="1"/>
  <c r="J76" i="2" s="1"/>
  <c r="G49" i="2"/>
  <c r="H49" i="2" s="1"/>
  <c r="J49" i="2" s="1"/>
  <c r="G62" i="2"/>
  <c r="H62" i="2" s="1"/>
  <c r="J62" i="2" s="1"/>
  <c r="G15" i="2"/>
  <c r="H15" i="2" s="1"/>
  <c r="J15" i="2" s="1"/>
  <c r="G51" i="2"/>
  <c r="H51" i="2" s="1"/>
  <c r="J51" i="2" s="1"/>
  <c r="G28" i="2"/>
  <c r="H28" i="2" s="1"/>
  <c r="J28" i="2" s="1"/>
  <c r="G4" i="2"/>
  <c r="H4" i="2" s="1"/>
  <c r="J4" i="2" s="1"/>
  <c r="G7" i="2"/>
  <c r="H7" i="2" s="1"/>
  <c r="J7" i="2" s="1"/>
  <c r="G19" i="2"/>
  <c r="H19" i="2" s="1"/>
  <c r="J19" i="2" s="1"/>
  <c r="G31" i="2"/>
  <c r="H31" i="2" s="1"/>
  <c r="J31" i="2" s="1"/>
  <c r="G43" i="2"/>
  <c r="H43" i="2" s="1"/>
  <c r="J43" i="2" s="1"/>
  <c r="G55" i="2"/>
  <c r="H55" i="2" s="1"/>
  <c r="J55" i="2" s="1"/>
  <c r="G67" i="2"/>
  <c r="H67" i="2" s="1"/>
  <c r="J67" i="2" s="1"/>
  <c r="G34" i="2"/>
  <c r="H34" i="2" s="1"/>
  <c r="J34" i="2" s="1"/>
  <c r="G11" i="2"/>
  <c r="H11" i="2" s="1"/>
  <c r="J11" i="2" s="1"/>
  <c r="G59" i="2"/>
  <c r="H59" i="2" s="1"/>
  <c r="J59" i="2" s="1"/>
  <c r="G75" i="2"/>
  <c r="H75" i="2" s="1"/>
  <c r="J75" i="2" s="1"/>
  <c r="G37" i="2"/>
  <c r="H37" i="2" s="1"/>
  <c r="J37" i="2" s="1"/>
  <c r="G26" i="2"/>
  <c r="H26" i="2" s="1"/>
  <c r="J26" i="2" s="1"/>
  <c r="G78" i="2"/>
  <c r="H78" i="2" s="1"/>
  <c r="J78" i="2" s="1"/>
  <c r="G16" i="2"/>
  <c r="H16" i="2" s="1"/>
  <c r="J16" i="2" s="1"/>
  <c r="G8" i="2"/>
  <c r="H8" i="2" s="1"/>
  <c r="J8" i="2" s="1"/>
  <c r="G20" i="2"/>
  <c r="H20" i="2" s="1"/>
  <c r="J20" i="2" s="1"/>
  <c r="G32" i="2"/>
  <c r="H32" i="2" s="1"/>
  <c r="J32" i="2" s="1"/>
  <c r="G44" i="2"/>
  <c r="H44" i="2" s="1"/>
  <c r="J44" i="2" s="1"/>
  <c r="G56" i="2"/>
  <c r="H56" i="2" s="1"/>
  <c r="J56" i="2" s="1"/>
  <c r="G68" i="2"/>
  <c r="H68" i="2" s="1"/>
  <c r="J68" i="2" s="1"/>
  <c r="G58" i="2"/>
  <c r="H58" i="2" s="1"/>
  <c r="J58" i="2" s="1"/>
  <c r="G23" i="2"/>
  <c r="H23" i="2" s="1"/>
  <c r="J23" i="2" s="1"/>
  <c r="G71" i="2"/>
  <c r="H71" i="2" s="1"/>
  <c r="J71" i="2" s="1"/>
  <c r="G36" i="2"/>
  <c r="H36" i="2" s="1"/>
  <c r="J36" i="2" s="1"/>
  <c r="G13" i="2"/>
  <c r="H13" i="2" s="1"/>
  <c r="J13" i="2" s="1"/>
  <c r="G14" i="2"/>
  <c r="H14" i="2" s="1"/>
  <c r="J14" i="2" s="1"/>
  <c r="G27" i="2"/>
  <c r="H27" i="2" s="1"/>
  <c r="J27" i="2" s="1"/>
  <c r="G79" i="2"/>
  <c r="H79" i="2" s="1"/>
  <c r="J79" i="2" s="1"/>
  <c r="G72" i="2"/>
  <c r="H72" i="2" s="1"/>
  <c r="J72" i="2" s="1"/>
  <c r="G9" i="2"/>
  <c r="H9" i="2" s="1"/>
  <c r="J9" i="2" s="1"/>
  <c r="G21" i="2"/>
  <c r="H21" i="2" s="1"/>
  <c r="J21" i="2" s="1"/>
  <c r="G33" i="2"/>
  <c r="H33" i="2" s="1"/>
  <c r="J33" i="2" s="1"/>
  <c r="G45" i="2"/>
  <c r="H45" i="2" s="1"/>
  <c r="J45" i="2" s="1"/>
  <c r="G57" i="2"/>
  <c r="H57" i="2" s="1"/>
  <c r="J57" i="2" s="1"/>
  <c r="G69" i="2"/>
  <c r="H69" i="2" s="1"/>
  <c r="J69" i="2" s="1"/>
  <c r="G73" i="2"/>
  <c r="H73" i="2" s="1"/>
  <c r="J73" i="2" s="1"/>
  <c r="G46" i="2"/>
  <c r="H46" i="2" s="1"/>
  <c r="J46" i="2" s="1"/>
  <c r="G70" i="2"/>
  <c r="H70" i="2" s="1"/>
  <c r="J70" i="2" s="1"/>
  <c r="G35" i="2"/>
  <c r="H35" i="2" s="1"/>
  <c r="J35" i="2" s="1"/>
  <c r="G12" i="2"/>
  <c r="H12" i="2" s="1"/>
  <c r="J12" i="2" s="1"/>
  <c r="G25" i="2"/>
  <c r="H25" i="2" s="1"/>
  <c r="J25" i="2" s="1"/>
  <c r="G38" i="2"/>
  <c r="H38" i="2" s="1"/>
  <c r="J38" i="2" s="1"/>
  <c r="G39" i="2"/>
  <c r="H39" i="2" s="1"/>
  <c r="J39" i="2" s="1"/>
  <c r="G40" i="2"/>
  <c r="H40" i="2" s="1"/>
  <c r="J40" i="2" s="1"/>
  <c r="G52" i="2"/>
  <c r="H52" i="2" s="1"/>
  <c r="J52" i="2" s="1"/>
  <c r="G47" i="2"/>
  <c r="H47" i="2" s="1"/>
  <c r="J47" i="2" s="1"/>
  <c r="G53" i="2"/>
  <c r="H53" i="2" s="1"/>
  <c r="L4" i="3"/>
  <c r="G58" i="3"/>
  <c r="B16" i="6" l="1"/>
  <c r="B16" i="9"/>
  <c r="B16" i="10"/>
  <c r="B17" i="10" s="1"/>
  <c r="B16" i="7"/>
  <c r="B17" i="7" s="1"/>
  <c r="F8" i="7" s="1"/>
  <c r="B17" i="9"/>
  <c r="F9" i="7"/>
  <c r="J53" i="2"/>
  <c r="B17" i="6"/>
  <c r="B16" i="1"/>
  <c r="B17" i="1" s="1"/>
  <c r="F8" i="1" s="1"/>
  <c r="F12" i="7" l="1"/>
  <c r="F13" i="7" s="1"/>
  <c r="C14" i="7" s="1"/>
  <c r="B19" i="9"/>
  <c r="B19" i="10"/>
  <c r="F12" i="10"/>
  <c r="F13" i="10" s="1"/>
  <c r="C14" i="10" s="1"/>
  <c r="F8" i="10"/>
  <c r="F9" i="10"/>
  <c r="F10" i="7"/>
  <c r="C13" i="7" s="1"/>
  <c r="F8" i="9"/>
  <c r="F9" i="9"/>
  <c r="F12" i="9"/>
  <c r="F13" i="9" s="1"/>
  <c r="C14" i="9" s="1"/>
  <c r="B19" i="6"/>
  <c r="B19" i="7"/>
  <c r="B19" i="1"/>
  <c r="F12" i="6"/>
  <c r="F13" i="6" s="1"/>
  <c r="C14" i="6" s="1"/>
  <c r="F9" i="6"/>
  <c r="F8" i="6"/>
  <c r="F10" i="6" s="1"/>
  <c r="C13" i="6" s="1"/>
  <c r="F9" i="1"/>
  <c r="F10" i="1" s="1"/>
  <c r="C13" i="1" s="1"/>
  <c r="F12" i="1"/>
  <c r="F13" i="1" s="1"/>
  <c r="C14" i="1" s="1"/>
  <c r="F10" i="10" l="1"/>
  <c r="C13" i="10" s="1"/>
  <c r="F10" i="9"/>
  <c r="C13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9F188605-EE30-4C0D-A26D-BC3556D56C44}">
      <text>
        <r>
          <rPr>
            <b/>
            <sz val="9"/>
            <color rgb="FF000000"/>
            <rFont val="Tahoma"/>
            <family val="2"/>
          </rPr>
          <t>Dan: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<sst xmlns="http://schemas.openxmlformats.org/spreadsheetml/2006/main" count="276" uniqueCount="135">
  <si>
    <t>Inner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</si>
  <si>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</si>
  <si>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</si>
  <si>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</si>
  <si>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</si>
  <si>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</si>
  <si>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</si>
  <si>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</si>
  <si>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</si>
  <si>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</si>
  <si>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</si>
  <si>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</si>
  <si>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</si>
  <si>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</si>
  <si>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</si>
  <si>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</si>
  <si>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</si>
  <si>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</si>
  <si>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</si>
  <si>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</si>
  <si>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</si>
  <si>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</si>
  <si>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</si>
  <si>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</si>
  <si>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</si>
  <si>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</si>
  <si>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</si>
  <si>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</si>
  <si>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</si>
  <si>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</si>
  <si>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</si>
  <si>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</si>
  <si>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</si>
  <si>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</si>
  <si>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</si>
  <si>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</si>
  <si>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</si>
  <si>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</si>
  <si>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</si>
  <si>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</si>
  <si>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</si>
  <si>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</si>
  <si>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</si>
  <si>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</si>
  <si>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</si>
  <si>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</si>
  <si>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</si>
  <si>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</si>
  <si>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Height from top of storage volume required</t>
  </si>
  <si>
    <t>Ullage Volume Required in Shell</t>
  </si>
  <si>
    <t>RESIDUALS</t>
  </si>
  <si>
    <t>MAX OPERATING TEMP &amp; PRESSURES</t>
  </si>
  <si>
    <t>in</t>
  </si>
  <si>
    <t>using initial guess of 0</t>
  </si>
  <si>
    <t>UG-32.e ---- t_min (in.)</t>
  </si>
  <si>
    <t>MINIMUM Hemi-HEAD Thickness (in.)</t>
  </si>
  <si>
    <t>Plumbing Length [RT to Inj] (ft)</t>
  </si>
  <si>
    <t>Plumbing Length [RT top to highest pt] (ft)</t>
  </si>
  <si>
    <t>Worst case RT-inj. Plumbing pressure (located at bottom of plumbing tree, just above injector) (psi)</t>
  </si>
  <si>
    <t>gees</t>
  </si>
  <si>
    <t>thickness of mounting (in)</t>
  </si>
  <si>
    <t>Force Calcs</t>
  </si>
  <si>
    <t>Max G-force (non-dim)</t>
  </si>
  <si>
    <t>Accel due to Gravity (ft/s^2)</t>
  </si>
  <si>
    <t>Accel (ft/s^2)</t>
  </si>
  <si>
    <t>Mass of Propellant (slug)</t>
  </si>
  <si>
    <t>Shell Thickness we are using (min. based on tol) (in.)</t>
  </si>
  <si>
    <t>Cap Thickness we are using away from weld (in)</t>
  </si>
  <si>
    <t>lbm to slug conv</t>
  </si>
  <si>
    <t>Mass of Dry Tank (lbm)</t>
  </si>
  <si>
    <t>Mass of Dry Tank (slug)</t>
  </si>
  <si>
    <t>6061-T6 --- S_yt (psi)</t>
  </si>
  <si>
    <t>Total # of Bolts</t>
  </si>
  <si>
    <t>Bolt Diameter (in)</t>
  </si>
  <si>
    <t>Avg. Shear Stress in Bolt (psi)</t>
  </si>
  <si>
    <t>Only allowing shear plane to be unthreaded shank</t>
  </si>
  <si>
    <t>Ultimate Strength (psi)</t>
  </si>
  <si>
    <t>Ult to Shear Guideline</t>
  </si>
  <si>
    <t>Estimated Shear Strength (psi)</t>
  </si>
  <si>
    <t>Force on RT (lbf)</t>
  </si>
  <si>
    <t>(excl. ox. feed reaction force) (CONSERVATIVE)</t>
  </si>
  <si>
    <t>Tension Mode of the Member (Roark's eq. 19.5-2)</t>
  </si>
  <si>
    <t>Shearing Mode of the Bolt (Roark's eq. 19.5-1)</t>
  </si>
  <si>
    <t>Outer Diameter of RT (in)</t>
  </si>
  <si>
    <t>Tensile Stress in Member (psi)</t>
  </si>
  <si>
    <t>Tearing Mode of the Member (Roark's eq. 19.5-3)</t>
  </si>
  <si>
    <t>L (in)</t>
  </si>
  <si>
    <t>Shear Stress in the Member (psi)</t>
  </si>
  <si>
    <t>Assumes only one bolt (worst case)</t>
  </si>
  <si>
    <t>Ult Shear Strength of Member (psi)</t>
  </si>
  <si>
    <t>Tensile Yield Strength of Member (psi)</t>
  </si>
  <si>
    <t>Ult. Shear Strength of Bolt (psi)</t>
  </si>
  <si>
    <t>Compression or Bearing Mode of Members (Roark's 19.5-4)</t>
  </si>
  <si>
    <t>Bearing Stress (psi)</t>
  </si>
  <si>
    <t>Number of Shearing Surfs</t>
  </si>
  <si>
    <t>Using Grade 5 bolts</t>
  </si>
  <si>
    <t>Min. Proof Strength (psi)</t>
  </si>
  <si>
    <t>Min. Proof Strength of Bolt (psi)</t>
  </si>
  <si>
    <t>Compression/Bearing Mode of Bolts (Roark's 19.5-4)</t>
  </si>
  <si>
    <t>Compression/Bearing Stress (psi)</t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</si>
  <si>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5% vap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</si>
  <si>
    <t>Ullage at T_max</t>
  </si>
  <si>
    <t>Driving Param:</t>
  </si>
  <si>
    <t>Actual Tank Volume</t>
  </si>
  <si>
    <t>T51</t>
  </si>
  <si>
    <t>NO PWHT</t>
  </si>
  <si>
    <t>T6</t>
  </si>
  <si>
    <t xml:space="preserve">http://www.astro.caltech.edu/sedm/_downloads/Extruded_Alloy_6061.pdf </t>
  </si>
  <si>
    <t>FS^</t>
  </si>
  <si>
    <r>
      <rPr>
        <b/>
        <i/>
        <u/>
        <sz val="18"/>
        <color rgb="FFFA7D00"/>
        <rFont val="Calibri (Body)_x0000_"/>
      </rPr>
      <t>Min. Allowable</t>
    </r>
    <r>
      <rPr>
        <b/>
        <i/>
        <sz val="16"/>
        <color rgb="FFFA7D00"/>
        <rFont val="Calibri"/>
        <family val="2"/>
        <scheme val="minor"/>
      </rPr>
      <t>Tensile Yield Strength (psi)</t>
    </r>
  </si>
  <si>
    <t>135.2 Mpa</t>
  </si>
  <si>
    <t>186.2 Mpa</t>
  </si>
  <si>
    <r>
      <t xml:space="preserve">FOR MINUMUM YIELD STRENGTH ALLOWABLE AT 0.15" </t>
    </r>
    <r>
      <rPr>
        <b/>
        <sz val="18"/>
        <color rgb="FFFA7D00"/>
        <rFont val="Calibri (Body)_x0000_"/>
      </rPr>
      <t>HEAD THICKNESS</t>
    </r>
  </si>
  <si>
    <r>
      <t>FOR MINUMUM YIELD STRENGTH ALLOWABLE AT 0.225"</t>
    </r>
    <r>
      <rPr>
        <b/>
        <sz val="18"/>
        <color rgb="FFFA7D00"/>
        <rFont val="Calibri (Body)_x0000_"/>
      </rPr>
      <t xml:space="preserve"> SHELL THICKNESS</t>
    </r>
  </si>
  <si>
    <t>total def vol</t>
  </si>
  <si>
    <t>diff(ft^3)</t>
  </si>
  <si>
    <t>DEF CALCS</t>
  </si>
  <si>
    <t>def rad (in)</t>
  </si>
  <si>
    <t>def rad (ft)</t>
  </si>
  <si>
    <t>hemi head (ft3)</t>
  </si>
  <si>
    <t>shell (ft3)</t>
  </si>
  <si>
    <t>inner diameter (in)</t>
  </si>
  <si>
    <t>inner diameter (ft)</t>
  </si>
  <si>
    <t>Volume of Hemi Head (ft^3)</t>
  </si>
  <si>
    <t>Total RT Internal volume (ft^3)</t>
  </si>
  <si>
    <t>Total RT internal length (ft)</t>
  </si>
  <si>
    <t xml:space="preserve">RT Liquid Volume </t>
  </si>
  <si>
    <t>RT Liquid Mass</t>
  </si>
  <si>
    <t>RT Vapor Mass</t>
  </si>
  <si>
    <t>slugs</t>
  </si>
  <si>
    <t>lbm</t>
  </si>
  <si>
    <t>RT Vapor Volume</t>
  </si>
  <si>
    <t>Diptube Length (from top of top head) (in)</t>
  </si>
  <si>
    <t>Slugs to Lbm conversion (lbm / slug)</t>
  </si>
  <si>
    <t>TOTAL OX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</si>
</sst>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i/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6"/>
      <color rgb="FFFA7D00"/>
      <name val="Calibri"/>
      <family val="2"/>
      <scheme val="minor"/>
    </font>
    <font>
      <b/>
      <i/>
      <u/>
      <sz val="18"/>
      <color rgb="FFFA7D00"/>
      <name val="Calibri (Body)_x0000_"/>
    </font>
    <font>
      <b/>
      <sz val="16"/>
      <color rgb="FFFA7D00"/>
      <name val="Calibri"/>
      <family val="2"/>
      <scheme val="minor"/>
    </font>
    <font>
      <b/>
      <sz val="18"/>
      <color rgb="FFFA7D00"/>
      <name val="Calibri (Body)_x0000_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9" borderId="28" applyNumberFormat="0" applyAlignment="0" applyProtection="0"/>
  </cellStyleXfs>
  <cellXfs count="24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1" fillId="0" borderId="11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166" fontId="10" fillId="0" borderId="0" xfId="0" applyNumberFormat="1" applyFont="1" applyBorder="1" applyAlignment="1">
      <alignment horizontal="center"/>
    </xf>
    <xf numFmtId="164" fontId="7" fillId="0" borderId="5" xfId="0" applyNumberFormat="1" applyFont="1" applyBorder="1" applyAlignment="1"/>
    <xf numFmtId="0" fontId="4" fillId="0" borderId="0" xfId="0" applyFont="1"/>
    <xf numFmtId="166" fontId="9" fillId="3" borderId="5" xfId="0" applyNumberFormat="1" applyFont="1" applyFill="1" applyBorder="1" applyAlignment="1">
      <alignment horizontal="center"/>
    </xf>
    <xf numFmtId="166" fontId="9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9" fillId="0" borderId="12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/>
    </xf>
    <xf numFmtId="166" fontId="9" fillId="0" borderId="16" xfId="0" applyNumberFormat="1" applyFont="1" applyBorder="1" applyAlignment="1">
      <alignment horizontal="center"/>
    </xf>
    <xf numFmtId="166" fontId="9" fillId="3" borderId="13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/>
    </xf>
    <xf numFmtId="166" fontId="9" fillId="3" borderId="15" xfId="0" applyNumberFormat="1" applyFont="1" applyFill="1" applyBorder="1" applyAlignment="1">
      <alignment horizontal="center"/>
    </xf>
    <xf numFmtId="166" fontId="16" fillId="3" borderId="15" xfId="0" applyNumberFormat="1" applyFont="1" applyFill="1" applyBorder="1" applyAlignment="1">
      <alignment horizontal="center"/>
    </xf>
    <xf numFmtId="166" fontId="7" fillId="3" borderId="20" xfId="0" applyNumberFormat="1" applyFont="1" applyFill="1" applyBorder="1" applyAlignment="1">
      <alignment horizontal="center"/>
    </xf>
    <xf numFmtId="166" fontId="16" fillId="3" borderId="17" xfId="0" applyNumberFormat="1" applyFont="1" applyFill="1" applyBorder="1" applyAlignment="1">
      <alignment horizontal="center"/>
    </xf>
    <xf numFmtId="2" fontId="9" fillId="2" borderId="14" xfId="0" applyNumberFormat="1" applyFont="1" applyFill="1" applyBorder="1" applyAlignment="1">
      <alignment horizontal="center"/>
    </xf>
    <xf numFmtId="0" fontId="0" fillId="2" borderId="0" xfId="0" applyFill="1" applyBorder="1"/>
    <xf numFmtId="166" fontId="9" fillId="2" borderId="0" xfId="0" applyNumberFormat="1" applyFont="1" applyFill="1" applyBorder="1" applyAlignment="1">
      <alignment horizontal="center"/>
    </xf>
    <xf numFmtId="166" fontId="9" fillId="2" borderId="15" xfId="0" applyNumberFormat="1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Border="1" applyAlignment="1">
      <alignment horizontal="center"/>
    </xf>
    <xf numFmtId="166" fontId="7" fillId="2" borderId="15" xfId="0" applyNumberFormat="1" applyFont="1" applyFill="1" applyBorder="1" applyAlignment="1">
      <alignment horizontal="center"/>
    </xf>
    <xf numFmtId="2" fontId="10" fillId="2" borderId="16" xfId="0" applyNumberFormat="1" applyFont="1" applyFill="1" applyBorder="1" applyAlignment="1">
      <alignment horizontal="center"/>
    </xf>
    <xf numFmtId="2" fontId="10" fillId="2" borderId="20" xfId="0" applyNumberFormat="1" applyFont="1" applyFill="1" applyBorder="1" applyAlignment="1">
      <alignment horizontal="center"/>
    </xf>
    <xf numFmtId="166" fontId="10" fillId="2" borderId="20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9" fillId="3" borderId="20" xfId="0" applyNumberFormat="1" applyFont="1" applyFill="1" applyBorder="1" applyAlignment="1">
      <alignment horizontal="center" vertical="center" wrapText="1"/>
    </xf>
    <xf numFmtId="166" fontId="9" fillId="3" borderId="17" xfId="0" applyNumberFormat="1" applyFont="1" applyFill="1" applyBorder="1" applyAlignment="1">
      <alignment horizontal="center" vertical="center" wrapText="1"/>
    </xf>
    <xf numFmtId="2" fontId="9" fillId="2" borderId="16" xfId="0" applyNumberFormat="1" applyFont="1" applyFill="1" applyBorder="1" applyAlignment="1">
      <alignment horizontal="center"/>
    </xf>
    <xf numFmtId="165" fontId="9" fillId="2" borderId="20" xfId="0" applyNumberFormat="1" applyFont="1" applyFill="1" applyBorder="1" applyAlignment="1">
      <alignment horizontal="center"/>
    </xf>
    <xf numFmtId="166" fontId="9" fillId="2" borderId="20" xfId="0" applyNumberFormat="1" applyFont="1" applyFill="1" applyBorder="1" applyAlignment="1">
      <alignment horizontal="center"/>
    </xf>
    <xf numFmtId="166" fontId="9" fillId="2" borderId="17" xfId="0" applyNumberFormat="1" applyFont="1" applyFill="1" applyBorder="1" applyAlignment="1">
      <alignment horizontal="center"/>
    </xf>
    <xf numFmtId="166" fontId="9" fillId="3" borderId="21" xfId="0" applyNumberFormat="1" applyFont="1" applyFill="1" applyBorder="1" applyAlignment="1">
      <alignment horizontal="center" vertical="center" wrapText="1"/>
    </xf>
    <xf numFmtId="166" fontId="9" fillId="3" borderId="22" xfId="0" applyNumberFormat="1" applyFont="1" applyFill="1" applyBorder="1" applyAlignment="1">
      <alignment horizontal="center" vertical="center" wrapText="1"/>
    </xf>
    <xf numFmtId="166" fontId="16" fillId="3" borderId="5" xfId="0" applyNumberFormat="1" applyFont="1" applyFill="1" applyBorder="1" applyAlignment="1">
      <alignment horizontal="center"/>
    </xf>
    <xf numFmtId="166" fontId="17" fillId="3" borderId="5" xfId="0" applyNumberFormat="1" applyFont="1" applyFill="1" applyBorder="1" applyAlignment="1">
      <alignment horizontal="center"/>
    </xf>
    <xf numFmtId="166" fontId="17" fillId="3" borderId="22" xfId="0" applyNumberFormat="1" applyFont="1" applyFill="1" applyBorder="1" applyAlignment="1">
      <alignment horizontal="center"/>
    </xf>
    <xf numFmtId="166" fontId="9" fillId="3" borderId="5" xfId="0" applyNumberFormat="1" applyFont="1" applyFill="1" applyBorder="1" applyAlignment="1">
      <alignment horizontal="center" vertical="center" wrapText="1"/>
    </xf>
    <xf numFmtId="167" fontId="9" fillId="3" borderId="5" xfId="0" applyNumberFormat="1" applyFont="1" applyFill="1" applyBorder="1" applyAlignment="1">
      <alignment horizontal="center"/>
    </xf>
    <xf numFmtId="166" fontId="9" fillId="0" borderId="21" xfId="0" applyNumberFormat="1" applyFont="1" applyBorder="1" applyAlignment="1">
      <alignment horizontal="center"/>
    </xf>
    <xf numFmtId="166" fontId="9" fillId="0" borderId="22" xfId="0" applyNumberFormat="1" applyFont="1" applyBorder="1" applyAlignment="1">
      <alignment horizontal="center"/>
    </xf>
    <xf numFmtId="166" fontId="9" fillId="3" borderId="21" xfId="0" applyNumberFormat="1" applyFont="1" applyFill="1" applyBorder="1" applyAlignment="1">
      <alignment vertical="center" wrapText="1"/>
    </xf>
    <xf numFmtId="0" fontId="0" fillId="0" borderId="23" xfId="0" applyFont="1" applyBorder="1" applyAlignment="1">
      <alignment vertical="center"/>
    </xf>
    <xf numFmtId="0" fontId="0" fillId="0" borderId="23" xfId="0" applyFont="1" applyBorder="1" applyAlignment="1"/>
    <xf numFmtId="0" fontId="1" fillId="0" borderId="23" xfId="0" applyFont="1" applyBorder="1" applyAlignment="1">
      <alignment vertical="center"/>
    </xf>
    <xf numFmtId="0" fontId="1" fillId="0" borderId="23" xfId="0" applyFont="1" applyBorder="1" applyAlignment="1"/>
    <xf numFmtId="2" fontId="0" fillId="0" borderId="6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7" fillId="4" borderId="5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center"/>
    </xf>
    <xf numFmtId="166" fontId="7" fillId="4" borderId="0" xfId="0" applyNumberFormat="1" applyFont="1" applyFill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166" fontId="9" fillId="4" borderId="0" xfId="0" applyNumberFormat="1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164" fontId="0" fillId="0" borderId="0" xfId="0" applyNumberFormat="1"/>
    <xf numFmtId="164" fontId="0" fillId="0" borderId="8" xfId="0" applyNumberFormat="1" applyBorder="1"/>
    <xf numFmtId="2" fontId="1" fillId="0" borderId="8" xfId="0" applyNumberFormat="1" applyFont="1" applyBorder="1"/>
    <xf numFmtId="164" fontId="1" fillId="0" borderId="10" xfId="0" applyNumberFormat="1" applyFont="1" applyBorder="1"/>
    <xf numFmtId="0" fontId="1" fillId="0" borderId="25" xfId="0" applyFont="1" applyBorder="1"/>
    <xf numFmtId="166" fontId="1" fillId="0" borderId="0" xfId="0" applyNumberFormat="1" applyFont="1"/>
    <xf numFmtId="2" fontId="1" fillId="0" borderId="0" xfId="0" applyNumberFormat="1" applyFont="1"/>
    <xf numFmtId="0" fontId="0" fillId="0" borderId="0" xfId="0" applyFont="1"/>
    <xf numFmtId="0" fontId="1" fillId="0" borderId="24" xfId="0" applyFont="1" applyFill="1" applyBorder="1"/>
    <xf numFmtId="0" fontId="19" fillId="0" borderId="0" xfId="0" applyFont="1"/>
    <xf numFmtId="0" fontId="1" fillId="0" borderId="24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1" xfId="0" applyBorder="1"/>
    <xf numFmtId="0" fontId="0" fillId="0" borderId="26" xfId="0" applyBorder="1"/>
    <xf numFmtId="0" fontId="0" fillId="0" borderId="0" xfId="0" applyFill="1" applyBorder="1"/>
    <xf numFmtId="0" fontId="1" fillId="0" borderId="12" xfId="0" applyFont="1" applyBorder="1" applyAlignment="1">
      <alignment wrapText="1"/>
    </xf>
    <xf numFmtId="0" fontId="1" fillId="0" borderId="16" xfId="0" applyFont="1" applyBorder="1" applyAlignment="1">
      <alignment wrapText="1"/>
    </xf>
    <xf numFmtId="164" fontId="1" fillId="0" borderId="13" xfId="0" applyNumberFormat="1" applyFont="1" applyBorder="1" applyAlignment="1"/>
    <xf numFmtId="164" fontId="1" fillId="0" borderId="17" xfId="0" applyNumberFormat="1" applyFont="1" applyBorder="1" applyAlignment="1"/>
    <xf numFmtId="0" fontId="1" fillId="0" borderId="0" xfId="0" applyFont="1" applyAlignment="1">
      <alignment vertical="center"/>
    </xf>
    <xf numFmtId="166" fontId="13" fillId="0" borderId="0" xfId="0" applyNumberFormat="1" applyFont="1" applyAlignment="1">
      <alignment horizontal="center"/>
    </xf>
    <xf numFmtId="0" fontId="23" fillId="6" borderId="25" xfId="2" applyBorder="1"/>
    <xf numFmtId="0" fontId="24" fillId="7" borderId="25" xfId="3" applyBorder="1"/>
    <xf numFmtId="0" fontId="22" fillId="5" borderId="25" xfId="1" applyBorder="1"/>
    <xf numFmtId="0" fontId="1" fillId="0" borderId="0" xfId="0" applyFont="1" applyBorder="1" applyAlignment="1">
      <alignment horizontal="left"/>
    </xf>
    <xf numFmtId="0" fontId="22" fillId="5" borderId="0" xfId="1" applyBorder="1"/>
    <xf numFmtId="0" fontId="2" fillId="0" borderId="0" xfId="0" applyFont="1" applyBorder="1"/>
    <xf numFmtId="164" fontId="0" fillId="0" borderId="0" xfId="0" applyNumberForma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23" fillId="6" borderId="0" xfId="2" applyBorder="1"/>
    <xf numFmtId="0" fontId="24" fillId="7" borderId="0" xfId="3" applyBorder="1"/>
    <xf numFmtId="0" fontId="22" fillId="5" borderId="27" xfId="1" applyBorder="1"/>
    <xf numFmtId="0" fontId="25" fillId="5" borderId="27" xfId="1" applyFont="1" applyBorder="1"/>
    <xf numFmtId="0" fontId="1" fillId="8" borderId="27" xfId="0" applyFont="1" applyFill="1" applyBorder="1"/>
    <xf numFmtId="0" fontId="26" fillId="0" borderId="0" xfId="4"/>
    <xf numFmtId="0" fontId="1" fillId="0" borderId="0" xfId="0" applyFont="1" applyAlignment="1">
      <alignment horizontal="right"/>
    </xf>
    <xf numFmtId="0" fontId="24" fillId="10" borderId="25" xfId="3" applyFill="1" applyBorder="1"/>
    <xf numFmtId="0" fontId="24" fillId="10" borderId="0" xfId="3" applyFill="1" applyBorder="1"/>
    <xf numFmtId="0" fontId="2" fillId="10" borderId="25" xfId="0" applyFont="1" applyFill="1" applyBorder="1"/>
    <xf numFmtId="0" fontId="2" fillId="10" borderId="0" xfId="0" applyFont="1" applyFill="1" applyBorder="1"/>
    <xf numFmtId="0" fontId="29" fillId="9" borderId="28" xfId="5" applyFont="1" applyAlignment="1">
      <alignment horizontal="center" vertical="center"/>
    </xf>
    <xf numFmtId="0" fontId="29" fillId="9" borderId="28" xfId="5" applyNumberFormat="1" applyFont="1" applyAlignment="1">
      <alignment horizontal="center" vertical="center"/>
    </xf>
    <xf numFmtId="0" fontId="31" fillId="9" borderId="28" xfId="5" applyFont="1"/>
    <xf numFmtId="2" fontId="31" fillId="9" borderId="28" xfId="5" applyNumberFormat="1" applyFont="1"/>
    <xf numFmtId="166" fontId="9" fillId="3" borderId="30" xfId="0" applyNumberFormat="1" applyFont="1" applyFill="1" applyBorder="1" applyAlignment="1">
      <alignment horizontal="center"/>
    </xf>
    <xf numFmtId="167" fontId="9" fillId="3" borderId="9" xfId="0" applyNumberFormat="1" applyFont="1" applyFill="1" applyBorder="1" applyAlignment="1">
      <alignment horizontal="center"/>
    </xf>
    <xf numFmtId="166" fontId="9" fillId="3" borderId="9" xfId="0" applyNumberFormat="1" applyFont="1" applyFill="1" applyBorder="1" applyAlignment="1">
      <alignment horizontal="center"/>
    </xf>
    <xf numFmtId="0" fontId="0" fillId="0" borderId="23" xfId="0" applyBorder="1"/>
    <xf numFmtId="167" fontId="0" fillId="0" borderId="23" xfId="0" applyNumberFormat="1" applyBorder="1"/>
    <xf numFmtId="0" fontId="0" fillId="0" borderId="13" xfId="0" applyBorder="1"/>
    <xf numFmtId="0" fontId="1" fillId="0" borderId="16" xfId="0" applyFont="1" applyBorder="1"/>
    <xf numFmtId="0" fontId="1" fillId="0" borderId="17" xfId="0" applyFont="1" applyBorder="1"/>
    <xf numFmtId="0" fontId="33" fillId="0" borderId="12" xfId="0" applyFont="1" applyBorder="1"/>
    <xf numFmtId="0" fontId="33" fillId="0" borderId="0" xfId="0" applyFont="1" applyBorder="1"/>
    <xf numFmtId="167" fontId="0" fillId="0" borderId="0" xfId="0" applyNumberFormat="1" applyBorder="1"/>
    <xf numFmtId="166" fontId="7" fillId="0" borderId="12" xfId="0" applyNumberFormat="1" applyFont="1" applyBorder="1" applyAlignment="1">
      <alignment horizontal="center" vertical="center"/>
    </xf>
    <xf numFmtId="166" fontId="7" fillId="0" borderId="18" xfId="0" applyNumberFormat="1" applyFont="1" applyBorder="1" applyAlignment="1">
      <alignment horizontal="center" vertical="center"/>
    </xf>
    <xf numFmtId="166" fontId="16" fillId="0" borderId="16" xfId="0" applyNumberFormat="1" applyFont="1" applyBorder="1" applyAlignment="1">
      <alignment horizontal="center" vertical="center"/>
    </xf>
    <xf numFmtId="166" fontId="16" fillId="0" borderId="20" xfId="0" applyNumberFormat="1" applyFont="1" applyBorder="1" applyAlignment="1">
      <alignment horizontal="center" vertical="center"/>
    </xf>
    <xf numFmtId="166" fontId="16" fillId="0" borderId="0" xfId="0" applyNumberFormat="1" applyFont="1" applyFill="1" applyBorder="1" applyAlignment="1">
      <alignment horizontal="center" vertical="center"/>
    </xf>
    <xf numFmtId="166" fontId="9" fillId="0" borderId="0" xfId="0" applyNumberFormat="1" applyFont="1" applyBorder="1" applyAlignment="1">
      <alignment wrapText="1"/>
    </xf>
    <xf numFmtId="166" fontId="7" fillId="0" borderId="31" xfId="0" applyNumberFormat="1" applyFont="1" applyBorder="1" applyAlignment="1">
      <alignment horizontal="center" vertical="center" wrapText="1"/>
    </xf>
    <xf numFmtId="166" fontId="16" fillId="0" borderId="32" xfId="0" applyNumberFormat="1" applyFont="1" applyBorder="1" applyAlignment="1">
      <alignment horizontal="center" vertical="center"/>
    </xf>
    <xf numFmtId="2" fontId="9" fillId="2" borderId="33" xfId="0" applyNumberFormat="1" applyFont="1" applyFill="1" applyBorder="1" applyAlignment="1">
      <alignment horizontal="center"/>
    </xf>
    <xf numFmtId="2" fontId="9" fillId="2" borderId="34" xfId="0" applyNumberFormat="1" applyFont="1" applyFill="1" applyBorder="1" applyAlignment="1">
      <alignment horizontal="center"/>
    </xf>
    <xf numFmtId="166" fontId="9" fillId="2" borderId="34" xfId="0" applyNumberFormat="1" applyFont="1" applyFill="1" applyBorder="1" applyAlignment="1">
      <alignment horizontal="center"/>
    </xf>
    <xf numFmtId="166" fontId="9" fillId="2" borderId="35" xfId="0" applyNumberFormat="1" applyFont="1" applyFill="1" applyBorder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2" fontId="9" fillId="2" borderId="37" xfId="0" applyNumberFormat="1" applyFont="1" applyFill="1" applyBorder="1" applyAlignment="1">
      <alignment horizontal="center"/>
    </xf>
    <xf numFmtId="166" fontId="9" fillId="2" borderId="37" xfId="0" applyNumberFormat="1" applyFont="1" applyFill="1" applyBorder="1" applyAlignment="1">
      <alignment horizontal="center"/>
    </xf>
    <xf numFmtId="166" fontId="9" fillId="2" borderId="38" xfId="0" applyNumberFormat="1" applyFont="1" applyFill="1" applyBorder="1" applyAlignment="1">
      <alignment horizontal="center"/>
    </xf>
    <xf numFmtId="2" fontId="7" fillId="2" borderId="36" xfId="0" applyNumberFormat="1" applyFont="1" applyFill="1" applyBorder="1" applyAlignment="1">
      <alignment horizontal="center"/>
    </xf>
    <xf numFmtId="2" fontId="7" fillId="2" borderId="37" xfId="0" applyNumberFormat="1" applyFont="1" applyFill="1" applyBorder="1" applyAlignment="1">
      <alignment horizontal="center"/>
    </xf>
    <xf numFmtId="166" fontId="7" fillId="2" borderId="37" xfId="0" applyNumberFormat="1" applyFont="1" applyFill="1" applyBorder="1" applyAlignment="1">
      <alignment horizontal="center"/>
    </xf>
    <xf numFmtId="166" fontId="7" fillId="2" borderId="38" xfId="0" applyNumberFormat="1" applyFont="1" applyFill="1" applyBorder="1" applyAlignment="1">
      <alignment horizontal="center"/>
    </xf>
    <xf numFmtId="2" fontId="10" fillId="2" borderId="39" xfId="0" applyNumberFormat="1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166" fontId="10" fillId="2" borderId="40" xfId="0" applyNumberFormat="1" applyFont="1" applyFill="1" applyBorder="1" applyAlignment="1">
      <alignment horizontal="center"/>
    </xf>
    <xf numFmtId="166" fontId="10" fillId="2" borderId="41" xfId="0" applyNumberFormat="1" applyFont="1" applyFill="1" applyBorder="1" applyAlignment="1">
      <alignment horizontal="center"/>
    </xf>
    <xf numFmtId="166" fontId="9" fillId="0" borderId="33" xfId="0" applyNumberFormat="1" applyFont="1" applyBorder="1" applyAlignment="1">
      <alignment horizontal="center"/>
    </xf>
    <xf numFmtId="166" fontId="9" fillId="0" borderId="34" xfId="0" applyNumberFormat="1" applyFont="1" applyBorder="1" applyAlignment="1">
      <alignment horizontal="center"/>
    </xf>
    <xf numFmtId="166" fontId="9" fillId="0" borderId="35" xfId="0" applyNumberFormat="1" applyFont="1" applyBorder="1" applyAlignment="1">
      <alignment horizontal="center"/>
    </xf>
    <xf numFmtId="166" fontId="9" fillId="0" borderId="36" xfId="0" applyNumberFormat="1" applyFont="1" applyBorder="1" applyAlignment="1">
      <alignment horizontal="center"/>
    </xf>
    <xf numFmtId="166" fontId="9" fillId="0" borderId="37" xfId="0" applyNumberFormat="1" applyFont="1" applyBorder="1" applyAlignment="1">
      <alignment horizontal="center"/>
    </xf>
    <xf numFmtId="166" fontId="9" fillId="0" borderId="38" xfId="0" applyNumberFormat="1" applyFont="1" applyBorder="1" applyAlignment="1">
      <alignment horizontal="center"/>
    </xf>
    <xf numFmtId="166" fontId="9" fillId="0" borderId="39" xfId="0" applyNumberFormat="1" applyFont="1" applyBorder="1" applyAlignment="1">
      <alignment horizontal="center"/>
    </xf>
    <xf numFmtId="166" fontId="9" fillId="0" borderId="40" xfId="0" applyNumberFormat="1" applyFont="1" applyBorder="1" applyAlignment="1">
      <alignment horizontal="center"/>
    </xf>
    <xf numFmtId="166" fontId="9" fillId="0" borderId="41" xfId="0" applyNumberFormat="1" applyFont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166" fontId="9" fillId="0" borderId="14" xfId="0" applyNumberFormat="1" applyFont="1" applyBorder="1" applyAlignment="1">
      <alignment horizontal="center" wrapText="1"/>
    </xf>
    <xf numFmtId="166" fontId="13" fillId="0" borderId="0" xfId="0" applyNumberFormat="1" applyFont="1" applyAlignment="1">
      <alignment horizontal="center"/>
    </xf>
    <xf numFmtId="164" fontId="7" fillId="2" borderId="12" xfId="0" applyNumberFormat="1" applyFont="1" applyFill="1" applyBorder="1" applyAlignment="1">
      <alignment horizontal="center"/>
    </xf>
    <xf numFmtId="164" fontId="7" fillId="2" borderId="18" xfId="0" applyNumberFormat="1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166" fontId="9" fillId="3" borderId="12" xfId="0" applyNumberFormat="1" applyFont="1" applyFill="1" applyBorder="1" applyAlignment="1">
      <alignment horizontal="center" vertical="center" wrapText="1"/>
    </xf>
    <xf numFmtId="166" fontId="9" fillId="3" borderId="14" xfId="0" applyNumberFormat="1" applyFont="1" applyFill="1" applyBorder="1" applyAlignment="1">
      <alignment horizontal="center" vertical="center" wrapText="1"/>
    </xf>
    <xf numFmtId="166" fontId="9" fillId="3" borderId="16" xfId="0" applyNumberFormat="1" applyFont="1" applyFill="1" applyBorder="1" applyAlignment="1">
      <alignment horizontal="center" vertical="center" wrapText="1"/>
    </xf>
    <xf numFmtId="166" fontId="9" fillId="3" borderId="19" xfId="0" applyNumberFormat="1" applyFont="1" applyFill="1" applyBorder="1" applyAlignment="1">
      <alignment horizontal="center" vertical="center" wrapText="1"/>
    </xf>
    <xf numFmtId="166" fontId="9" fillId="3" borderId="6" xfId="0" applyNumberFormat="1" applyFont="1" applyFill="1" applyBorder="1" applyAlignment="1">
      <alignment horizontal="center" vertical="center" wrapText="1"/>
    </xf>
    <xf numFmtId="166" fontId="7" fillId="3" borderId="5" xfId="0" applyNumberFormat="1" applyFont="1" applyFill="1" applyBorder="1" applyAlignment="1">
      <alignment horizontal="center" vertical="center" wrapText="1"/>
    </xf>
    <xf numFmtId="166" fontId="7" fillId="3" borderId="15" xfId="0" applyNumberFormat="1" applyFont="1" applyFill="1" applyBorder="1" applyAlignment="1">
      <alignment horizontal="center" vertical="center" wrapText="1"/>
    </xf>
    <xf numFmtId="0" fontId="28" fillId="9" borderId="24" xfId="5" applyFont="1" applyBorder="1" applyAlignment="1">
      <alignment horizontal="center"/>
    </xf>
    <xf numFmtId="0" fontId="28" fillId="9" borderId="29" xfId="5" applyFont="1" applyBorder="1" applyAlignment="1">
      <alignment horizontal="center"/>
    </xf>
    <xf numFmtId="0" fontId="28" fillId="9" borderId="25" xfId="5" applyFont="1" applyBorder="1" applyAlignment="1">
      <alignment horizontal="center"/>
    </xf>
    <xf numFmtId="0" fontId="29" fillId="9" borderId="28" xfId="5" applyFont="1" applyAlignment="1">
      <alignment horizontal="left" vertic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9.5899098282978379</c:v>
                </c:pt>
                <c:pt idx="1">
                  <c:v>9.5629395086386424</c:v>
                </c:pt>
                <c:pt idx="2">
                  <c:v>9.5357683124316104</c:v>
                </c:pt>
                <c:pt idx="3">
                  <c:v>9.5084173845765196</c:v>
                </c:pt>
                <c:pt idx="4">
                  <c:v>9.4808761526234804</c:v>
                </c:pt>
                <c:pt idx="5">
                  <c:v>9.4531340441226064</c:v>
                </c:pt>
                <c:pt idx="6">
                  <c:v>9.4251804866240132</c:v>
                </c:pt>
                <c:pt idx="7">
                  <c:v>9.3970366250274715</c:v>
                </c:pt>
                <c:pt idx="8">
                  <c:v>9.3686601695334364</c:v>
                </c:pt>
                <c:pt idx="9">
                  <c:v>9.3400828374915701</c:v>
                </c:pt>
                <c:pt idx="10">
                  <c:v>9.3112729115522104</c:v>
                </c:pt>
                <c:pt idx="11">
                  <c:v>9.2822409641652435</c:v>
                </c:pt>
                <c:pt idx="12">
                  <c:v>9.2529658504308987</c:v>
                </c:pt>
                <c:pt idx="13">
                  <c:v>9.2234475703491761</c:v>
                </c:pt>
                <c:pt idx="14">
                  <c:v>9.1936861239200773</c:v>
                </c:pt>
                <c:pt idx="15">
                  <c:v>9.163670938693711</c:v>
                </c:pt>
                <c:pt idx="16">
                  <c:v>9.1333914422201961</c:v>
                </c:pt>
                <c:pt idx="17">
                  <c:v>9.1028476344995326</c:v>
                </c:pt>
                <c:pt idx="18">
                  <c:v>9.0720183706319446</c:v>
                </c:pt>
                <c:pt idx="19">
                  <c:v>9.0409036506174374</c:v>
                </c:pt>
                <c:pt idx="20">
                  <c:v>9.0094929020061194</c:v>
                </c:pt>
                <c:pt idx="21">
                  <c:v>8.9777861247979942</c:v>
                </c:pt>
                <c:pt idx="22">
                  <c:v>8.9457621740932893</c:v>
                </c:pt>
                <c:pt idx="23">
                  <c:v>8.9134104774421186</c:v>
                </c:pt>
                <c:pt idx="24">
                  <c:v>8.8807310348444801</c:v>
                </c:pt>
                <c:pt idx="25">
                  <c:v>8.8476921289507189</c:v>
                </c:pt>
                <c:pt idx="26">
                  <c:v>8.8143043322107193</c:v>
                </c:pt>
                <c:pt idx="27">
                  <c:v>8.7805464997247089</c:v>
                </c:pt>
                <c:pt idx="28">
                  <c:v>8.7464080590428033</c:v>
                </c:pt>
                <c:pt idx="29">
                  <c:v>8.7118678652652282</c:v>
                </c:pt>
                <c:pt idx="30">
                  <c:v>8.6769153459421009</c:v>
                </c:pt>
                <c:pt idx="31">
                  <c:v>8.6415293561736455</c:v>
                </c:pt>
                <c:pt idx="32">
                  <c:v>8.605699323509981</c:v>
                </c:pt>
                <c:pt idx="33">
                  <c:v>8.5694041030513297</c:v>
                </c:pt>
                <c:pt idx="34">
                  <c:v>8.5326225498979227</c:v>
                </c:pt>
                <c:pt idx="35">
                  <c:v>8.4953335191499875</c:v>
                </c:pt>
                <c:pt idx="36">
                  <c:v>8.4575264383576378</c:v>
                </c:pt>
                <c:pt idx="37">
                  <c:v>8.4191590177213307</c:v>
                </c:pt>
                <c:pt idx="38">
                  <c:v>8.3802101123412935</c:v>
                </c:pt>
                <c:pt idx="39">
                  <c:v>8.3406585773177522</c:v>
                </c:pt>
                <c:pt idx="40">
                  <c:v>8.300472695301055</c:v>
                </c:pt>
                <c:pt idx="41">
                  <c:v>8.2596101764916501</c:v>
                </c:pt>
                <c:pt idx="42">
                  <c:v>8.2180498759897684</c:v>
                </c:pt>
                <c:pt idx="43">
                  <c:v>8.2086497933244562</c:v>
                </c:pt>
                <c:pt idx="44">
                  <c:v>8.175749503995867</c:v>
                </c:pt>
                <c:pt idx="45">
                  <c:v>8.1326561982605146</c:v>
                </c:pt>
                <c:pt idx="46">
                  <c:v>8.0887276689841698</c:v>
                </c:pt>
                <c:pt idx="47">
                  <c:v>8.0439216263672861</c:v>
                </c:pt>
                <c:pt idx="48">
                  <c:v>7.9981746357105488</c:v>
                </c:pt>
                <c:pt idx="49">
                  <c:v>7.9618124564026198</c:v>
                </c:pt>
                <c:pt idx="50">
                  <c:v>7.9514232623146404</c:v>
                </c:pt>
                <c:pt idx="51">
                  <c:v>7.9035934990303609</c:v>
                </c:pt>
                <c:pt idx="52">
                  <c:v>7.8546219111583913</c:v>
                </c:pt>
                <c:pt idx="53">
                  <c:v>7.8044133466497589</c:v>
                </c:pt>
                <c:pt idx="54">
                  <c:v>7.7528726534554915</c:v>
                </c:pt>
                <c:pt idx="55">
                  <c:v>7.6998835346268413</c:v>
                </c:pt>
                <c:pt idx="56">
                  <c:v>7.6453296932150607</c:v>
                </c:pt>
                <c:pt idx="57">
                  <c:v>7.5890525424718636</c:v>
                </c:pt>
                <c:pt idx="58">
                  <c:v>7.5309040680988426</c:v>
                </c:pt>
                <c:pt idx="59">
                  <c:v>7.4706728210982805</c:v>
                </c:pt>
                <c:pt idx="60">
                  <c:v>7.4081262075726828</c:v>
                </c:pt>
                <c:pt idx="61">
                  <c:v>7.3429999162749011</c:v>
                </c:pt>
                <c:pt idx="62">
                  <c:v>7.274966201258465</c:v>
                </c:pt>
                <c:pt idx="63">
                  <c:v>7.2036127369778269</c:v>
                </c:pt>
                <c:pt idx="64">
                  <c:v>7.1284531907382256</c:v>
                </c:pt>
                <c:pt idx="65">
                  <c:v>7.0488426430966182</c:v>
                </c:pt>
                <c:pt idx="66">
                  <c:v>6.9639670154117814</c:v>
                </c:pt>
                <c:pt idx="67">
                  <c:v>6.8727584902452268</c:v>
                </c:pt>
                <c:pt idx="68">
                  <c:v>6.7737052072632586</c:v>
                </c:pt>
                <c:pt idx="69">
                  <c:v>6.6646821040387874</c:v>
                </c:pt>
                <c:pt idx="70">
                  <c:v>6.5424540109066989</c:v>
                </c:pt>
                <c:pt idx="71">
                  <c:v>6.4017135580242179</c:v>
                </c:pt>
                <c:pt idx="72">
                  <c:v>6.2327235190463348</c:v>
                </c:pt>
                <c:pt idx="73">
                  <c:v>6.013926668655488</c:v>
                </c:pt>
                <c:pt idx="74">
                  <c:v>5.675121939608613</c:v>
                </c:pt>
                <c:pt idx="75">
                  <c:v>4.7788636454224207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0.00</c:formatCode>
                <c:ptCount val="76"/>
                <c:pt idx="0">
                  <c:v>462.41014886829782</c:v>
                </c:pt>
                <c:pt idx="1">
                  <c:v>468.21660690863865</c:v>
                </c:pt>
                <c:pt idx="2">
                  <c:v>474.07942889243162</c:v>
                </c:pt>
                <c:pt idx="3">
                  <c:v>479.99573520457648</c:v>
                </c:pt>
                <c:pt idx="4">
                  <c:v>485.96696565262346</c:v>
                </c:pt>
                <c:pt idx="5">
                  <c:v>491.99456004412264</c:v>
                </c:pt>
                <c:pt idx="6">
                  <c:v>498.07705742662398</c:v>
                </c:pt>
                <c:pt idx="7">
                  <c:v>504.21737970502744</c:v>
                </c:pt>
                <c:pt idx="8">
                  <c:v>510.41403420953344</c:v>
                </c:pt>
                <c:pt idx="9">
                  <c:v>516.66705265749158</c:v>
                </c:pt>
                <c:pt idx="10">
                  <c:v>522.97930409155219</c:v>
                </c:pt>
                <c:pt idx="11">
                  <c:v>529.34789832416516</c:v>
                </c:pt>
                <c:pt idx="12">
                  <c:v>535.7742645904309</c:v>
                </c:pt>
                <c:pt idx="13">
                  <c:v>542.25985327034925</c:v>
                </c:pt>
                <c:pt idx="14">
                  <c:v>548.8046643639201</c:v>
                </c:pt>
                <c:pt idx="15">
                  <c:v>555.41013767869379</c:v>
                </c:pt>
                <c:pt idx="16">
                  <c:v>562.07336188222018</c:v>
                </c:pt>
                <c:pt idx="17">
                  <c:v>568.7972377344995</c:v>
                </c:pt>
                <c:pt idx="18">
                  <c:v>575.58319447063184</c:v>
                </c:pt>
                <c:pt idx="19">
                  <c:v>582.42833133061743</c:v>
                </c:pt>
                <c:pt idx="20">
                  <c:v>589.33553850200622</c:v>
                </c:pt>
                <c:pt idx="21">
                  <c:v>596.30481598479798</c:v>
                </c:pt>
                <c:pt idx="22">
                  <c:v>603.33614263409322</c:v>
                </c:pt>
                <c:pt idx="23">
                  <c:v>610.43095825744217</c:v>
                </c:pt>
                <c:pt idx="24">
                  <c:v>617.58781247484455</c:v>
                </c:pt>
                <c:pt idx="25">
                  <c:v>624.8095743289507</c:v>
                </c:pt>
                <c:pt idx="26">
                  <c:v>632.0948040122106</c:v>
                </c:pt>
                <c:pt idx="27">
                  <c:v>639.44493075972468</c:v>
                </c:pt>
                <c:pt idx="28">
                  <c:v>646.8599439990428</c:v>
                </c:pt>
                <c:pt idx="29">
                  <c:v>654.33982258526532</c:v>
                </c:pt>
                <c:pt idx="30">
                  <c:v>661.8874567059421</c:v>
                </c:pt>
                <c:pt idx="31">
                  <c:v>669.49992445617374</c:v>
                </c:pt>
                <c:pt idx="32">
                  <c:v>677.18156640351003</c:v>
                </c:pt>
                <c:pt idx="33">
                  <c:v>684.92946064305124</c:v>
                </c:pt>
                <c:pt idx="34">
                  <c:v>692.74503640989792</c:v>
                </c:pt>
                <c:pt idx="35">
                  <c:v>700.62972293915004</c:v>
                </c:pt>
                <c:pt idx="36">
                  <c:v>708.58496003835762</c:v>
                </c:pt>
                <c:pt idx="37">
                  <c:v>716.60780465772132</c:v>
                </c:pt>
                <c:pt idx="38">
                  <c:v>724.70258679234121</c:v>
                </c:pt>
                <c:pt idx="39">
                  <c:v>732.86928529731779</c:v>
                </c:pt>
                <c:pt idx="40">
                  <c:v>741.10641807530112</c:v>
                </c:pt>
                <c:pt idx="41">
                  <c:v>749.41684359649162</c:v>
                </c:pt>
                <c:pt idx="42">
                  <c:v>757.79909033598972</c:v>
                </c:pt>
                <c:pt idx="43">
                  <c:v>759.67840731999104</c:v>
                </c:pt>
                <c:pt idx="44">
                  <c:v>766.25601676399583</c:v>
                </c:pt>
                <c:pt idx="45">
                  <c:v>774.78757001826045</c:v>
                </c:pt>
                <c:pt idx="46">
                  <c:v>783.39370780898412</c:v>
                </c:pt>
                <c:pt idx="47">
                  <c:v>792.0758382263673</c:v>
                </c:pt>
                <c:pt idx="48">
                  <c:v>800.83389783571067</c:v>
                </c:pt>
                <c:pt idx="49">
                  <c:v>807.70698482306932</c:v>
                </c:pt>
                <c:pt idx="50">
                  <c:v>809.67072396231458</c:v>
                </c:pt>
                <c:pt idx="51">
                  <c:v>818.58624259903036</c:v>
                </c:pt>
                <c:pt idx="52">
                  <c:v>827.58039031115834</c:v>
                </c:pt>
                <c:pt idx="53">
                  <c:v>836.65452232664984</c:v>
                </c:pt>
                <c:pt idx="54">
                  <c:v>845.80999387345548</c:v>
                </c:pt>
                <c:pt idx="55">
                  <c:v>855.04813903462673</c:v>
                </c:pt>
                <c:pt idx="56">
                  <c:v>864.3688415132151</c:v>
                </c:pt>
                <c:pt idx="57">
                  <c:v>873.77484348247185</c:v>
                </c:pt>
                <c:pt idx="58">
                  <c:v>883.26454654809891</c:v>
                </c:pt>
                <c:pt idx="59">
                  <c:v>892.84209040109829</c:v>
                </c:pt>
                <c:pt idx="60">
                  <c:v>902.50869282757265</c:v>
                </c:pt>
                <c:pt idx="61">
                  <c:v>912.26263913627497</c:v>
                </c:pt>
                <c:pt idx="62">
                  <c:v>922.10940310125852</c:v>
                </c:pt>
                <c:pt idx="63">
                  <c:v>932.04712201697782</c:v>
                </c:pt>
                <c:pt idx="64">
                  <c:v>942.07966069073836</c:v>
                </c:pt>
                <c:pt idx="65">
                  <c:v>952.2092749630965</c:v>
                </c:pt>
                <c:pt idx="66">
                  <c:v>962.43515075541188</c:v>
                </c:pt>
                <c:pt idx="67">
                  <c:v>972.76057139024522</c:v>
                </c:pt>
                <c:pt idx="68">
                  <c:v>983.18982652726322</c:v>
                </c:pt>
                <c:pt idx="69">
                  <c:v>993.72079110403888</c:v>
                </c:pt>
                <c:pt idx="70">
                  <c:v>1004.3603826109066</c:v>
                </c:pt>
                <c:pt idx="71">
                  <c:v>1015.1061944380242</c:v>
                </c:pt>
                <c:pt idx="72">
                  <c:v>1025.9586420190465</c:v>
                </c:pt>
                <c:pt idx="73">
                  <c:v>1036.9077711686557</c:v>
                </c:pt>
                <c:pt idx="74">
                  <c:v>1047.9065868996086</c:v>
                </c:pt>
                <c:pt idx="75">
                  <c:v>1055.5791736454225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72464</xdr:rowOff>
    </xdr:from>
    <xdr:to>
      <xdr:col>16</xdr:col>
      <xdr:colOff>36286</xdr:colOff>
      <xdr:row>31</xdr:row>
      <xdr:rowOff>199570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stro.caltech.edu/sedm/_downloads/Extruded_Alloy_606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sheetPr codeName="Sheet1"/>
  <dimension ref="A1:G31"/>
  <sheetViews>
    <sheetView zoomScale="132" zoomScaleNormal="70" workbookViewId="0">
      <selection activeCell="B12" sqref="B12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3" t="s">
        <v>6</v>
      </c>
      <c r="B1" s="213"/>
      <c r="C1" s="213"/>
      <c r="D1" s="213"/>
      <c r="E1" s="213"/>
      <c r="F1" s="213"/>
      <c r="G1" s="213"/>
    </row>
    <row r="2" spans="1:7" ht="15.75">
      <c r="A2" s="214" t="s">
        <v>11</v>
      </c>
      <c r="B2" s="214"/>
      <c r="C2" s="214"/>
      <c r="D2" s="214"/>
      <c r="E2" s="214"/>
      <c r="F2" s="214"/>
      <c r="G2" s="214"/>
    </row>
    <row r="3" spans="1:7" ht="15.75" thickBot="1">
      <c r="A3" s="216" t="s">
        <v>12</v>
      </c>
      <c r="B3" s="216"/>
      <c r="C3" s="216"/>
      <c r="D3" s="216"/>
      <c r="E3" s="216"/>
      <c r="F3" s="216"/>
      <c r="G3" s="216"/>
    </row>
    <row r="4" spans="1:7" ht="16.5" thickBot="1">
      <c r="C4" s="155" t="s">
        <v>106</v>
      </c>
    </row>
    <row r="5" spans="1:7">
      <c r="A5" s="215" t="s">
        <v>4</v>
      </c>
      <c r="B5" s="215"/>
      <c r="C5" s="147"/>
      <c r="E5" s="215" t="s">
        <v>3</v>
      </c>
      <c r="F5" s="215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0.18273435624364015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8.7434315746075519E-2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0.18273435624364015</v>
      </c>
    </row>
    <row r="11" spans="1:7">
      <c r="A11" t="s">
        <v>7</v>
      </c>
      <c r="B11">
        <v>33000</v>
      </c>
      <c r="E11" s="7"/>
      <c r="F11" s="6"/>
    </row>
    <row r="12" spans="1:7" ht="15.75" thickBot="1">
      <c r="A12" t="s">
        <v>83</v>
      </c>
      <c r="B12">
        <v>7</v>
      </c>
      <c r="E12" s="108" t="s">
        <v>54</v>
      </c>
      <c r="F12" s="109">
        <f>(B17*B8)/((2*B11*B9)-(0.2*B17))</f>
        <v>8.8868811198063807E-2</v>
      </c>
    </row>
    <row r="13" spans="1:7" ht="16.5" thickBot="1">
      <c r="A13" s="120" t="s">
        <v>66</v>
      </c>
      <c r="B13" s="146">
        <f>0.25-0.025</f>
        <v>0.22500000000000001</v>
      </c>
      <c r="C13" s="148">
        <f>B13/F10</f>
        <v>1.2312955517790369</v>
      </c>
      <c r="E13" s="110" t="s">
        <v>55</v>
      </c>
      <c r="F13" s="111">
        <f>F12</f>
        <v>8.8868811198063807E-2</v>
      </c>
    </row>
    <row r="14" spans="1:7" ht="16.5" thickBot="1">
      <c r="A14" s="120" t="s">
        <v>67</v>
      </c>
      <c r="B14" s="146">
        <v>0.15</v>
      </c>
      <c r="C14" s="148">
        <f>B14/F13</f>
        <v>1.6878812485258952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E5:F5"/>
    <mergeCell ref="A5:B5"/>
    <mergeCell ref="A3:G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D1F1-413C-E74A-9F7B-3532D6FDA3DC}">
  <dimension ref="A1:G31"/>
  <sheetViews>
    <sheetView zoomScale="132" zoomScaleNormal="70" workbookViewId="0">
      <selection activeCell="B6" sqref="B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3" t="s">
        <v>6</v>
      </c>
      <c r="B1" s="213"/>
      <c r="C1" s="213"/>
      <c r="D1" s="213"/>
      <c r="E1" s="213"/>
      <c r="F1" s="213"/>
      <c r="G1" s="213"/>
    </row>
    <row r="2" spans="1:7" ht="15.75">
      <c r="A2" s="214" t="s">
        <v>11</v>
      </c>
      <c r="B2" s="214"/>
      <c r="C2" s="214"/>
      <c r="D2" s="214"/>
      <c r="E2" s="214"/>
      <c r="F2" s="214"/>
      <c r="G2" s="214"/>
    </row>
    <row r="3" spans="1:7" ht="15.75" thickBot="1">
      <c r="A3" s="216" t="s">
        <v>12</v>
      </c>
      <c r="B3" s="216"/>
      <c r="C3" s="216"/>
      <c r="D3" s="216"/>
      <c r="E3" s="216"/>
      <c r="F3" s="216"/>
      <c r="G3" s="216"/>
    </row>
    <row r="4" spans="1:7" ht="16.5" thickBot="1">
      <c r="C4" s="156" t="s">
        <v>104</v>
      </c>
      <c r="E4" s="158" t="s">
        <v>107</v>
      </c>
    </row>
    <row r="5" spans="1:7">
      <c r="A5" s="215" t="s">
        <v>4</v>
      </c>
      <c r="B5" s="215"/>
      <c r="C5" s="147"/>
      <c r="E5" s="215" t="s">
        <v>3</v>
      </c>
      <c r="F5" s="215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0.20168819857190526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9.6074360293569097E-2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0.20168819857190526</v>
      </c>
    </row>
    <row r="11" spans="1:7">
      <c r="A11" t="s">
        <v>7</v>
      </c>
      <c r="B11">
        <v>30000</v>
      </c>
      <c r="E11" s="7"/>
      <c r="F11" s="6"/>
    </row>
    <row r="12" spans="1:7" ht="15.75" thickBot="1">
      <c r="A12" t="s">
        <v>83</v>
      </c>
      <c r="B12">
        <v>7</v>
      </c>
      <c r="E12" s="108" t="s">
        <v>54</v>
      </c>
      <c r="F12" s="109">
        <f>(B17*B8)/((2*B11*B9)-(0.2*B17))</f>
        <v>9.7809182691963037E-2</v>
      </c>
    </row>
    <row r="13" spans="1:7" ht="16.5" thickBot="1">
      <c r="A13" s="120" t="s">
        <v>66</v>
      </c>
      <c r="B13" s="145">
        <f>0.25-0.025</f>
        <v>0.22500000000000001</v>
      </c>
      <c r="C13" s="154">
        <f>B13/F10</f>
        <v>1.1155833687501735</v>
      </c>
      <c r="E13" s="110" t="s">
        <v>55</v>
      </c>
      <c r="F13" s="111">
        <f>F12</f>
        <v>9.7809182691963037E-2</v>
      </c>
    </row>
    <row r="14" spans="1:7" ht="15.75" thickBot="1">
      <c r="A14" s="120" t="s">
        <v>67</v>
      </c>
      <c r="B14" s="121">
        <v>0.15</v>
      </c>
      <c r="C14" s="149">
        <f>B14/F13</f>
        <v>1.5335983378207441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hyperlinks>
    <hyperlink ref="E4" r:id="rId1" xr:uid="{46F9CDA2-D898-8D40-A700-877636117F58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CC0F4-5ED0-0840-90E0-925922EF4438}">
  <dimension ref="A1:G31"/>
  <sheetViews>
    <sheetView zoomScale="132" zoomScaleNormal="70" workbookViewId="0">
      <selection activeCell="B16" sqref="B16"/>
    </sheetView>
  </sheetViews>
  <sheetFormatPr defaultColWidth="8.85546875" defaultRowHeight="15"/>
  <cols>
    <col min="1" max="1" width="45.140625" customWidth="1"/>
    <col min="2" max="3" width="9.42578125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3" t="s">
        <v>6</v>
      </c>
      <c r="B1" s="213"/>
      <c r="C1" s="213"/>
      <c r="D1" s="213"/>
      <c r="E1" s="213"/>
      <c r="F1" s="213"/>
      <c r="G1" s="213"/>
    </row>
    <row r="2" spans="1:7" ht="15.75">
      <c r="A2" s="214" t="s">
        <v>11</v>
      </c>
      <c r="B2" s="214"/>
      <c r="C2" s="214"/>
      <c r="D2" s="214"/>
      <c r="E2" s="214"/>
      <c r="F2" s="214"/>
      <c r="G2" s="214"/>
    </row>
    <row r="3" spans="1:7" ht="15.75" thickBot="1">
      <c r="A3" s="216" t="s">
        <v>12</v>
      </c>
      <c r="B3" s="216"/>
      <c r="C3" s="216"/>
      <c r="D3" s="216"/>
      <c r="E3" s="216"/>
      <c r="F3" s="216"/>
      <c r="G3" s="216"/>
    </row>
    <row r="4" spans="1:7" ht="15.75" thickBot="1">
      <c r="C4" s="157" t="s">
        <v>105</v>
      </c>
    </row>
    <row r="5" spans="1:7">
      <c r="A5" s="215" t="s">
        <v>4</v>
      </c>
      <c r="B5" s="215"/>
      <c r="C5" s="147"/>
      <c r="E5" s="215" t="s">
        <v>3</v>
      </c>
      <c r="F5" s="215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0.36635171282138734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0.16802366954715292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0.36635171282138734</v>
      </c>
    </row>
    <row r="11" spans="1:7">
      <c r="A11" t="s">
        <v>7</v>
      </c>
      <c r="B11">
        <v>17000</v>
      </c>
      <c r="E11" s="7"/>
      <c r="F11" s="6"/>
    </row>
    <row r="12" spans="1:7" ht="15.75" thickBot="1">
      <c r="A12" t="s">
        <v>83</v>
      </c>
      <c r="B12">
        <v>7</v>
      </c>
      <c r="E12" s="108" t="s">
        <v>54</v>
      </c>
      <c r="F12" s="109">
        <f>(B17*B8)/((2*B11*B9)-(0.2*B17))</f>
        <v>0.17340257482678134</v>
      </c>
    </row>
    <row r="13" spans="1:7" ht="16.5" thickBot="1">
      <c r="A13" s="120" t="s">
        <v>66</v>
      </c>
      <c r="B13" s="144">
        <f>0.25-0.025</f>
        <v>0.22500000000000001</v>
      </c>
      <c r="C13" s="153">
        <f>B13/F10</f>
        <v>0.61416390895843154</v>
      </c>
      <c r="E13" s="110" t="s">
        <v>55</v>
      </c>
      <c r="F13" s="111">
        <f>F12</f>
        <v>0.17340257482678134</v>
      </c>
    </row>
    <row r="14" spans="1:7" ht="16.5" thickBot="1">
      <c r="A14" s="120" t="s">
        <v>67</v>
      </c>
      <c r="B14" s="144">
        <v>0.15</v>
      </c>
      <c r="C14" s="153">
        <f>B14/F13</f>
        <v>0.86503905809842152</v>
      </c>
      <c r="E14" s="5"/>
      <c r="F14" s="5"/>
    </row>
    <row r="15" spans="1:7">
      <c r="E15" s="5"/>
      <c r="F15" s="5"/>
    </row>
    <row r="16" spans="1:7" ht="30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5">
    <mergeCell ref="A1:G1"/>
    <mergeCell ref="A2:G2"/>
    <mergeCell ref="A3:G3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sheetPr codeName="Sheet2"/>
  <dimension ref="A1:P819"/>
  <sheetViews>
    <sheetView zoomScale="130" zoomScaleNormal="130" workbookViewId="0">
      <pane xSplit="1" topLeftCell="F1" activePane="topRight" state="frozen"/>
      <selection pane="topRight" activeCell="J53" sqref="J53"/>
    </sheetView>
  </sheetViews>
  <sheetFormatPr defaultColWidth="11.42578125" defaultRowHeight="15"/>
  <cols>
    <col min="1" max="1" width="10.85546875" style="24"/>
    <col min="2" max="2" width="12.42578125" bestFit="1" customWidth="1"/>
    <col min="3" max="3" width="12.7109375" bestFit="1" customWidth="1"/>
    <col min="4" max="4" width="11" style="23" bestFit="1" customWidth="1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1" style="46" bestFit="1" customWidth="1"/>
    <col min="12" max="12" width="30.85546875" bestFit="1" customWidth="1"/>
    <col min="15" max="15" width="25" customWidth="1"/>
  </cols>
  <sheetData>
    <row r="1" spans="1:16" ht="23.25" customHeight="1">
      <c r="A1" s="65"/>
      <c r="B1" s="223" t="s">
        <v>17</v>
      </c>
      <c r="C1" s="224"/>
      <c r="D1" s="225"/>
      <c r="E1" s="14"/>
      <c r="F1" s="14"/>
      <c r="G1" s="220" t="s">
        <v>34</v>
      </c>
      <c r="H1" s="221"/>
      <c r="I1" s="221"/>
      <c r="J1" s="222"/>
      <c r="K1" s="44"/>
      <c r="L1" t="s">
        <v>26</v>
      </c>
      <c r="M1">
        <v>1.5</v>
      </c>
      <c r="O1" t="s">
        <v>30</v>
      </c>
      <c r="P1" s="122">
        <f>'N2O Ullage Calcs'!G57</f>
        <v>2.9</v>
      </c>
    </row>
    <row r="2" spans="1:16">
      <c r="A2" s="27" t="s">
        <v>18</v>
      </c>
      <c r="B2" t="s">
        <v>20</v>
      </c>
      <c r="C2" s="17" t="s">
        <v>21</v>
      </c>
      <c r="D2" s="25" t="s">
        <v>22</v>
      </c>
      <c r="E2" s="17"/>
      <c r="F2" s="17"/>
      <c r="G2" s="217" t="s">
        <v>24</v>
      </c>
      <c r="H2" s="218"/>
      <c r="I2" s="218" t="s">
        <v>25</v>
      </c>
      <c r="J2" s="219"/>
      <c r="K2" s="43"/>
      <c r="L2" t="s">
        <v>14</v>
      </c>
      <c r="M2">
        <f>P1+(2*P3)</f>
        <v>3.4416666666666664</v>
      </c>
      <c r="O2" t="s">
        <v>31</v>
      </c>
      <c r="P2">
        <f>'BPV Calcs - T6'!B8</f>
        <v>3.25</v>
      </c>
    </row>
    <row r="3" spans="1:16">
      <c r="A3" s="30" t="s">
        <v>16</v>
      </c>
      <c r="B3" s="19" t="s">
        <v>19</v>
      </c>
      <c r="C3" s="20" t="s">
        <v>23</v>
      </c>
      <c r="D3" s="31" t="s">
        <v>23</v>
      </c>
      <c r="E3" s="17"/>
      <c r="F3" s="17"/>
      <c r="G3" s="32" t="s">
        <v>28</v>
      </c>
      <c r="H3" s="34" t="s">
        <v>27</v>
      </c>
      <c r="I3" s="33" t="s">
        <v>29</v>
      </c>
      <c r="J3" s="34" t="s">
        <v>27</v>
      </c>
      <c r="K3" s="45"/>
      <c r="L3" t="s">
        <v>13</v>
      </c>
      <c r="M3">
        <v>32.200000000000003</v>
      </c>
      <c r="O3" t="s">
        <v>32</v>
      </c>
      <c r="P3">
        <f>P2/12</f>
        <v>0.27083333333333331</v>
      </c>
    </row>
    <row r="4" spans="1:16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>(C4*($M$3*$P$5)*($M$2+$M$4))/144</f>
        <v>9.5899098282978379</v>
      </c>
      <c r="H4" s="112">
        <f>B4+G4</f>
        <v>462.41014886829782</v>
      </c>
      <c r="I4" s="37">
        <f>(C4*($M$3*$P$5)*$M$1)/144</f>
        <v>3.649437143961122</v>
      </c>
      <c r="J4" s="35">
        <f t="shared" ref="J4:J67" si="0">H4+I4</f>
        <v>466.05958601225893</v>
      </c>
      <c r="L4" t="s">
        <v>57</v>
      </c>
      <c r="M4">
        <v>0.5</v>
      </c>
    </row>
    <row r="5" spans="1:16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ref="G5:G68" si="1">(C5*($M$3*$P$5)*($M$2+$M$4))/144</f>
        <v>9.5629395086386424</v>
      </c>
      <c r="H5" s="112">
        <f t="shared" ref="H5:H68" si="2">B5+G5</f>
        <v>468.21660690863865</v>
      </c>
      <c r="I5" s="37">
        <f t="shared" ref="I5:I68" si="3">(C5*($M$3*$P$5)*$M$1)/144</f>
        <v>3.6391735973677708</v>
      </c>
      <c r="J5" s="35">
        <f t="shared" si="0"/>
        <v>471.8557805060064</v>
      </c>
      <c r="L5" t="s">
        <v>36</v>
      </c>
      <c r="M5">
        <v>0.87815195180003003</v>
      </c>
      <c r="O5" t="s">
        <v>59</v>
      </c>
      <c r="P5">
        <v>6.1820000000000004</v>
      </c>
    </row>
    <row r="6" spans="1:16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1"/>
        <v>9.5357683124316104</v>
      </c>
      <c r="H6" s="112">
        <f t="shared" si="2"/>
        <v>474.07942889243162</v>
      </c>
      <c r="I6" s="37">
        <f t="shared" si="3"/>
        <v>3.6288336072678442</v>
      </c>
      <c r="J6" s="35">
        <f t="shared" si="0"/>
        <v>477.70826249969946</v>
      </c>
      <c r="L6" t="s">
        <v>37</v>
      </c>
      <c r="M6">
        <v>1.2</v>
      </c>
    </row>
    <row r="7" spans="1:16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1"/>
        <v>9.5084173845765196</v>
      </c>
      <c r="H7" s="112">
        <f t="shared" si="2"/>
        <v>479.99573520457648</v>
      </c>
      <c r="I7" s="37">
        <f t="shared" si="3"/>
        <v>3.6184252203462446</v>
      </c>
      <c r="J7" s="35">
        <f t="shared" si="0"/>
        <v>483.61416042492272</v>
      </c>
      <c r="L7" s="40" t="s">
        <v>38</v>
      </c>
      <c r="M7" s="40">
        <f>M5*M6</f>
        <v>1.0537823421600361</v>
      </c>
    </row>
    <row r="8" spans="1:16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1"/>
        <v>9.4808761526234804</v>
      </c>
      <c r="H8" s="112">
        <f t="shared" si="2"/>
        <v>485.96696565262346</v>
      </c>
      <c r="I8" s="37">
        <f t="shared" si="3"/>
        <v>3.6079444132605212</v>
      </c>
      <c r="J8" s="35">
        <f t="shared" si="0"/>
        <v>489.57491006588396</v>
      </c>
    </row>
    <row r="9" spans="1:16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1"/>
        <v>9.4531340441226064</v>
      </c>
      <c r="H9" s="112">
        <f t="shared" si="2"/>
        <v>491.99456004412264</v>
      </c>
      <c r="I9" s="37">
        <f t="shared" si="3"/>
        <v>3.5973871626682228</v>
      </c>
      <c r="J9" s="35">
        <f t="shared" si="0"/>
        <v>495.59194720679085</v>
      </c>
    </row>
    <row r="10" spans="1:16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1"/>
        <v>9.4251804866240132</v>
      </c>
      <c r="H10" s="112">
        <f t="shared" si="2"/>
        <v>498.07705742662398</v>
      </c>
      <c r="I10" s="37">
        <f t="shared" si="3"/>
        <v>3.5867494452268978</v>
      </c>
      <c r="J10" s="35">
        <f t="shared" si="0"/>
        <v>501.66380687185085</v>
      </c>
    </row>
    <row r="11" spans="1:16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1"/>
        <v>9.3970366250274715</v>
      </c>
      <c r="H11" s="112">
        <f t="shared" si="2"/>
        <v>504.21737970502744</v>
      </c>
      <c r="I11" s="37">
        <f t="shared" si="3"/>
        <v>3.5760393076214481</v>
      </c>
      <c r="J11" s="35">
        <f t="shared" si="0"/>
        <v>507.79341901264888</v>
      </c>
    </row>
    <row r="12" spans="1:16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1"/>
        <v>9.3686601695334364</v>
      </c>
      <c r="H12" s="112">
        <f t="shared" si="2"/>
        <v>510.41403420953344</v>
      </c>
      <c r="I12" s="37">
        <f t="shared" si="3"/>
        <v>3.5652406564820689</v>
      </c>
      <c r="J12" s="35">
        <f t="shared" si="0"/>
        <v>513.97927486601554</v>
      </c>
    </row>
    <row r="13" spans="1:16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1"/>
        <v>9.3400828374915701</v>
      </c>
      <c r="H13" s="112">
        <f t="shared" si="2"/>
        <v>516.66705265749158</v>
      </c>
      <c r="I13" s="37">
        <f t="shared" si="3"/>
        <v>3.5543655618361156</v>
      </c>
      <c r="J13" s="35">
        <f t="shared" si="0"/>
        <v>520.22141821932769</v>
      </c>
    </row>
    <row r="14" spans="1:16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1"/>
        <v>9.3112729115522104</v>
      </c>
      <c r="H14" s="112">
        <f t="shared" si="2"/>
        <v>522.97930409155219</v>
      </c>
      <c r="I14" s="37">
        <f t="shared" si="3"/>
        <v>3.5434019536562325</v>
      </c>
      <c r="J14" s="35">
        <f t="shared" si="0"/>
        <v>526.52270604520845</v>
      </c>
    </row>
    <row r="15" spans="1:16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1"/>
        <v>9.2822409641652435</v>
      </c>
      <c r="H15" s="112">
        <f t="shared" si="2"/>
        <v>529.34789832416516</v>
      </c>
      <c r="I15" s="37">
        <f t="shared" si="3"/>
        <v>3.532353855284871</v>
      </c>
      <c r="J15" s="35">
        <f t="shared" si="0"/>
        <v>532.88025217945005</v>
      </c>
    </row>
    <row r="16" spans="1:16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1"/>
        <v>9.2529658504308987</v>
      </c>
      <c r="H16" s="112">
        <f t="shared" si="2"/>
        <v>535.7742645904309</v>
      </c>
      <c r="I16" s="37">
        <f t="shared" si="3"/>
        <v>3.5212132200371289</v>
      </c>
      <c r="J16" s="35">
        <f t="shared" si="0"/>
        <v>539.29547781046801</v>
      </c>
    </row>
    <row r="17" spans="1:10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1"/>
        <v>9.2234475703491761</v>
      </c>
      <c r="H17" s="112">
        <f t="shared" si="2"/>
        <v>542.25985327034925</v>
      </c>
      <c r="I17" s="37">
        <f t="shared" si="3"/>
        <v>3.5099800479130061</v>
      </c>
      <c r="J17" s="35">
        <f t="shared" si="0"/>
        <v>545.76983331826227</v>
      </c>
    </row>
    <row r="18" spans="1:10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1"/>
        <v>9.1936861239200773</v>
      </c>
      <c r="H18" s="112">
        <f t="shared" si="2"/>
        <v>548.8046643639201</v>
      </c>
      <c r="I18" s="37">
        <f t="shared" si="3"/>
        <v>3.4986543389125031</v>
      </c>
      <c r="J18" s="35">
        <f t="shared" si="0"/>
        <v>552.3033187028326</v>
      </c>
    </row>
    <row r="19" spans="1:10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1"/>
        <v>9.163670938693711</v>
      </c>
      <c r="H19" s="112">
        <f t="shared" si="2"/>
        <v>555.41013767869379</v>
      </c>
      <c r="I19" s="37">
        <f t="shared" si="3"/>
        <v>3.4872320696931673</v>
      </c>
      <c r="J19" s="35">
        <f t="shared" si="0"/>
        <v>558.89736974838695</v>
      </c>
    </row>
    <row r="20" spans="1:10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1"/>
        <v>9.1333914422201961</v>
      </c>
      <c r="H20" s="112">
        <f t="shared" si="2"/>
        <v>562.07336188222018</v>
      </c>
      <c r="I20" s="37">
        <f t="shared" si="3"/>
        <v>3.4757092169125485</v>
      </c>
      <c r="J20" s="35">
        <f t="shared" si="0"/>
        <v>565.54907109913279</v>
      </c>
    </row>
    <row r="21" spans="1:10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1"/>
        <v>9.1028476344995326</v>
      </c>
      <c r="H21" s="112">
        <f t="shared" si="2"/>
        <v>568.7972377344995</v>
      </c>
      <c r="I21" s="37">
        <f t="shared" si="3"/>
        <v>3.4640857805706466</v>
      </c>
      <c r="J21" s="35">
        <f t="shared" si="0"/>
        <v>572.2613235150701</v>
      </c>
    </row>
    <row r="22" spans="1:10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1"/>
        <v>9.0720183706319446</v>
      </c>
      <c r="H22" s="112">
        <f t="shared" si="2"/>
        <v>575.58319447063184</v>
      </c>
      <c r="I22" s="37">
        <f t="shared" si="3"/>
        <v>3.4523537139825589</v>
      </c>
      <c r="J22" s="35">
        <f t="shared" si="0"/>
        <v>579.03554818461441</v>
      </c>
    </row>
    <row r="23" spans="1:10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1"/>
        <v>9.0409036506174374</v>
      </c>
      <c r="H23" s="112">
        <f t="shared" si="2"/>
        <v>582.42833133061743</v>
      </c>
      <c r="I23" s="37">
        <f t="shared" si="3"/>
        <v>3.4405130171482852</v>
      </c>
      <c r="J23" s="35">
        <f t="shared" si="0"/>
        <v>585.86884434776573</v>
      </c>
    </row>
    <row r="24" spans="1:10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1"/>
        <v>9.0094929020061194</v>
      </c>
      <c r="H24" s="112">
        <f t="shared" si="2"/>
        <v>589.33553850200622</v>
      </c>
      <c r="I24" s="37">
        <f t="shared" si="3"/>
        <v>3.4285596667253735</v>
      </c>
      <c r="J24" s="35">
        <f t="shared" si="0"/>
        <v>592.76409816873161</v>
      </c>
    </row>
    <row r="25" spans="1:10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1"/>
        <v>8.9777861247979942</v>
      </c>
      <c r="H25" s="112">
        <f t="shared" si="2"/>
        <v>596.30481598479798</v>
      </c>
      <c r="I25" s="37">
        <f t="shared" si="3"/>
        <v>3.4164936627138247</v>
      </c>
      <c r="J25" s="35">
        <f t="shared" si="0"/>
        <v>599.72130964751182</v>
      </c>
    </row>
    <row r="26" spans="1:10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1"/>
        <v>8.9457621740932893</v>
      </c>
      <c r="H26" s="112">
        <f t="shared" si="2"/>
        <v>603.33614263409322</v>
      </c>
      <c r="I26" s="37">
        <f t="shared" si="3"/>
        <v>3.404306958428736</v>
      </c>
      <c r="J26" s="35">
        <f t="shared" si="0"/>
        <v>606.74044959252194</v>
      </c>
    </row>
    <row r="27" spans="1:10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1"/>
        <v>8.9134104774421186</v>
      </c>
      <c r="H27" s="112">
        <f t="shared" si="2"/>
        <v>610.43095825744217</v>
      </c>
      <c r="I27" s="37">
        <f t="shared" si="3"/>
        <v>3.3919955305276557</v>
      </c>
      <c r="J27" s="35">
        <f t="shared" si="0"/>
        <v>613.82295378796982</v>
      </c>
    </row>
    <row r="28" spans="1:10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1"/>
        <v>8.8807310348444801</v>
      </c>
      <c r="H28" s="112">
        <f t="shared" si="2"/>
        <v>617.58781247484455</v>
      </c>
      <c r="I28" s="37">
        <f t="shared" si="3"/>
        <v>3.3795593790105851</v>
      </c>
      <c r="J28" s="35">
        <f t="shared" si="0"/>
        <v>620.96737185385518</v>
      </c>
    </row>
    <row r="29" spans="1:10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1"/>
        <v>8.8476921289507189</v>
      </c>
      <c r="H29" s="112">
        <f t="shared" si="2"/>
        <v>624.8095743289507</v>
      </c>
      <c r="I29" s="37">
        <f t="shared" si="3"/>
        <v>3.3669864338501685</v>
      </c>
      <c r="J29" s="35">
        <f t="shared" si="0"/>
        <v>628.17656076280082</v>
      </c>
    </row>
    <row r="30" spans="1:10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1"/>
        <v>8.8143043322107193</v>
      </c>
      <c r="H30" s="112">
        <f t="shared" si="2"/>
        <v>632.0948040122106</v>
      </c>
      <c r="I30" s="37">
        <f t="shared" si="3"/>
        <v>3.3542807183888579</v>
      </c>
      <c r="J30" s="35">
        <f t="shared" si="0"/>
        <v>635.44908473059945</v>
      </c>
    </row>
    <row r="31" spans="1:10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1"/>
        <v>8.7805464997247089</v>
      </c>
      <c r="H31" s="112">
        <f t="shared" si="2"/>
        <v>639.44493075972468</v>
      </c>
      <c r="I31" s="37">
        <f t="shared" si="3"/>
        <v>3.3414341859417496</v>
      </c>
      <c r="J31" s="35">
        <f t="shared" si="0"/>
        <v>642.78636494566638</v>
      </c>
    </row>
    <row r="32" spans="1:10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1"/>
        <v>8.7464080590428033</v>
      </c>
      <c r="H32" s="112">
        <f t="shared" si="2"/>
        <v>646.8599439990428</v>
      </c>
      <c r="I32" s="37">
        <f t="shared" si="3"/>
        <v>3.328442813166395</v>
      </c>
      <c r="J32" s="35">
        <f t="shared" si="0"/>
        <v>650.18838681220916</v>
      </c>
    </row>
    <row r="33" spans="1:12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1"/>
        <v>8.7118678652652282</v>
      </c>
      <c r="H33" s="112">
        <f t="shared" si="2"/>
        <v>654.33982258526532</v>
      </c>
      <c r="I33" s="37">
        <f t="shared" si="3"/>
        <v>3.3152985533778883</v>
      </c>
      <c r="J33" s="35">
        <f t="shared" si="0"/>
        <v>657.65512113864327</v>
      </c>
    </row>
    <row r="34" spans="1:12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1"/>
        <v>8.6769153459421009</v>
      </c>
      <c r="H34" s="112">
        <f t="shared" si="2"/>
        <v>661.8874567059421</v>
      </c>
      <c r="I34" s="37">
        <f t="shared" si="3"/>
        <v>3.3019973832337808</v>
      </c>
      <c r="J34" s="35">
        <f t="shared" si="0"/>
        <v>665.18945408917591</v>
      </c>
    </row>
    <row r="35" spans="1:12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1"/>
        <v>8.6415293561736455</v>
      </c>
      <c r="H35" s="112">
        <f t="shared" si="2"/>
        <v>669.49992445617374</v>
      </c>
      <c r="I35" s="37">
        <f t="shared" si="3"/>
        <v>3.2885312560491675</v>
      </c>
      <c r="J35" s="35">
        <f t="shared" si="0"/>
        <v>672.78845571222291</v>
      </c>
    </row>
    <row r="36" spans="1:12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1"/>
        <v>8.605699323509981</v>
      </c>
      <c r="H36" s="112">
        <f t="shared" si="2"/>
        <v>677.18156640351003</v>
      </c>
      <c r="I36" s="37">
        <f t="shared" si="3"/>
        <v>3.2748961484815999</v>
      </c>
      <c r="J36" s="35">
        <f t="shared" si="0"/>
        <v>680.45646255199165</v>
      </c>
    </row>
    <row r="37" spans="1:12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1"/>
        <v>8.5694041030513297</v>
      </c>
      <c r="H37" s="112">
        <f t="shared" si="2"/>
        <v>684.92946064305124</v>
      </c>
      <c r="I37" s="37">
        <f t="shared" si="3"/>
        <v>3.2610840138461716</v>
      </c>
      <c r="J37" s="35">
        <f t="shared" si="0"/>
        <v>688.19054465689737</v>
      </c>
    </row>
    <row r="38" spans="1:12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1"/>
        <v>8.5326225498979227</v>
      </c>
      <c r="H38" s="112">
        <f t="shared" si="2"/>
        <v>692.74503640989792</v>
      </c>
      <c r="I38" s="37">
        <f t="shared" si="3"/>
        <v>3.2470868054579838</v>
      </c>
      <c r="J38" s="35">
        <f t="shared" si="0"/>
        <v>695.99212321535595</v>
      </c>
    </row>
    <row r="39" spans="1:12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1"/>
        <v>8.4953335191499875</v>
      </c>
      <c r="H39" s="112">
        <f t="shared" si="2"/>
        <v>700.62972293915004</v>
      </c>
      <c r="I39" s="37">
        <f t="shared" si="3"/>
        <v>3.2328964766321309</v>
      </c>
      <c r="J39" s="35">
        <f t="shared" si="0"/>
        <v>703.86261941578221</v>
      </c>
    </row>
    <row r="40" spans="1:12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1"/>
        <v>8.4575264383576378</v>
      </c>
      <c r="H40" s="112">
        <f t="shared" si="2"/>
        <v>708.58496003835762</v>
      </c>
      <c r="I40" s="37">
        <f t="shared" si="3"/>
        <v>3.2185090040261621</v>
      </c>
      <c r="J40" s="35">
        <f t="shared" si="0"/>
        <v>711.80346904238377</v>
      </c>
    </row>
    <row r="41" spans="1:12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1"/>
        <v>8.4191590177213307</v>
      </c>
      <c r="H41" s="112">
        <f t="shared" si="2"/>
        <v>716.60780465772132</v>
      </c>
      <c r="I41" s="37">
        <f t="shared" si="3"/>
        <v>3.2039082942702741</v>
      </c>
      <c r="J41" s="35">
        <f t="shared" si="0"/>
        <v>719.81171295199158</v>
      </c>
    </row>
    <row r="42" spans="1:12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1"/>
        <v>8.3802101123412935</v>
      </c>
      <c r="H42" s="112">
        <f t="shared" si="2"/>
        <v>724.70258679234121</v>
      </c>
      <c r="I42" s="37">
        <f t="shared" si="3"/>
        <v>3.1890863006795618</v>
      </c>
      <c r="J42" s="35">
        <f t="shared" si="0"/>
        <v>727.89167309302081</v>
      </c>
    </row>
    <row r="43" spans="1:12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1"/>
        <v>8.3406585773177522</v>
      </c>
      <c r="H43" s="112">
        <f t="shared" si="2"/>
        <v>732.86928529731779</v>
      </c>
      <c r="I43" s="37">
        <f t="shared" si="3"/>
        <v>3.1740349765691236</v>
      </c>
      <c r="J43" s="35">
        <f t="shared" si="0"/>
        <v>736.04332027388693</v>
      </c>
    </row>
    <row r="44" spans="1:12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1"/>
        <v>8.300472695301055</v>
      </c>
      <c r="H44" s="112">
        <f t="shared" si="2"/>
        <v>741.10641807530112</v>
      </c>
      <c r="I44" s="37">
        <f t="shared" si="3"/>
        <v>3.1587422519116064</v>
      </c>
      <c r="J44" s="35">
        <f t="shared" si="0"/>
        <v>744.2651603272127</v>
      </c>
    </row>
    <row r="45" spans="1:12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1"/>
        <v>8.2596101764916501</v>
      </c>
      <c r="H45" s="112">
        <f t="shared" si="2"/>
        <v>749.41684359649162</v>
      </c>
      <c r="I45" s="37">
        <f t="shared" si="3"/>
        <v>3.1431920333372028</v>
      </c>
      <c r="J45" s="35">
        <f t="shared" si="0"/>
        <v>752.5600356298288</v>
      </c>
    </row>
    <row r="46" spans="1:12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1"/>
        <v>8.2180498759897684</v>
      </c>
      <c r="H46" s="112">
        <f t="shared" si="2"/>
        <v>757.79909033598972</v>
      </c>
      <c r="I46" s="37">
        <f t="shared" si="3"/>
        <v>3.1273762741610116</v>
      </c>
      <c r="J46" s="35">
        <f t="shared" si="0"/>
        <v>760.92646661015078</v>
      </c>
    </row>
    <row r="47" spans="1:12">
      <c r="A47" s="60">
        <v>70</v>
      </c>
      <c r="B47" s="61">
        <f>B46+(((B48-B46)/($A$48-$A$46))*($A$47-$A$46))</f>
        <v>751.46975752666663</v>
      </c>
      <c r="C47" s="41">
        <f>C46+(((C48-C46)/($A$48-$A$46))*($A$47-$A$46))</f>
        <v>1.5065010984888887</v>
      </c>
      <c r="D47" s="42">
        <f>D46+(((D48-D46)/($A$48-$A$46))*($A$47-$A$46))</f>
        <v>0.31840613902737774</v>
      </c>
      <c r="E47" s="17"/>
      <c r="F47" s="17"/>
      <c r="G47" s="36">
        <f t="shared" si="1"/>
        <v>8.2086497933244562</v>
      </c>
      <c r="H47" s="112">
        <f t="shared" si="2"/>
        <v>759.67840731999104</v>
      </c>
      <c r="I47" s="37">
        <f t="shared" si="3"/>
        <v>3.1237990756837255</v>
      </c>
      <c r="J47" s="35">
        <f t="shared" si="0"/>
        <v>762.80220639567472</v>
      </c>
      <c r="K47" s="39" t="s">
        <v>33</v>
      </c>
      <c r="L47" s="49"/>
    </row>
    <row r="48" spans="1:12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 t="shared" si="1"/>
        <v>8.175749503995867</v>
      </c>
      <c r="H48" s="112">
        <f t="shared" si="2"/>
        <v>766.25601676399583</v>
      </c>
      <c r="I48" s="37">
        <f t="shared" si="3"/>
        <v>3.1112788810132264</v>
      </c>
      <c r="J48" s="35">
        <f t="shared" si="0"/>
        <v>769.36729564500911</v>
      </c>
    </row>
    <row r="49" spans="1:12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 t="shared" si="1"/>
        <v>8.1326561982605146</v>
      </c>
      <c r="H49" s="112">
        <f t="shared" si="2"/>
        <v>774.78757001826045</v>
      </c>
      <c r="I49" s="37">
        <f t="shared" si="3"/>
        <v>3.0948797371815915</v>
      </c>
      <c r="J49" s="35">
        <f t="shared" si="0"/>
        <v>777.88244975544205</v>
      </c>
    </row>
    <row r="50" spans="1:12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 t="shared" si="1"/>
        <v>8.0887276689841698</v>
      </c>
      <c r="H50" s="112">
        <f t="shared" si="2"/>
        <v>783.39370780898412</v>
      </c>
      <c r="I50" s="37">
        <f t="shared" si="3"/>
        <v>3.0781627492963022</v>
      </c>
      <c r="J50" s="35">
        <f t="shared" si="0"/>
        <v>786.47187055828044</v>
      </c>
    </row>
    <row r="51" spans="1:12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 t="shared" si="1"/>
        <v>8.0439216263672861</v>
      </c>
      <c r="H51" s="112">
        <f t="shared" si="2"/>
        <v>792.0758382263673</v>
      </c>
      <c r="I51" s="37">
        <f t="shared" si="3"/>
        <v>3.061111823987551</v>
      </c>
      <c r="J51" s="35">
        <f t="shared" si="0"/>
        <v>795.13695005035481</v>
      </c>
    </row>
    <row r="52" spans="1:12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 t="shared" si="1"/>
        <v>7.9981746357105488</v>
      </c>
      <c r="H52" s="112">
        <f t="shared" si="2"/>
        <v>800.83389783571067</v>
      </c>
      <c r="I52" s="37">
        <f t="shared" si="3"/>
        <v>3.0437028212006316</v>
      </c>
      <c r="J52" s="35">
        <f t="shared" si="0"/>
        <v>803.87760065691134</v>
      </c>
    </row>
    <row r="53" spans="1:12">
      <c r="A53" s="115">
        <v>75</v>
      </c>
      <c r="B53" s="116">
        <f>B52+(((B54-B52)/($A$54-$A$52))*($A$53-$A$52))</f>
        <v>799.74517236666668</v>
      </c>
      <c r="C53" s="117">
        <f t="shared" ref="C53:D53" si="4">C52+(((C54-C52)/($A$54-$A$52))*($A$53-$A$52))</f>
        <v>1.4612000162666667</v>
      </c>
      <c r="D53" s="118">
        <f t="shared" si="4"/>
        <v>0.35142632153493331</v>
      </c>
      <c r="E53" s="119"/>
      <c r="F53" s="119"/>
      <c r="G53" s="36">
        <f t="shared" si="1"/>
        <v>7.9618124564026198</v>
      </c>
      <c r="H53" s="113">
        <f t="shared" si="2"/>
        <v>807.70698482306932</v>
      </c>
      <c r="I53" s="37">
        <f t="shared" si="3"/>
        <v>3.0298652053963462</v>
      </c>
      <c r="J53" s="114">
        <f t="shared" si="0"/>
        <v>810.73685002846571</v>
      </c>
      <c r="K53" s="40" t="s">
        <v>33</v>
      </c>
      <c r="L53" s="66" t="s">
        <v>51</v>
      </c>
    </row>
    <row r="54" spans="1:12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si="1"/>
        <v>7.9514232623146404</v>
      </c>
      <c r="H54" s="112">
        <f t="shared" si="2"/>
        <v>809.67072396231458</v>
      </c>
      <c r="I54" s="37">
        <f t="shared" si="3"/>
        <v>3.025911600880836</v>
      </c>
      <c r="J54" s="35">
        <f t="shared" si="0"/>
        <v>812.6966355631954</v>
      </c>
    </row>
    <row r="55" spans="1:12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"/>
        <v>7.9035934990303609</v>
      </c>
      <c r="H55" s="112">
        <f t="shared" si="2"/>
        <v>818.58624259903036</v>
      </c>
      <c r="I55" s="37">
        <f t="shared" si="3"/>
        <v>3.0077099996310048</v>
      </c>
      <c r="J55" s="35">
        <f t="shared" si="0"/>
        <v>821.59395259866142</v>
      </c>
    </row>
    <row r="56" spans="1:12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"/>
        <v>7.8546219111583913</v>
      </c>
      <c r="H56" s="112">
        <f t="shared" si="2"/>
        <v>827.58039031115834</v>
      </c>
      <c r="I56" s="37">
        <f t="shared" si="3"/>
        <v>2.9890738773964278</v>
      </c>
      <c r="J56" s="35">
        <f t="shared" si="0"/>
        <v>830.56946418855478</v>
      </c>
    </row>
    <row r="57" spans="1:12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"/>
        <v>7.8044133466497589</v>
      </c>
      <c r="H57" s="112">
        <f t="shared" si="2"/>
        <v>836.65452232664984</v>
      </c>
      <c r="I57" s="37">
        <f t="shared" si="3"/>
        <v>2.969967024095046</v>
      </c>
      <c r="J57" s="35">
        <f t="shared" si="0"/>
        <v>839.62448935074485</v>
      </c>
    </row>
    <row r="58" spans="1:12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"/>
        <v>7.7528726534554915</v>
      </c>
      <c r="H58" s="112">
        <f t="shared" si="2"/>
        <v>845.80999387345548</v>
      </c>
      <c r="I58" s="37">
        <f t="shared" si="3"/>
        <v>2.9503532296447958</v>
      </c>
      <c r="J58" s="35">
        <f t="shared" si="0"/>
        <v>848.76034710310023</v>
      </c>
    </row>
    <row r="59" spans="1:12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"/>
        <v>7.6998835346268413</v>
      </c>
      <c r="H59" s="112">
        <f t="shared" si="2"/>
        <v>855.04813903462673</v>
      </c>
      <c r="I59" s="37">
        <f t="shared" si="3"/>
        <v>2.9301882372787134</v>
      </c>
      <c r="J59" s="35">
        <f t="shared" si="0"/>
        <v>857.97832727190541</v>
      </c>
    </row>
    <row r="60" spans="1:12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"/>
        <v>7.6453296932150607</v>
      </c>
      <c r="H60" s="112">
        <f t="shared" si="2"/>
        <v>864.3688415132151</v>
      </c>
      <c r="I60" s="37">
        <f t="shared" si="3"/>
        <v>2.9094277902298331</v>
      </c>
      <c r="J60" s="35">
        <f t="shared" si="0"/>
        <v>867.27826930344497</v>
      </c>
    </row>
    <row r="61" spans="1:12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"/>
        <v>7.5890525424718636</v>
      </c>
      <c r="H61" s="112">
        <f t="shared" si="2"/>
        <v>873.77484348247185</v>
      </c>
      <c r="I61" s="37">
        <f t="shared" si="3"/>
        <v>2.8880115383613858</v>
      </c>
      <c r="J61" s="35">
        <f t="shared" si="0"/>
        <v>876.66285502083326</v>
      </c>
    </row>
    <row r="62" spans="1:12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"/>
        <v>7.5309040680988426</v>
      </c>
      <c r="H62" s="112">
        <f t="shared" si="2"/>
        <v>883.26454654809891</v>
      </c>
      <c r="I62" s="37">
        <f t="shared" si="3"/>
        <v>2.8658831548790524</v>
      </c>
      <c r="J62" s="35">
        <f t="shared" si="0"/>
        <v>886.13042970297795</v>
      </c>
    </row>
    <row r="63" spans="1:12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"/>
        <v>7.4706728210982805</v>
      </c>
      <c r="H63" s="112">
        <f t="shared" si="2"/>
        <v>892.84209040109829</v>
      </c>
      <c r="I63" s="37">
        <f t="shared" si="3"/>
        <v>2.8429621729338064</v>
      </c>
      <c r="J63" s="35">
        <f t="shared" si="0"/>
        <v>895.68505257403206</v>
      </c>
    </row>
    <row r="64" spans="1:12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"/>
        <v>7.4081262075726828</v>
      </c>
      <c r="H64" s="112">
        <f t="shared" si="2"/>
        <v>902.50869282757265</v>
      </c>
      <c r="I64" s="37">
        <f t="shared" si="3"/>
        <v>2.8191600789917186</v>
      </c>
      <c r="J64" s="35">
        <f t="shared" si="0"/>
        <v>905.32785290656432</v>
      </c>
    </row>
    <row r="65" spans="1:12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"/>
        <v>7.3429999162749011</v>
      </c>
      <c r="H65" s="112">
        <f t="shared" si="2"/>
        <v>912.26263913627497</v>
      </c>
      <c r="I65" s="37">
        <f t="shared" si="3"/>
        <v>2.7943762894915056</v>
      </c>
      <c r="J65" s="35">
        <f t="shared" si="0"/>
        <v>915.05701542576651</v>
      </c>
    </row>
    <row r="66" spans="1:12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"/>
        <v>7.274966201258465</v>
      </c>
      <c r="H66" s="112">
        <f t="shared" si="2"/>
        <v>922.10940310125852</v>
      </c>
      <c r="I66" s="37">
        <f t="shared" si="3"/>
        <v>2.768486080817175</v>
      </c>
      <c r="J66" s="35">
        <f t="shared" si="0"/>
        <v>924.87788918207571</v>
      </c>
    </row>
    <row r="67" spans="1:12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"/>
        <v>7.2036127369778269</v>
      </c>
      <c r="H67" s="112">
        <f t="shared" si="2"/>
        <v>932.04712201697782</v>
      </c>
      <c r="I67" s="37">
        <f t="shared" si="3"/>
        <v>2.7413325426131263</v>
      </c>
      <c r="J67" s="35">
        <f t="shared" si="0"/>
        <v>934.78845455959095</v>
      </c>
    </row>
    <row r="68" spans="1:12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"/>
        <v>7.1284531907382256</v>
      </c>
      <c r="H68" s="112">
        <f t="shared" si="2"/>
        <v>942.07966069073836</v>
      </c>
      <c r="I68" s="37">
        <f t="shared" si="3"/>
        <v>2.7127306011265979</v>
      </c>
      <c r="J68" s="35">
        <f t="shared" ref="J68:J79" si="5">H68+I68</f>
        <v>944.79239129186499</v>
      </c>
    </row>
    <row r="69" spans="1:12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ref="G69:G71" si="6">(C69*($M$3*$P$5)*($M$2+$M$4))/144</f>
        <v>7.0488426430966182</v>
      </c>
      <c r="H69" s="112">
        <f t="shared" ref="H69:H79" si="7">B69+G69</f>
        <v>952.2092749630965</v>
      </c>
      <c r="I69" s="37">
        <f t="shared" ref="I69:I79" si="8">(C69*($M$3*$P$5)*$M$1)/144</f>
        <v>2.6824348324680578</v>
      </c>
      <c r="J69" s="35">
        <f t="shared" si="5"/>
        <v>954.89170979556457</v>
      </c>
    </row>
    <row r="70" spans="1:12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6"/>
        <v>6.9639670154117814</v>
      </c>
      <c r="H70" s="112">
        <f t="shared" si="7"/>
        <v>962.43515075541188</v>
      </c>
      <c r="I70" s="37">
        <f t="shared" si="8"/>
        <v>2.6501354392687539</v>
      </c>
      <c r="J70" s="35">
        <f t="shared" si="5"/>
        <v>965.08528619468063</v>
      </c>
    </row>
    <row r="71" spans="1:12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6"/>
        <v>6.8727584902452268</v>
      </c>
      <c r="H71" s="112">
        <f t="shared" si="7"/>
        <v>972.76057139024522</v>
      </c>
      <c r="I71" s="37">
        <f t="shared" si="8"/>
        <v>2.6154260639411016</v>
      </c>
      <c r="J71" s="35">
        <f t="shared" si="5"/>
        <v>975.37599745418629</v>
      </c>
    </row>
    <row r="72" spans="1:12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>(C72*($M$3*$P$5)*($M$2+$M$4))/144</f>
        <v>6.7737052072632586</v>
      </c>
      <c r="H72" s="112">
        <f t="shared" si="7"/>
        <v>983.18982652726322</v>
      </c>
      <c r="I72" s="37">
        <f t="shared" si="8"/>
        <v>2.5777313685145593</v>
      </c>
      <c r="J72" s="35">
        <f t="shared" si="5"/>
        <v>985.76755789577783</v>
      </c>
    </row>
    <row r="73" spans="1:12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ref="G73:G79" si="9">(C73*($M$3*$P$5)*($M$2+$M$4))/144</f>
        <v>6.6646821040387874</v>
      </c>
      <c r="H73" s="112">
        <f t="shared" si="7"/>
        <v>993.72079110403888</v>
      </c>
      <c r="I73" s="37">
        <f t="shared" si="8"/>
        <v>2.5362426611564097</v>
      </c>
      <c r="J73" s="35">
        <f t="shared" si="5"/>
        <v>996.25703376519527</v>
      </c>
    </row>
    <row r="74" spans="1:12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9"/>
        <v>6.5424540109066989</v>
      </c>
      <c r="H74" s="112">
        <f t="shared" si="7"/>
        <v>1004.3603826109066</v>
      </c>
      <c r="I74" s="37">
        <f t="shared" si="8"/>
        <v>2.4897287990765453</v>
      </c>
      <c r="J74" s="35">
        <f t="shared" si="5"/>
        <v>1006.8501114099832</v>
      </c>
    </row>
    <row r="75" spans="1:12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9"/>
        <v>6.4017135580242179</v>
      </c>
      <c r="H75" s="112">
        <f t="shared" si="7"/>
        <v>1015.1061944380242</v>
      </c>
      <c r="I75" s="37">
        <f t="shared" si="8"/>
        <v>2.4361700643643958</v>
      </c>
      <c r="J75" s="35">
        <f t="shared" si="5"/>
        <v>1017.5423645023886</v>
      </c>
    </row>
    <row r="76" spans="1:12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9"/>
        <v>6.2327235190463348</v>
      </c>
      <c r="H76" s="112">
        <f t="shared" si="7"/>
        <v>1025.9586420190465</v>
      </c>
      <c r="I76" s="37">
        <f t="shared" si="8"/>
        <v>2.3718609586222836</v>
      </c>
      <c r="J76" s="35">
        <f t="shared" si="5"/>
        <v>1028.3305029776689</v>
      </c>
    </row>
    <row r="77" spans="1:12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9"/>
        <v>6.013926668655488</v>
      </c>
      <c r="H77" s="112">
        <f t="shared" si="7"/>
        <v>1036.9077711686557</v>
      </c>
      <c r="I77" s="37">
        <f t="shared" si="8"/>
        <v>2.2885978865919405</v>
      </c>
      <c r="J77" s="35">
        <f t="shared" si="5"/>
        <v>1039.1963690552477</v>
      </c>
    </row>
    <row r="78" spans="1:12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9"/>
        <v>5.675121939608613</v>
      </c>
      <c r="H78" s="112">
        <f t="shared" si="7"/>
        <v>1047.9065868996086</v>
      </c>
      <c r="I78" s="37">
        <f t="shared" si="8"/>
        <v>2.1596658543965126</v>
      </c>
      <c r="J78" s="35">
        <f t="shared" si="5"/>
        <v>1050.0662527540051</v>
      </c>
    </row>
    <row r="79" spans="1:12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36">
        <f t="shared" si="9"/>
        <v>4.7788636454224207</v>
      </c>
      <c r="H79" s="112">
        <f t="shared" si="7"/>
        <v>1055.5791736454225</v>
      </c>
      <c r="I79" s="37">
        <f t="shared" si="8"/>
        <v>1.8185950447696315</v>
      </c>
      <c r="J79" s="35">
        <f t="shared" si="5"/>
        <v>1057.3977686901922</v>
      </c>
      <c r="K79" s="48"/>
      <c r="L79" s="22"/>
    </row>
    <row r="80" spans="1:12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4">
    <mergeCell ref="G2:H2"/>
    <mergeCell ref="I2:J2"/>
    <mergeCell ref="G1:J1"/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sheetPr codeName="Sheet3"/>
  <dimension ref="A1:O819"/>
  <sheetViews>
    <sheetView topLeftCell="A29" zoomScale="150" zoomScaleNormal="100" workbookViewId="0">
      <pane xSplit="1" topLeftCell="B1" activePane="topRight" state="frozen"/>
      <selection pane="topRight" activeCell="E5" sqref="E5"/>
    </sheetView>
  </sheetViews>
  <sheetFormatPr defaultColWidth="11.42578125" defaultRowHeight="15"/>
  <cols>
    <col min="1" max="1" width="11.42578125" style="24"/>
    <col min="3" max="3" width="11.85546875" customWidth="1"/>
    <col min="4" max="4" width="11.42578125" style="23"/>
    <col min="5" max="5" width="11.42578125" style="58"/>
    <col min="6" max="6" width="22.28515625" customWidth="1"/>
    <col min="7" max="8" width="13" style="24" customWidth="1"/>
    <col min="9" max="9" width="11" style="24" customWidth="1"/>
    <col min="10" max="10" width="12.140625" customWidth="1"/>
    <col min="11" max="11" width="9.85546875" customWidth="1"/>
    <col min="12" max="12" width="12.42578125" customWidth="1"/>
    <col min="13" max="13" width="13" customWidth="1"/>
    <col min="14" max="14" width="40.7109375" bestFit="1" customWidth="1"/>
    <col min="17" max="17" width="23.42578125" bestFit="1" customWidth="1"/>
  </cols>
  <sheetData>
    <row r="1" spans="1:15" ht="23.25" customHeight="1">
      <c r="A1" s="228" t="s">
        <v>17</v>
      </c>
      <c r="B1" s="229"/>
      <c r="C1" s="229"/>
      <c r="D1" s="230"/>
      <c r="E1" s="62"/>
      <c r="F1" s="231" t="s">
        <v>100</v>
      </c>
      <c r="G1" s="107"/>
      <c r="H1" s="107"/>
      <c r="I1" s="107"/>
      <c r="J1" s="234" t="s">
        <v>49</v>
      </c>
      <c r="K1" s="98"/>
      <c r="L1" s="73"/>
      <c r="M1" s="14"/>
      <c r="N1" t="s">
        <v>56</v>
      </c>
      <c r="O1">
        <v>1.5</v>
      </c>
    </row>
    <row r="2" spans="1:15" ht="27.95" customHeight="1">
      <c r="A2" s="79" t="s">
        <v>18</v>
      </c>
      <c r="B2" s="80" t="s">
        <v>20</v>
      </c>
      <c r="C2" s="81" t="s">
        <v>21</v>
      </c>
      <c r="D2" s="82" t="s">
        <v>22</v>
      </c>
      <c r="E2" s="50"/>
      <c r="F2" s="232"/>
      <c r="G2" s="103" t="s">
        <v>39</v>
      </c>
      <c r="H2" s="103" t="s">
        <v>103</v>
      </c>
      <c r="I2" s="103" t="s">
        <v>35</v>
      </c>
      <c r="J2" s="235"/>
      <c r="K2" s="236" t="s">
        <v>48</v>
      </c>
      <c r="L2" s="237"/>
      <c r="M2" s="63"/>
      <c r="N2" t="s">
        <v>14</v>
      </c>
      <c r="O2">
        <f>R1+(2*R3)</f>
        <v>0</v>
      </c>
    </row>
    <row r="3" spans="1:15" ht="15.75" thickBot="1">
      <c r="A3" s="94" t="s">
        <v>16</v>
      </c>
      <c r="B3" s="95" t="s">
        <v>19</v>
      </c>
      <c r="C3" s="96" t="s">
        <v>23</v>
      </c>
      <c r="D3" s="97" t="s">
        <v>23</v>
      </c>
      <c r="E3" s="20"/>
      <c r="F3" s="233"/>
      <c r="G3" s="99" t="s">
        <v>40</v>
      </c>
      <c r="H3" s="99" t="s">
        <v>40</v>
      </c>
      <c r="I3" s="99" t="s">
        <v>40</v>
      </c>
      <c r="J3" s="92" t="s">
        <v>40</v>
      </c>
      <c r="K3" s="99" t="s">
        <v>47</v>
      </c>
      <c r="L3" s="93" t="s">
        <v>52</v>
      </c>
      <c r="M3" s="17"/>
      <c r="N3" t="s">
        <v>13</v>
      </c>
      <c r="O3">
        <v>32.200000000000003</v>
      </c>
    </row>
    <row r="4" spans="1:15">
      <c r="A4" s="79">
        <v>32</v>
      </c>
      <c r="B4" s="83">
        <v>452.82023903999999</v>
      </c>
      <c r="C4" s="81">
        <v>1.75999830112</v>
      </c>
      <c r="D4" s="82">
        <v>0.16525852904319999</v>
      </c>
      <c r="E4" s="50">
        <f>$O$7/((C4*(1-F4))+(D4*F4))</f>
        <v>0.75464059157743779</v>
      </c>
      <c r="F4" s="74">
        <f t="shared" ref="F4:F35" si="0">(($C$53*(1-$O$11))+(D4*$O$11)-C4)/(D4-C4)</f>
        <v>0.22799667104370452</v>
      </c>
      <c r="G4" s="104">
        <f>$O$7/((C4*(1-$O$11))+(D4*$O$11))</f>
        <v>0.62715384464932811</v>
      </c>
      <c r="H4" s="104">
        <v>0.75119999999999998</v>
      </c>
      <c r="I4" s="67">
        <f>H4*F4</f>
        <v>0.17127109928803083</v>
      </c>
      <c r="J4" s="68">
        <f>I4-$G$55</f>
        <v>0.12966423767093513</v>
      </c>
      <c r="K4" s="67">
        <f>IF(J4&gt;0, ('BPV Calcs - T6'!$B$8/12)+(J4/(PI()*(('BPV Calcs - T6'!$B$8/12)^2))), "Need to Use Goal Seek tool")</f>
        <v>0.83351933171067216</v>
      </c>
      <c r="L4" s="75">
        <f>K4*12</f>
        <v>10.002231980528066</v>
      </c>
      <c r="M4" s="17"/>
      <c r="N4" t="s">
        <v>57</v>
      </c>
      <c r="O4">
        <v>0.5</v>
      </c>
    </row>
    <row r="5" spans="1:15">
      <c r="A5" s="79">
        <v>32.9</v>
      </c>
      <c r="B5" s="83">
        <v>458.65366740000002</v>
      </c>
      <c r="C5" s="81">
        <v>1.7550485447999999</v>
      </c>
      <c r="D5" s="82">
        <v>0.16772615040639999</v>
      </c>
      <c r="E5" s="50"/>
      <c r="F5" s="74">
        <f t="shared" si="0"/>
        <v>0.22586603899286106</v>
      </c>
      <c r="G5" s="104">
        <f t="shared" ref="G5:G53" si="1">$O$7/((C5*(1-$O$11))+(D5*$O$11))</f>
        <v>0.62886757442092611</v>
      </c>
      <c r="H5" s="104">
        <v>0.75119999999999998</v>
      </c>
      <c r="I5" s="67">
        <f t="shared" ref="I5:I53" si="2">H5*F5</f>
        <v>0.16967056849143722</v>
      </c>
      <c r="J5" s="68">
        <f t="shared" ref="J5:J54" si="3">I5-$G$55</f>
        <v>0.12806370687434152</v>
      </c>
      <c r="K5" s="67">
        <f>IF(J5&gt;0, ('BPV Calcs - T6'!$B$8/12)+(J5/(PI()*(('BPV Calcs - T6'!$B$8/12)^2))), "Need to Use Goal Seek tool")</f>
        <v>0.82657372908814719</v>
      </c>
      <c r="L5" s="75">
        <f t="shared" ref="L5:L53" si="4">K5*12</f>
        <v>9.9188847490577672</v>
      </c>
      <c r="M5" s="17"/>
      <c r="N5" t="s">
        <v>36</v>
      </c>
      <c r="O5">
        <v>0.87815195180003003</v>
      </c>
    </row>
    <row r="6" spans="1:15">
      <c r="A6" s="79">
        <v>33.799999999999997</v>
      </c>
      <c r="B6" s="83">
        <v>464.54366057999999</v>
      </c>
      <c r="C6" s="81">
        <v>1.7500619224</v>
      </c>
      <c r="D6" s="82">
        <v>0.1702317244288</v>
      </c>
      <c r="E6" s="50"/>
      <c r="F6" s="74">
        <f t="shared" si="0"/>
        <v>0.22370145929548133</v>
      </c>
      <c r="G6" s="104">
        <f t="shared" si="1"/>
        <v>0.63060319557846756</v>
      </c>
      <c r="H6" s="104">
        <v>0.75119999999999998</v>
      </c>
      <c r="I6" s="67">
        <f t="shared" si="2"/>
        <v>0.16804453622276558</v>
      </c>
      <c r="J6" s="68">
        <f t="shared" si="3"/>
        <v>0.12643767460566988</v>
      </c>
      <c r="K6" s="67">
        <f>IF(J6&gt;0, ('BPV Calcs - T6'!$B$8/12)+(J6/(PI()*(('BPV Calcs - T6'!$B$8/12)^2))), "Need to Use Goal Seek tool")</f>
        <v>0.8195174612464835</v>
      </c>
      <c r="L6" s="75">
        <f t="shared" si="4"/>
        <v>9.834209534957802</v>
      </c>
      <c r="M6" s="17"/>
      <c r="N6" t="s">
        <v>37</v>
      </c>
      <c r="O6">
        <v>1.2</v>
      </c>
    </row>
    <row r="7" spans="1:15">
      <c r="A7" s="79">
        <v>34.700000000000003</v>
      </c>
      <c r="B7" s="83">
        <v>470.48731781999993</v>
      </c>
      <c r="C7" s="81">
        <v>1.7450423145599998</v>
      </c>
      <c r="D7" s="82">
        <v>0.17277604664159998</v>
      </c>
      <c r="E7" s="50"/>
      <c r="F7" s="74">
        <f t="shared" si="0"/>
        <v>0.22150414588215353</v>
      </c>
      <c r="G7" s="104">
        <f t="shared" si="1"/>
        <v>0.63235957933036391</v>
      </c>
      <c r="H7" s="104">
        <v>0.75119999999999998</v>
      </c>
      <c r="I7" s="67">
        <f t="shared" si="2"/>
        <v>0.16639391438667372</v>
      </c>
      <c r="J7" s="68">
        <f t="shared" si="3"/>
        <v>0.12478705276957802</v>
      </c>
      <c r="K7" s="67">
        <f>IF(J7&gt;0, ('BPV Calcs - T6'!$B$8/12)+(J7/(PI()*(('BPV Calcs - T6'!$B$8/12)^2))), "Need to Use Goal Seek tool")</f>
        <v>0.81235448545248023</v>
      </c>
      <c r="L7" s="75">
        <f t="shared" si="4"/>
        <v>9.7482538254297637</v>
      </c>
      <c r="M7" s="17"/>
      <c r="N7" s="40" t="s">
        <v>38</v>
      </c>
      <c r="O7" s="40">
        <f>O5*O6</f>
        <v>1.0537823421600361</v>
      </c>
    </row>
    <row r="8" spans="1:15">
      <c r="A8" s="79">
        <v>35.6</v>
      </c>
      <c r="B8" s="83">
        <v>476.48608949999999</v>
      </c>
      <c r="C8" s="81">
        <v>1.73998778096</v>
      </c>
      <c r="D8" s="82">
        <v>0.17536002899519998</v>
      </c>
      <c r="E8" s="50"/>
      <c r="F8" s="74">
        <f t="shared" si="0"/>
        <v>0.21927245226609335</v>
      </c>
      <c r="G8" s="104">
        <f t="shared" si="1"/>
        <v>0.63413767888578276</v>
      </c>
      <c r="H8" s="104">
        <v>0.75119999999999998</v>
      </c>
      <c r="I8" s="67">
        <f t="shared" si="2"/>
        <v>0.16471746614228933</v>
      </c>
      <c r="J8" s="68">
        <f t="shared" si="3"/>
        <v>0.12311060452519362</v>
      </c>
      <c r="K8" s="67">
        <f>IF(J8&gt;0, ('BPV Calcs - T6'!$B$8/12)+(J8/(PI()*(('BPV Calcs - T6'!$B$8/12)^2))), "Need to Use Goal Seek tool")</f>
        <v>0.80507943435848994</v>
      </c>
      <c r="L8" s="75">
        <f t="shared" si="4"/>
        <v>9.6609532123018802</v>
      </c>
      <c r="M8" s="17"/>
    </row>
    <row r="9" spans="1:15">
      <c r="A9" s="79">
        <v>36.5</v>
      </c>
      <c r="B9" s="83">
        <v>482.54142600000006</v>
      </c>
      <c r="C9" s="81">
        <v>1.73489638128</v>
      </c>
      <c r="D9" s="82">
        <v>0.17798456403679999</v>
      </c>
      <c r="E9" s="50"/>
      <c r="F9" s="74">
        <f t="shared" si="0"/>
        <v>0.21700467160886799</v>
      </c>
      <c r="G9" s="104">
        <f t="shared" si="1"/>
        <v>0.63593846866595771</v>
      </c>
      <c r="H9" s="104">
        <v>0.75119999999999998</v>
      </c>
      <c r="I9" s="67">
        <f t="shared" si="2"/>
        <v>0.16301390931258164</v>
      </c>
      <c r="J9" s="68">
        <f t="shared" si="3"/>
        <v>0.12140704769548594</v>
      </c>
      <c r="K9" s="67">
        <f>IF(J9&gt;0, ('BPV Calcs - T6'!$B$8/12)+(J9/(PI()*(('BPV Calcs - T6'!$B$8/12)^2))), "Need to Use Goal Seek tool")</f>
        <v>0.79768674387779392</v>
      </c>
      <c r="L9" s="75">
        <f t="shared" si="4"/>
        <v>9.572240926533528</v>
      </c>
      <c r="M9" s="17"/>
    </row>
    <row r="10" spans="1:15">
      <c r="A10" s="79">
        <v>37.4</v>
      </c>
      <c r="B10" s="83">
        <v>488.65187693999997</v>
      </c>
      <c r="C10" s="81">
        <v>1.7297661752</v>
      </c>
      <c r="D10" s="82">
        <v>0.18065056371679999</v>
      </c>
      <c r="E10" s="50"/>
      <c r="F10" s="74">
        <f t="shared" si="0"/>
        <v>0.21469903801588108</v>
      </c>
      <c r="G10" s="104">
        <f t="shared" si="1"/>
        <v>0.63776294429150615</v>
      </c>
      <c r="H10" s="104">
        <v>0.75119999999999998</v>
      </c>
      <c r="I10" s="67">
        <f t="shared" si="2"/>
        <v>0.16128191735752986</v>
      </c>
      <c r="J10" s="68">
        <f t="shared" si="3"/>
        <v>0.11967505574043416</v>
      </c>
      <c r="K10" s="67">
        <f>IF(J10&gt;0, ('BPV Calcs - T6'!$B$8/12)+(J10/(PI()*(('BPV Calcs - T6'!$B$8/12)^2))), "Need to Use Goal Seek tool")</f>
        <v>0.79017065740772896</v>
      </c>
      <c r="L10" s="75">
        <f t="shared" si="4"/>
        <v>9.4820478888927475</v>
      </c>
      <c r="M10" s="17"/>
      <c r="N10" t="s">
        <v>102</v>
      </c>
    </row>
    <row r="11" spans="1:15">
      <c r="A11" s="79">
        <v>38.299999999999997</v>
      </c>
      <c r="B11" s="83">
        <v>494.82034307999999</v>
      </c>
      <c r="C11" s="81">
        <v>1.7246010433599999</v>
      </c>
      <c r="D11" s="82">
        <v>0.18335905640479999</v>
      </c>
      <c r="E11" s="50"/>
      <c r="F11" s="74">
        <f t="shared" si="0"/>
        <v>0.21235670832781436</v>
      </c>
      <c r="G11" s="104">
        <f t="shared" si="1"/>
        <v>0.63960997461690805</v>
      </c>
      <c r="H11" s="104">
        <v>0.75119999999999998</v>
      </c>
      <c r="I11" s="67">
        <f t="shared" si="2"/>
        <v>0.15952235929585415</v>
      </c>
      <c r="J11" s="68">
        <f t="shared" si="3"/>
        <v>0.11791549767875845</v>
      </c>
      <c r="K11" s="67">
        <f>IF(J11&gt;0, ('BPV Calcs - T6'!$B$8/12)+(J11/(PI()*(('BPV Calcs - T6'!$B$8/12)^2))), "Need to Use Goal Seek tool")</f>
        <v>0.78253494610890839</v>
      </c>
      <c r="L11" s="75">
        <f t="shared" si="4"/>
        <v>9.3904193533068998</v>
      </c>
      <c r="M11" s="17"/>
      <c r="N11" s="40" t="s">
        <v>101</v>
      </c>
      <c r="O11" s="40">
        <v>0.05</v>
      </c>
    </row>
    <row r="12" spans="1:15">
      <c r="A12" s="79">
        <v>39.200000000000003</v>
      </c>
      <c r="B12" s="83">
        <v>501.04537404000001</v>
      </c>
      <c r="C12" s="81">
        <v>1.7193932244799999</v>
      </c>
      <c r="D12" s="82">
        <v>0.18611099285759999</v>
      </c>
      <c r="E12" s="50"/>
      <c r="F12" s="74">
        <f t="shared" si="0"/>
        <v>0.20997286262368442</v>
      </c>
      <c r="G12" s="104">
        <f t="shared" si="1"/>
        <v>0.64148272157936903</v>
      </c>
      <c r="H12" s="104">
        <v>0.75119999999999998</v>
      </c>
      <c r="I12" s="67">
        <f t="shared" si="2"/>
        <v>0.15773161440291172</v>
      </c>
      <c r="J12" s="68">
        <f t="shared" si="3"/>
        <v>0.11612475278581602</v>
      </c>
      <c r="K12" s="67">
        <f>IF(J12&gt;0, ('BPV Calcs - T6'!$B$8/12)+(J12/(PI()*(('BPV Calcs - T6'!$B$8/12)^2))), "Need to Use Goal Seek tool")</f>
        <v>0.7747638976222655</v>
      </c>
      <c r="L12" s="75">
        <f t="shared" si="4"/>
        <v>9.297166771467186</v>
      </c>
      <c r="M12" s="17"/>
      <c r="N12" s="171" t="s">
        <v>116</v>
      </c>
      <c r="O12" s="171"/>
    </row>
    <row r="13" spans="1:15">
      <c r="A13" s="79">
        <v>40.1</v>
      </c>
      <c r="B13" s="83">
        <v>507.32696982000004</v>
      </c>
      <c r="C13" s="81">
        <v>1.71414853952</v>
      </c>
      <c r="D13" s="82">
        <v>0.1889074790576</v>
      </c>
      <c r="E13" s="50"/>
      <c r="F13" s="74">
        <f t="shared" si="0"/>
        <v>0.20754958564898307</v>
      </c>
      <c r="G13" s="104">
        <f t="shared" si="1"/>
        <v>0.64337934945288622</v>
      </c>
      <c r="H13" s="104">
        <v>0.75119999999999998</v>
      </c>
      <c r="I13" s="67">
        <f t="shared" si="2"/>
        <v>0.15591124873951609</v>
      </c>
      <c r="J13" s="68">
        <f t="shared" si="3"/>
        <v>0.11430438712242039</v>
      </c>
      <c r="K13" s="67">
        <f>IF(J13&gt;0, ('BPV Calcs - T6'!$B$8/12)+(J13/(PI()*(('BPV Calcs - T6'!$B$8/12)^2))), "Need to Use Goal Seek tool")</f>
        <v>0.76686430796579397</v>
      </c>
      <c r="L13" s="75">
        <f t="shared" si="4"/>
        <v>9.2023716955895267</v>
      </c>
      <c r="M13" s="17"/>
      <c r="N13" s="171">
        <v>3.25638777478314</v>
      </c>
      <c r="O13" s="171" t="s">
        <v>117</v>
      </c>
    </row>
    <row r="14" spans="1:15">
      <c r="A14" s="79">
        <v>41</v>
      </c>
      <c r="B14" s="83">
        <v>513.66803117999996</v>
      </c>
      <c r="C14" s="81">
        <v>1.7088611675200001</v>
      </c>
      <c r="D14" s="82">
        <v>0.19174958218079999</v>
      </c>
      <c r="E14" s="50"/>
      <c r="F14" s="74">
        <f t="shared" si="0"/>
        <v>0.20508291938727927</v>
      </c>
      <c r="G14" s="104">
        <f t="shared" si="1"/>
        <v>0.64530234907974404</v>
      </c>
      <c r="H14" s="104">
        <v>0.75119999999999998</v>
      </c>
      <c r="I14" s="67">
        <f t="shared" si="2"/>
        <v>0.15405828904372418</v>
      </c>
      <c r="J14" s="68">
        <f t="shared" si="3"/>
        <v>0.11245142742662848</v>
      </c>
      <c r="K14" s="67">
        <f>IF(J14&gt;0, ('BPV Calcs - T6'!$B$8/12)+(J14/(PI()*(('BPV Calcs - T6'!$B$8/12)^2))), "Need to Use Goal Seek tool")</f>
        <v>0.75882327448495346</v>
      </c>
      <c r="L14" s="75">
        <f t="shared" si="4"/>
        <v>9.1058792938194415</v>
      </c>
      <c r="M14" s="17"/>
      <c r="N14" s="171">
        <f>N13/12</f>
        <v>0.27136564789859502</v>
      </c>
      <c r="O14" s="171" t="s">
        <v>118</v>
      </c>
    </row>
    <row r="15" spans="1:15">
      <c r="A15" s="79">
        <v>41.9</v>
      </c>
      <c r="B15" s="83">
        <v>520.06565735999993</v>
      </c>
      <c r="C15" s="81">
        <v>1.7035330488</v>
      </c>
      <c r="D15" s="82">
        <v>0.19463846641919999</v>
      </c>
      <c r="E15" s="50"/>
      <c r="F15" s="74">
        <f t="shared" si="0"/>
        <v>0.20257287261474624</v>
      </c>
      <c r="G15" s="104">
        <f t="shared" si="1"/>
        <v>0.6472513373024722</v>
      </c>
      <c r="H15" s="104">
        <v>0.75119999999999998</v>
      </c>
      <c r="I15" s="67">
        <f t="shared" si="2"/>
        <v>0.15217274190819738</v>
      </c>
      <c r="J15" s="68">
        <f t="shared" si="3"/>
        <v>0.11056588029110168</v>
      </c>
      <c r="K15" s="67">
        <f>IF(J15&gt;0, ('BPV Calcs - T6'!$B$8/12)+(J15/(PI()*(('BPV Calcs - T6'!$B$8/12)^2))), "Need to Use Goal Seek tool")</f>
        <v>0.75064082578900704</v>
      </c>
      <c r="L15" s="75">
        <f t="shared" si="4"/>
        <v>9.007689909468084</v>
      </c>
      <c r="M15" s="17"/>
      <c r="N15" s="171"/>
      <c r="O15" s="171"/>
    </row>
    <row r="16" spans="1:15">
      <c r="A16" s="79">
        <v>42.8</v>
      </c>
      <c r="B16" s="83">
        <v>526.52129874000002</v>
      </c>
      <c r="C16" s="81">
        <v>1.6981603027200001</v>
      </c>
      <c r="D16" s="82">
        <v>0.19757531536799999</v>
      </c>
      <c r="E16" s="50"/>
      <c r="F16" s="74">
        <f t="shared" si="0"/>
        <v>0.2000163429782873</v>
      </c>
      <c r="G16" s="104">
        <f t="shared" si="1"/>
        <v>0.64922813224697018</v>
      </c>
      <c r="H16" s="104">
        <v>0.75119999999999998</v>
      </c>
      <c r="I16" s="67">
        <f t="shared" si="2"/>
        <v>0.15025227684528941</v>
      </c>
      <c r="J16" s="68">
        <f t="shared" si="3"/>
        <v>0.10864541522819371</v>
      </c>
      <c r="K16" s="67">
        <f>IF(J16&gt;0, ('BPV Calcs - T6'!$B$8/12)+(J16/(PI()*(('BPV Calcs - T6'!$B$8/12)^2))), "Need to Use Goal Seek tool")</f>
        <v>0.74230684858232654</v>
      </c>
      <c r="L16" s="75">
        <f t="shared" si="4"/>
        <v>8.9076821829879194</v>
      </c>
      <c r="M16" s="17"/>
      <c r="N16" s="171">
        <f>(2/3)*PI()*(_MailAutoSig^3)</f>
        <v>4.1852675134105212E-2</v>
      </c>
      <c r="O16" s="171" t="s">
        <v>119</v>
      </c>
    </row>
    <row r="17" spans="1:15">
      <c r="A17" s="79">
        <v>43.7</v>
      </c>
      <c r="B17" s="83">
        <v>533.03640570000005</v>
      </c>
      <c r="C17" s="81">
        <v>1.69274292928</v>
      </c>
      <c r="D17" s="82">
        <v>0.20056135142879999</v>
      </c>
      <c r="E17" s="50"/>
      <c r="F17" s="74">
        <f t="shared" si="0"/>
        <v>0.19741219877504856</v>
      </c>
      <c r="G17" s="104">
        <f t="shared" si="1"/>
        <v>0.65123311146832652</v>
      </c>
      <c r="H17" s="104">
        <v>0.75119999999999998</v>
      </c>
      <c r="I17" s="67">
        <f t="shared" si="2"/>
        <v>0.14829604371981647</v>
      </c>
      <c r="J17" s="68">
        <f t="shared" si="3"/>
        <v>0.10668918210272077</v>
      </c>
      <c r="K17" s="67">
        <f>IF(J17&gt;0, ('BPV Calcs - T6'!$B$8/12)+(J17/(PI()*(('BPV Calcs - T6'!$B$8/12)^2))), "Need to Use Goal Seek tool")</f>
        <v>0.73381765365057472</v>
      </c>
      <c r="L17" s="75">
        <f t="shared" si="4"/>
        <v>8.8058118438068966</v>
      </c>
      <c r="M17" s="17"/>
      <c r="N17" s="171">
        <f>G57*PI()*_MailAutoSig^2</f>
        <v>0.67089971867548348</v>
      </c>
      <c r="O17" s="171" t="s">
        <v>120</v>
      </c>
    </row>
    <row r="18" spans="1:15">
      <c r="A18" s="79">
        <v>44.6</v>
      </c>
      <c r="B18" s="83">
        <v>539.61097824000001</v>
      </c>
      <c r="C18" s="81">
        <v>1.6872809284800001</v>
      </c>
      <c r="D18" s="82">
        <v>0.20359789401919998</v>
      </c>
      <c r="E18" s="50"/>
      <c r="F18" s="74">
        <f t="shared" si="0"/>
        <v>0.19475926570173455</v>
      </c>
      <c r="G18" s="104">
        <f t="shared" si="1"/>
        <v>0.65326665910188353</v>
      </c>
      <c r="H18" s="104">
        <v>0.75119999999999998</v>
      </c>
      <c r="I18" s="67">
        <f t="shared" si="2"/>
        <v>0.14630316039514299</v>
      </c>
      <c r="J18" s="68">
        <f t="shared" si="3"/>
        <v>0.10469629877804729</v>
      </c>
      <c r="K18" s="67">
        <f>IF(J18&gt;0, ('BPV Calcs - T6'!$B$8/12)+(J18/(PI()*(('BPV Calcs - T6'!$B$8/12)^2))), "Need to Use Goal Seek tool")</f>
        <v>0.72516941290713033</v>
      </c>
      <c r="L18" s="75">
        <f t="shared" si="4"/>
        <v>8.7020329548855635</v>
      </c>
      <c r="M18" s="17"/>
      <c r="N18" s="171">
        <f>N17+(2*N16)</f>
        <v>0.75460506894369395</v>
      </c>
      <c r="O18" s="171" t="s">
        <v>114</v>
      </c>
    </row>
    <row r="19" spans="1:15">
      <c r="A19" s="79">
        <v>45.5</v>
      </c>
      <c r="B19" s="83">
        <v>546.24646674000007</v>
      </c>
      <c r="C19" s="81">
        <v>1.6817723599999999</v>
      </c>
      <c r="D19" s="82">
        <v>0.20668630136319999</v>
      </c>
      <c r="E19" s="50"/>
      <c r="F19" s="74">
        <f t="shared" si="0"/>
        <v>0.19205525523054301</v>
      </c>
      <c r="G19" s="104">
        <f t="shared" si="1"/>
        <v>0.6553299184222835</v>
      </c>
      <c r="H19" s="104">
        <v>0.75119999999999998</v>
      </c>
      <c r="I19" s="67">
        <f t="shared" si="2"/>
        <v>0.14427190772918391</v>
      </c>
      <c r="J19" s="68">
        <f t="shared" si="3"/>
        <v>0.10266504611208821</v>
      </c>
      <c r="K19" s="67">
        <f>IF(J19&gt;0, ('BPV Calcs - T6'!$B$8/12)+(J19/(PI()*(('BPV Calcs - T6'!$B$8/12)^2))), "Need to Use Goal Seek tool")</f>
        <v>0.71635466602833064</v>
      </c>
      <c r="L19" s="75">
        <f t="shared" si="4"/>
        <v>8.5962559923399677</v>
      </c>
      <c r="M19" s="17"/>
      <c r="N19" s="172">
        <f>N18-H4</f>
        <v>3.4050689436939674E-3</v>
      </c>
      <c r="O19" s="171" t="s">
        <v>115</v>
      </c>
    </row>
    <row r="20" spans="1:15">
      <c r="A20" s="79">
        <v>46.4</v>
      </c>
      <c r="B20" s="83">
        <v>552.93997044000002</v>
      </c>
      <c r="C20" s="81">
        <v>1.6762152835199999</v>
      </c>
      <c r="D20" s="82">
        <v>0.2098279704912</v>
      </c>
      <c r="E20" s="50"/>
      <c r="F20" s="74">
        <f t="shared" si="0"/>
        <v>0.18929778447739115</v>
      </c>
      <c r="G20" s="104">
        <f t="shared" si="1"/>
        <v>0.65742406004832554</v>
      </c>
      <c r="H20" s="104">
        <v>0.75119999999999998</v>
      </c>
      <c r="I20" s="67">
        <f t="shared" si="2"/>
        <v>0.14220049569941623</v>
      </c>
      <c r="J20" s="68">
        <f t="shared" si="3"/>
        <v>0.10059363408232053</v>
      </c>
      <c r="K20" s="67">
        <f>IF(J20&gt;0, ('BPV Calcs - T6'!$B$8/12)+(J20/(PI()*(('BPV Calcs - T6'!$B$8/12)^2))), "Need to Use Goal Seek tool")</f>
        <v>0.70736564510045818</v>
      </c>
      <c r="L20" s="75">
        <f t="shared" si="4"/>
        <v>8.4883877412054982</v>
      </c>
      <c r="M20" s="17"/>
    </row>
    <row r="21" spans="1:15">
      <c r="A21" s="79">
        <v>47.3</v>
      </c>
      <c r="B21" s="83">
        <v>559.69439009999996</v>
      </c>
      <c r="C21" s="81">
        <v>1.6706096990399999</v>
      </c>
      <c r="D21" s="82">
        <v>0.21302437604639998</v>
      </c>
      <c r="E21" s="50"/>
      <c r="F21" s="74">
        <f t="shared" si="0"/>
        <v>0.18648545680062392</v>
      </c>
      <c r="G21" s="104">
        <f t="shared" si="1"/>
        <v>0.65954952128797284</v>
      </c>
      <c r="H21" s="104">
        <v>0.75119999999999998</v>
      </c>
      <c r="I21" s="67">
        <f t="shared" si="2"/>
        <v>0.14008787514862869</v>
      </c>
      <c r="J21" s="68">
        <f t="shared" si="3"/>
        <v>9.848101353153299E-2</v>
      </c>
      <c r="K21" s="67">
        <f>IF(J21&gt;0, ('BPV Calcs - T6'!$B$8/12)+(J21/(PI()*(('BPV Calcs - T6'!$B$8/12)^2))), "Need to Use Goal Seek tool")</f>
        <v>0.69819779724074849</v>
      </c>
      <c r="L21" s="75">
        <f t="shared" si="4"/>
        <v>8.3783735668889818</v>
      </c>
      <c r="M21" s="17"/>
    </row>
    <row r="22" spans="1:15">
      <c r="A22" s="79">
        <v>48.2</v>
      </c>
      <c r="B22" s="83">
        <v>566.51117609999994</v>
      </c>
      <c r="C22" s="81">
        <v>1.66495172592</v>
      </c>
      <c r="D22" s="82">
        <v>0.21627710909119999</v>
      </c>
      <c r="E22" s="50"/>
      <c r="F22" s="74">
        <f t="shared" si="0"/>
        <v>0.18361463086471771</v>
      </c>
      <c r="G22" s="104">
        <f t="shared" si="1"/>
        <v>0.66170827922610209</v>
      </c>
      <c r="H22" s="104">
        <v>0.75119999999999998</v>
      </c>
      <c r="I22" s="67">
        <f t="shared" si="2"/>
        <v>0.13793131070557593</v>
      </c>
      <c r="J22" s="68">
        <f t="shared" si="3"/>
        <v>9.632444908848023E-2</v>
      </c>
      <c r="K22" s="67">
        <f>IF(J22&gt;0, ('BPV Calcs - T6'!$B$8/12)+(J22/(PI()*(('BPV Calcs - T6'!$B$8/12)^2))), "Need to Use Goal Seek tool")</f>
        <v>0.68883925213609309</v>
      </c>
      <c r="L22" s="75">
        <f t="shared" si="4"/>
        <v>8.2660710256331171</v>
      </c>
      <c r="M22" s="17"/>
    </row>
    <row r="23" spans="1:15">
      <c r="A23" s="79">
        <v>49.1</v>
      </c>
      <c r="B23" s="83">
        <v>573.38742767999997</v>
      </c>
      <c r="C23" s="81">
        <v>1.6592413641600001</v>
      </c>
      <c r="D23" s="82">
        <v>0.21958774128479999</v>
      </c>
      <c r="E23" s="50"/>
      <c r="F23" s="74">
        <f t="shared" si="0"/>
        <v>0.18068371274121117</v>
      </c>
      <c r="G23" s="104">
        <f t="shared" si="1"/>
        <v>0.66390082060067979</v>
      </c>
      <c r="H23" s="104">
        <v>0.75119999999999998</v>
      </c>
      <c r="I23" s="67">
        <f t="shared" si="2"/>
        <v>0.13572960501119782</v>
      </c>
      <c r="J23" s="68">
        <f t="shared" si="3"/>
        <v>9.4122743394102121E-2</v>
      </c>
      <c r="K23" s="67">
        <f>IF(J23&gt;0, ('BPV Calcs - T6'!$B$8/12)+(J23/(PI()*(('BPV Calcs - T6'!$B$8/12)^2))), "Need to Use Goal Seek tool")</f>
        <v>0.67928481377261574</v>
      </c>
      <c r="L23" s="75">
        <f t="shared" si="4"/>
        <v>8.1514177652713897</v>
      </c>
      <c r="M23" s="17"/>
    </row>
    <row r="24" spans="1:15">
      <c r="A24" s="79">
        <v>50</v>
      </c>
      <c r="B24" s="83">
        <v>580.32604560000004</v>
      </c>
      <c r="C24" s="81">
        <v>1.6534766734399999</v>
      </c>
      <c r="D24" s="82">
        <v>0.22295801891519998</v>
      </c>
      <c r="E24" s="50"/>
      <c r="F24" s="74">
        <f t="shared" si="0"/>
        <v>0.17768992822071569</v>
      </c>
      <c r="G24" s="104">
        <f t="shared" si="1"/>
        <v>0.66612841666901734</v>
      </c>
      <c r="H24" s="104">
        <v>0.75119999999999998</v>
      </c>
      <c r="I24" s="67">
        <f t="shared" si="2"/>
        <v>0.13348067407940162</v>
      </c>
      <c r="J24" s="68">
        <f t="shared" si="3"/>
        <v>9.1873812462305915E-2</v>
      </c>
      <c r="K24" s="67">
        <f>IF(J24&gt;0, ('BPV Calcs - T6'!$B$8/12)+(J24/(PI()*(('BPV Calcs - T6'!$B$8/12)^2))), "Need to Use Goal Seek tool")</f>
        <v>0.66952543856346303</v>
      </c>
      <c r="L24" s="75">
        <f t="shared" si="4"/>
        <v>8.0343052627615563</v>
      </c>
      <c r="M24" s="17"/>
    </row>
    <row r="25" spans="1:15">
      <c r="A25" s="79">
        <v>50.9</v>
      </c>
      <c r="B25" s="83">
        <v>587.32702986000004</v>
      </c>
      <c r="C25" s="81">
        <v>1.6476576537600001</v>
      </c>
      <c r="D25" s="82">
        <v>0.22638970767359998</v>
      </c>
      <c r="E25" s="50"/>
      <c r="F25" s="74">
        <f t="shared" si="0"/>
        <v>0.17463149971574637</v>
      </c>
      <c r="G25" s="104">
        <f t="shared" si="1"/>
        <v>0.66839159019203187</v>
      </c>
      <c r="H25" s="104">
        <v>0.75119999999999998</v>
      </c>
      <c r="I25" s="67">
        <f t="shared" si="2"/>
        <v>0.13118318258646866</v>
      </c>
      <c r="J25" s="68">
        <f t="shared" si="3"/>
        <v>8.9576320969372958E-2</v>
      </c>
      <c r="K25" s="67">
        <f>IF(J25&gt;0, ('BPV Calcs - T6'!$B$8/12)+(J25/(PI()*(('BPV Calcs - T6'!$B$8/12)^2))), "Need to Use Goal Seek tool")</f>
        <v>0.65955533178856918</v>
      </c>
      <c r="L25" s="75">
        <f t="shared" si="4"/>
        <v>7.9146639814628301</v>
      </c>
      <c r="M25" s="17"/>
    </row>
    <row r="26" spans="1:15">
      <c r="A26" s="79">
        <v>51.8</v>
      </c>
      <c r="B26" s="83">
        <v>594.39038045999996</v>
      </c>
      <c r="C26" s="81">
        <v>1.6417804244800001</v>
      </c>
      <c r="D26" s="82">
        <v>0.22988470907359998</v>
      </c>
      <c r="E26" s="50"/>
      <c r="F26" s="74">
        <f t="shared" si="0"/>
        <v>0.17150429095486508</v>
      </c>
      <c r="G26" s="104">
        <f t="shared" si="1"/>
        <v>0.67069244791814919</v>
      </c>
      <c r="H26" s="104">
        <v>0.75119999999999998</v>
      </c>
      <c r="I26" s="67">
        <f t="shared" si="2"/>
        <v>0.12883402336529465</v>
      </c>
      <c r="J26" s="68">
        <f t="shared" si="3"/>
        <v>8.7227161748198945E-2</v>
      </c>
      <c r="K26" s="67">
        <f>IF(J26&gt;0, ('BPV Calcs - T6'!$B$8/12)+(J26/(PI()*(('BPV Calcs - T6'!$B$8/12)^2))), "Need to Use Goal Seek tool")</f>
        <v>0.6493610097036453</v>
      </c>
      <c r="L26" s="75">
        <f t="shared" si="4"/>
        <v>7.7923321164437436</v>
      </c>
      <c r="M26" s="17"/>
    </row>
    <row r="27" spans="1:15">
      <c r="A27" s="79">
        <v>52.7</v>
      </c>
      <c r="B27" s="83">
        <v>601.51754778000009</v>
      </c>
      <c r="C27" s="81">
        <v>1.6358430452799999</v>
      </c>
      <c r="D27" s="82">
        <v>0.23344498283839998</v>
      </c>
      <c r="E27" s="50"/>
      <c r="F27" s="74">
        <f t="shared" si="0"/>
        <v>0.16830512463331032</v>
      </c>
      <c r="G27" s="104">
        <f t="shared" si="1"/>
        <v>0.67303236043869552</v>
      </c>
      <c r="H27" s="104">
        <v>0.75119999999999998</v>
      </c>
      <c r="I27" s="67">
        <f t="shared" si="2"/>
        <v>0.1264308096245427</v>
      </c>
      <c r="J27" s="68">
        <f t="shared" si="3"/>
        <v>8.4823948007446998E-2</v>
      </c>
      <c r="K27" s="67">
        <f>IF(J27&gt;0, ('BPV Calcs - T6'!$B$8/12)+(J27/(PI()*(('BPV Calcs - T6'!$B$8/12)^2))), "Need to Use Goal Seek tool")</f>
        <v>0.63893211467970712</v>
      </c>
      <c r="L27" s="75">
        <f t="shared" si="4"/>
        <v>7.6671853761564854</v>
      </c>
      <c r="M27" s="17"/>
    </row>
    <row r="28" spans="1:15">
      <c r="A28" s="79">
        <v>53.6</v>
      </c>
      <c r="B28" s="83">
        <v>608.70708144000002</v>
      </c>
      <c r="C28" s="81">
        <v>1.6298455161600001</v>
      </c>
      <c r="D28" s="82">
        <v>0.23707262451360001</v>
      </c>
      <c r="E28" s="50"/>
      <c r="F28" s="74">
        <f t="shared" si="0"/>
        <v>0.16503183746581837</v>
      </c>
      <c r="G28" s="104">
        <f t="shared" si="1"/>
        <v>0.67541193501759944</v>
      </c>
      <c r="H28" s="104">
        <v>0.75119999999999998</v>
      </c>
      <c r="I28" s="67">
        <f t="shared" si="2"/>
        <v>0.12397191630432276</v>
      </c>
      <c r="J28" s="68">
        <f t="shared" si="3"/>
        <v>8.2365054687227046E-2</v>
      </c>
      <c r="K28" s="67">
        <f>IF(J28&gt;0, ('BPV Calcs - T6'!$B$8/12)+(J28/(PI()*(('BPV Calcs - T6'!$B$8/12)^2))), "Need to Use Goal Seek tool")</f>
        <v>0.62826159466861031</v>
      </c>
      <c r="L28" s="75">
        <f t="shared" si="4"/>
        <v>7.5391391360233238</v>
      </c>
      <c r="M28" s="17"/>
    </row>
    <row r="29" spans="1:15">
      <c r="A29" s="79">
        <v>54.5</v>
      </c>
      <c r="B29" s="83">
        <v>615.96188219999999</v>
      </c>
      <c r="C29" s="81">
        <v>1.6237820161600001</v>
      </c>
      <c r="D29" s="82">
        <v>0.2407698072576</v>
      </c>
      <c r="E29" s="50"/>
      <c r="F29" s="74">
        <f t="shared" si="0"/>
        <v>0.16167862359020316</v>
      </c>
      <c r="G29" s="104">
        <f t="shared" si="1"/>
        <v>0.67783420448493126</v>
      </c>
      <c r="H29" s="104">
        <v>0.75119999999999998</v>
      </c>
      <c r="I29" s="67">
        <f t="shared" si="2"/>
        <v>0.12145298204096061</v>
      </c>
      <c r="J29" s="68">
        <f t="shared" si="3"/>
        <v>7.9846120423864908E-2</v>
      </c>
      <c r="K29" s="67">
        <f>IF(J29&gt;0, ('BPV Calcs - T6'!$B$8/12)+(J29/(PI()*(('BPV Calcs - T6'!$B$8/12)^2))), "Need to Use Goal Seek tool")</f>
        <v>0.6173305232622921</v>
      </c>
      <c r="L29" s="75">
        <f t="shared" si="4"/>
        <v>7.4079662791475052</v>
      </c>
      <c r="M29" s="17"/>
    </row>
    <row r="30" spans="1:15">
      <c r="A30" s="79">
        <v>55.4</v>
      </c>
      <c r="B30" s="83">
        <v>623.28049967999993</v>
      </c>
      <c r="C30" s="81">
        <v>1.6176544856000001</v>
      </c>
      <c r="D30" s="82">
        <v>0.24453885945439999</v>
      </c>
      <c r="E30" s="50"/>
      <c r="F30" s="74">
        <f t="shared" si="0"/>
        <v>0.15824415878499831</v>
      </c>
      <c r="G30" s="104">
        <f t="shared" si="1"/>
        <v>0.68029904688732323</v>
      </c>
      <c r="H30" s="104">
        <v>0.75119999999999998</v>
      </c>
      <c r="I30" s="67">
        <f t="shared" si="2"/>
        <v>0.11887301207929073</v>
      </c>
      <c r="J30" s="68">
        <f t="shared" si="3"/>
        <v>7.726615046219501E-2</v>
      </c>
      <c r="K30" s="67">
        <f>IF(J30&gt;0, ('BPV Calcs - T6'!$B$8/12)+(J30/(PI()*(('BPV Calcs - T6'!$B$8/12)^2))), "Need to Use Goal Seek tool")</f>
        <v>0.60613458365903794</v>
      </c>
      <c r="L30" s="75">
        <f t="shared" si="4"/>
        <v>7.2736150039084553</v>
      </c>
      <c r="M30" s="17"/>
    </row>
    <row r="31" spans="1:15">
      <c r="A31" s="79">
        <v>56.3</v>
      </c>
      <c r="B31" s="83">
        <v>630.66438426000002</v>
      </c>
      <c r="C31" s="81">
        <v>1.6114590438399998</v>
      </c>
      <c r="D31" s="82">
        <v>0.24838222590720002</v>
      </c>
      <c r="E31" s="50">
        <f t="shared" ref="E31:E35" si="5">D31/C31</f>
        <v>0.1541349914269752</v>
      </c>
      <c r="F31" s="74">
        <f t="shared" si="0"/>
        <v>0.15472342740825912</v>
      </c>
      <c r="G31" s="104">
        <f t="shared" si="1"/>
        <v>0.68280877959219222</v>
      </c>
      <c r="H31" s="104">
        <v>0.75119999999999998</v>
      </c>
      <c r="I31" s="67">
        <f t="shared" si="2"/>
        <v>0.11622823866908424</v>
      </c>
      <c r="J31" s="68">
        <f t="shared" si="3"/>
        <v>7.4621377051988541E-2</v>
      </c>
      <c r="K31" s="67">
        <f>IF(J31&gt;0, ('BPV Calcs - T6'!$B$8/12)+(J31/(PI()*(('BPV Calcs - T6'!$B$8/12)^2))), "Need to Use Goal Seek tool")</f>
        <v>0.59465742547313483</v>
      </c>
      <c r="L31" s="75">
        <f t="shared" si="4"/>
        <v>7.1358891056776184</v>
      </c>
      <c r="M31" s="17"/>
    </row>
    <row r="32" spans="1:15">
      <c r="A32" s="79">
        <v>57.2</v>
      </c>
      <c r="B32" s="83">
        <v>638.11353594000002</v>
      </c>
      <c r="C32" s="81">
        <v>1.60519375056</v>
      </c>
      <c r="D32" s="82">
        <v>0.25230250664479997</v>
      </c>
      <c r="E32" s="50">
        <f t="shared" si="5"/>
        <v>0.15717884931758538</v>
      </c>
      <c r="F32" s="74">
        <f t="shared" si="0"/>
        <v>0.15111237558371021</v>
      </c>
      <c r="G32" s="104">
        <f t="shared" si="1"/>
        <v>0.6853649627177969</v>
      </c>
      <c r="H32" s="104">
        <v>0.75119999999999998</v>
      </c>
      <c r="I32" s="67">
        <f t="shared" si="2"/>
        <v>0.11351561653848311</v>
      </c>
      <c r="J32" s="68">
        <f t="shared" si="3"/>
        <v>7.1908754921387402E-2</v>
      </c>
      <c r="K32" s="67">
        <f>IF(J32&gt;0, ('BPV Calcs - T6'!$B$8/12)+(J32/(PI()*(('BPV Calcs - T6'!$B$8/12)^2))), "Need to Use Goal Seek tool")</f>
        <v>0.58288583355855172</v>
      </c>
      <c r="L32" s="75">
        <f t="shared" si="4"/>
        <v>6.9946300027026211</v>
      </c>
      <c r="M32" s="17"/>
    </row>
    <row r="33" spans="1:14">
      <c r="A33" s="79">
        <v>58.1</v>
      </c>
      <c r="B33" s="83">
        <v>645.62795472000005</v>
      </c>
      <c r="C33" s="81">
        <v>1.5988547251199998</v>
      </c>
      <c r="D33" s="82">
        <v>0.25630243751839998</v>
      </c>
      <c r="E33" s="50">
        <f t="shared" si="5"/>
        <v>0.16030376837342966</v>
      </c>
      <c r="F33" s="74">
        <f t="shared" si="0"/>
        <v>0.14740549743822917</v>
      </c>
      <c r="G33" s="104">
        <f t="shared" si="1"/>
        <v>0.6879700272792022</v>
      </c>
      <c r="H33" s="104">
        <v>0.75119999999999998</v>
      </c>
      <c r="I33" s="67">
        <f t="shared" si="2"/>
        <v>0.11073100967559775</v>
      </c>
      <c r="J33" s="68">
        <f t="shared" si="3"/>
        <v>6.9124148058502033E-2</v>
      </c>
      <c r="K33" s="67">
        <f>IF(J33&gt;0, ('BPV Calcs - T6'!$B$8/12)+(J33/(PI()*(('BPV Calcs - T6'!$B$8/12)^2))), "Need to Use Goal Seek tool")</f>
        <v>0.57080185943526685</v>
      </c>
      <c r="L33" s="75">
        <f t="shared" si="4"/>
        <v>6.8496223132232021</v>
      </c>
      <c r="M33" s="17"/>
    </row>
    <row r="34" spans="1:14">
      <c r="A34" s="79">
        <v>59</v>
      </c>
      <c r="B34" s="83">
        <v>653.21054135999998</v>
      </c>
      <c r="C34" s="81">
        <v>1.5924400272000001</v>
      </c>
      <c r="D34" s="82">
        <v>0.26038490960479999</v>
      </c>
      <c r="E34" s="50">
        <f t="shared" si="5"/>
        <v>0.16351316542993261</v>
      </c>
      <c r="F34" s="74">
        <f t="shared" si="0"/>
        <v>0.14359823684454714</v>
      </c>
      <c r="G34" s="104">
        <f t="shared" si="1"/>
        <v>0.69062564007775507</v>
      </c>
      <c r="H34" s="104">
        <v>0.75119999999999998</v>
      </c>
      <c r="I34" s="67">
        <f t="shared" si="2"/>
        <v>0.10787099551762382</v>
      </c>
      <c r="J34" s="68">
        <f t="shared" si="3"/>
        <v>6.6264133900528099E-2</v>
      </c>
      <c r="K34" s="67">
        <f>IF(J34&gt;0, ('BPV Calcs - T6'!$B$8/12)+(J34/(PI()*(('BPV Calcs - T6'!$B$8/12)^2))), "Need to Use Goal Seek tool")</f>
        <v>0.55839065067979654</v>
      </c>
      <c r="L34" s="75">
        <f t="shared" si="4"/>
        <v>6.7006878081575589</v>
      </c>
      <c r="M34" s="17"/>
    </row>
    <row r="35" spans="1:14">
      <c r="A35" s="79">
        <v>59.9</v>
      </c>
      <c r="B35" s="83">
        <v>660.85839510000005</v>
      </c>
      <c r="C35" s="81">
        <v>1.58594577616</v>
      </c>
      <c r="D35" s="82">
        <v>0.26455302741599995</v>
      </c>
      <c r="E35" s="50">
        <f t="shared" si="5"/>
        <v>0.16681089063243623</v>
      </c>
      <c r="F35" s="74">
        <f t="shared" si="0"/>
        <v>0.13968451810509044</v>
      </c>
      <c r="G35" s="104">
        <f t="shared" si="1"/>
        <v>0.69333435489392103</v>
      </c>
      <c r="H35" s="104">
        <v>0.75119999999999998</v>
      </c>
      <c r="I35" s="67">
        <f t="shared" si="2"/>
        <v>0.10493101000054395</v>
      </c>
      <c r="J35" s="68">
        <f t="shared" si="3"/>
        <v>6.3324148383448242E-2</v>
      </c>
      <c r="K35" s="67">
        <f>IF(J35&gt;0, ('BPV Calcs - T6'!$B$8/12)+(J35/(PI()*(('BPV Calcs - T6'!$B$8/12)^2))), "Need to Use Goal Seek tool")</f>
        <v>0.54563240125337198</v>
      </c>
      <c r="L35" s="75">
        <f t="shared" si="4"/>
        <v>6.5475888150404637</v>
      </c>
      <c r="M35" s="17"/>
    </row>
    <row r="36" spans="1:14">
      <c r="A36" s="79">
        <v>60.8</v>
      </c>
      <c r="B36" s="83">
        <v>668.57586708000008</v>
      </c>
      <c r="C36" s="81">
        <v>1.5793700316800001</v>
      </c>
      <c r="D36" s="82">
        <v>0.2688100700928</v>
      </c>
      <c r="E36" s="50">
        <f t="shared" ref="E36:E46" si="6">D36/C36</f>
        <v>0.1702008172251202</v>
      </c>
      <c r="F36" s="74">
        <f t="shared" ref="F36:F52" si="7">(($C$53*(1-$O$11))+(D36*$O$11)-C36)/(D36-C36)</f>
        <v>0.13565919754385622</v>
      </c>
      <c r="G36" s="104">
        <f t="shared" si="1"/>
        <v>0.69609795392828255</v>
      </c>
      <c r="H36" s="104">
        <v>0.75119999999999998</v>
      </c>
      <c r="I36" s="67">
        <f t="shared" si="2"/>
        <v>0.10190718919494479</v>
      </c>
      <c r="J36" s="68">
        <f t="shared" si="3"/>
        <v>6.0300327577849082E-2</v>
      </c>
      <c r="K36" s="67">
        <f>IF(J36&gt;0, ('BPV Calcs - T6'!$B$8/12)+(J36/(PI()*(('BPV Calcs - T6'!$B$8/12)^2))), "Need to Use Goal Seek tool")</f>
        <v>0.53251034339474523</v>
      </c>
      <c r="L36" s="75">
        <f t="shared" si="4"/>
        <v>6.3901241207369424</v>
      </c>
      <c r="M36" s="17"/>
    </row>
    <row r="37" spans="1:14">
      <c r="A37" s="79">
        <v>61.7</v>
      </c>
      <c r="B37" s="83">
        <v>676.36005653999996</v>
      </c>
      <c r="C37" s="81">
        <v>1.5727089131200001</v>
      </c>
      <c r="D37" s="82">
        <v>0.27315953021120004</v>
      </c>
      <c r="E37" s="50">
        <f t="shared" si="6"/>
        <v>0.17368727800321021</v>
      </c>
      <c r="F37" s="74">
        <f t="shared" si="7"/>
        <v>0.13151552638465669</v>
      </c>
      <c r="G37" s="104">
        <f t="shared" si="1"/>
        <v>0.69891912539950762</v>
      </c>
      <c r="H37" s="104">
        <v>0.75119999999999998</v>
      </c>
      <c r="I37" s="67">
        <f t="shared" si="2"/>
        <v>9.8794463420154105E-2</v>
      </c>
      <c r="J37" s="68">
        <f t="shared" si="3"/>
        <v>5.7187601803058395E-2</v>
      </c>
      <c r="K37" s="67">
        <f>IF(J37&gt;0, ('BPV Calcs - T6'!$B$8/12)+(J37/(PI()*(('BPV Calcs - T6'!$B$8/12)^2))), "Need to Use Goal Seek tool")</f>
        <v>0.51900247691032608</v>
      </c>
      <c r="L37" s="75">
        <f t="shared" si="4"/>
        <v>6.228029722923913</v>
      </c>
      <c r="M37" s="17"/>
    </row>
    <row r="38" spans="1:14">
      <c r="A38" s="79">
        <v>62.6</v>
      </c>
      <c r="B38" s="83">
        <v>684.21241385999997</v>
      </c>
      <c r="C38" s="81">
        <v>1.56595853984</v>
      </c>
      <c r="D38" s="82">
        <v>0.27760515258880003</v>
      </c>
      <c r="E38" s="50">
        <f t="shared" si="6"/>
        <v>0.17727490576932134</v>
      </c>
      <c r="F38" s="74">
        <f t="shared" si="7"/>
        <v>0.12724635055836772</v>
      </c>
      <c r="G38" s="104">
        <f t="shared" si="1"/>
        <v>0.70180063884972277</v>
      </c>
      <c r="H38" s="104">
        <v>0.75119999999999998</v>
      </c>
      <c r="I38" s="67">
        <f t="shared" si="2"/>
        <v>9.5587458539445835E-2</v>
      </c>
      <c r="J38" s="68">
        <f t="shared" si="3"/>
        <v>5.3980596922350126E-2</v>
      </c>
      <c r="K38" s="67">
        <f>IF(J38&gt;0, ('BPV Calcs - T6'!$B$8/12)+(J38/(PI()*(('BPV Calcs - T6'!$B$8/12)^2))), "Need to Use Goal Seek tool")</f>
        <v>0.50508548040060286</v>
      </c>
      <c r="L38" s="75">
        <f t="shared" si="4"/>
        <v>6.0610257648072343</v>
      </c>
      <c r="M38" s="50"/>
    </row>
    <row r="39" spans="1:14">
      <c r="A39" s="79">
        <v>63.5</v>
      </c>
      <c r="B39" s="83">
        <v>692.13438942000005</v>
      </c>
      <c r="C39" s="81">
        <v>1.5591150311999999</v>
      </c>
      <c r="D39" s="82">
        <v>0.28215091488159999</v>
      </c>
      <c r="E39" s="50">
        <f t="shared" si="6"/>
        <v>0.1809686323557779</v>
      </c>
      <c r="F39" s="74">
        <f t="shared" si="7"/>
        <v>0.12284407055606952</v>
      </c>
      <c r="G39" s="104">
        <f t="shared" si="1"/>
        <v>0.70474534997414762</v>
      </c>
      <c r="H39" s="104">
        <v>0.75119999999999998</v>
      </c>
      <c r="I39" s="67">
        <f t="shared" si="2"/>
        <v>9.2280465801719419E-2</v>
      </c>
      <c r="J39" s="68">
        <f t="shared" si="3"/>
        <v>5.0673604184623709E-2</v>
      </c>
      <c r="K39" s="67">
        <f>IF(J39&gt;0, ('BPV Calcs - T6'!$B$8/12)+(J39/(PI()*(('BPV Calcs - T6'!$B$8/12)^2))), "Need to Use Goal Seek tool")</f>
        <v>0.49073458038623985</v>
      </c>
      <c r="L39" s="75">
        <f t="shared" si="4"/>
        <v>5.8888149646348786</v>
      </c>
      <c r="M39" s="50"/>
    </row>
    <row r="40" spans="1:14">
      <c r="A40" s="79">
        <v>64.400000000000006</v>
      </c>
      <c r="B40" s="83">
        <v>700.12743360000002</v>
      </c>
      <c r="C40" s="81">
        <v>1.5521764468799999</v>
      </c>
      <c r="D40" s="82">
        <v>0.28680106639039998</v>
      </c>
      <c r="E40" s="50">
        <f t="shared" si="6"/>
        <v>0.18477349464160039</v>
      </c>
      <c r="F40" s="74">
        <f t="shared" si="7"/>
        <v>0.11830195246032517</v>
      </c>
      <c r="G40" s="104">
        <f t="shared" si="1"/>
        <v>0.70775532817306941</v>
      </c>
      <c r="H40" s="104">
        <v>0.75119999999999998</v>
      </c>
      <c r="I40" s="67">
        <f t="shared" si="2"/>
        <v>8.8868426688196264E-2</v>
      </c>
      <c r="J40" s="68">
        <f t="shared" si="3"/>
        <v>4.7261565071100554E-2</v>
      </c>
      <c r="K40" s="67">
        <f>IF(J40&gt;0, ('BPV Calcs - T6'!$B$8/12)+(J40/(PI()*(('BPV Calcs - T6'!$B$8/12)^2))), "Need to Use Goal Seek tool")</f>
        <v>0.4759278251113761</v>
      </c>
      <c r="L40" s="75">
        <f t="shared" si="4"/>
        <v>5.7111339013365132</v>
      </c>
      <c r="M40" s="50"/>
    </row>
    <row r="41" spans="1:14">
      <c r="A41" s="79">
        <v>65.3</v>
      </c>
      <c r="B41" s="83">
        <v>708.18864564</v>
      </c>
      <c r="C41" s="81">
        <v>1.5451350256</v>
      </c>
      <c r="D41" s="82">
        <v>0.29156020567359997</v>
      </c>
      <c r="E41" s="50">
        <f t="shared" si="6"/>
        <v>0.18869561613903782</v>
      </c>
      <c r="F41" s="74">
        <f t="shared" si="7"/>
        <v>0.11360869538792116</v>
      </c>
      <c r="G41" s="104">
        <f t="shared" si="1"/>
        <v>0.71083535690346122</v>
      </c>
      <c r="H41" s="104">
        <v>0.75119999999999998</v>
      </c>
      <c r="I41" s="67">
        <f t="shared" si="2"/>
        <v>8.5342851975406378E-2</v>
      </c>
      <c r="J41" s="68">
        <f t="shared" si="3"/>
        <v>4.3735990358310668E-2</v>
      </c>
      <c r="K41" s="67">
        <f>IF(J41&gt;0, ('BPV Calcs - T6'!$B$8/12)+(J41/(PI()*(('BPV Calcs - T6'!$B$8/12)^2))), "Need to Use Goal Seek tool")</f>
        <v>0.46062837506444343</v>
      </c>
      <c r="L41" s="75">
        <f t="shared" si="4"/>
        <v>5.5275405007733216</v>
      </c>
      <c r="M41" s="50"/>
    </row>
    <row r="42" spans="1:14">
      <c r="A42" s="79">
        <v>66.2</v>
      </c>
      <c r="B42" s="83">
        <v>716.32237667999993</v>
      </c>
      <c r="C42" s="81">
        <v>1.5379868867199999</v>
      </c>
      <c r="D42" s="82">
        <v>0.29643326114399998</v>
      </c>
      <c r="E42" s="50">
        <f t="shared" si="6"/>
        <v>0.19274108492315611</v>
      </c>
      <c r="F42" s="74">
        <f t="shared" si="7"/>
        <v>0.10875503516557621</v>
      </c>
      <c r="G42" s="104">
        <f t="shared" si="1"/>
        <v>0.71398859650382374</v>
      </c>
      <c r="H42" s="104">
        <v>0.75119999999999998</v>
      </c>
      <c r="I42" s="67">
        <f t="shared" si="2"/>
        <v>8.1696782416380842E-2</v>
      </c>
      <c r="J42" s="68">
        <f t="shared" si="3"/>
        <v>4.0089920799285132E-2</v>
      </c>
      <c r="K42" s="67">
        <f>IF(J42&gt;0, ('BPV Calcs - T6'!$B$8/12)+(J42/(PI()*(('BPV Calcs - T6'!$B$8/12)^2))), "Need to Use Goal Seek tool")</f>
        <v>0.44480603016175646</v>
      </c>
      <c r="L42" s="75">
        <f t="shared" si="4"/>
        <v>5.3376723619410775</v>
      </c>
      <c r="M42" s="226" t="s">
        <v>53</v>
      </c>
    </row>
    <row r="43" spans="1:14">
      <c r="A43" s="79">
        <v>67.099999999999994</v>
      </c>
      <c r="B43" s="83">
        <v>724.52862672000003</v>
      </c>
      <c r="C43" s="81">
        <v>1.5307281495999998</v>
      </c>
      <c r="D43" s="82">
        <v>0.301425510472</v>
      </c>
      <c r="E43" s="50">
        <f t="shared" si="6"/>
        <v>0.19691642212940724</v>
      </c>
      <c r="F43" s="74">
        <f t="shared" si="7"/>
        <v>0.10373105414751235</v>
      </c>
      <c r="G43" s="104">
        <f t="shared" si="1"/>
        <v>0.71721831251840096</v>
      </c>
      <c r="H43" s="104">
        <v>0.75119999999999998</v>
      </c>
      <c r="I43" s="67">
        <f t="shared" si="2"/>
        <v>7.7922767875611282E-2</v>
      </c>
      <c r="J43" s="68">
        <f t="shared" si="3"/>
        <v>3.6315906258515572E-2</v>
      </c>
      <c r="K43" s="67">
        <f>IF(J43&gt;0, ('BPV Calcs - T6'!$B$8/12)+(J43/(PI()*(('BPV Calcs - T6'!$B$8/12)^2))), "Need to Use Goal Seek tool")</f>
        <v>0.42842846007837854</v>
      </c>
      <c r="L43" s="75">
        <f t="shared" si="4"/>
        <v>5.1411415209405424</v>
      </c>
      <c r="M43" s="226"/>
    </row>
    <row r="44" spans="1:14">
      <c r="A44" s="79">
        <v>68</v>
      </c>
      <c r="B44" s="83">
        <v>732.80594538000003</v>
      </c>
      <c r="C44" s="81">
        <v>1.5233529932800001</v>
      </c>
      <c r="D44" s="82">
        <v>0.30654265819839999</v>
      </c>
      <c r="E44" s="50">
        <f t="shared" si="6"/>
        <v>0.20122890725305181</v>
      </c>
      <c r="F44" s="74">
        <f t="shared" si="7"/>
        <v>9.8524676739129582E-2</v>
      </c>
      <c r="G44" s="104">
        <f t="shared" si="1"/>
        <v>0.72052878800952913</v>
      </c>
      <c r="H44" s="104">
        <v>0.75119999999999998</v>
      </c>
      <c r="I44" s="67">
        <f t="shared" si="2"/>
        <v>7.4011737166434138E-2</v>
      </c>
      <c r="J44" s="68">
        <f t="shared" si="3"/>
        <v>3.2404875549338429E-2</v>
      </c>
      <c r="K44" s="67">
        <f>IF(J44&gt;0, ('BPV Calcs - T6'!$B$8/12)+(J44/(PI()*(('BPV Calcs - T6'!$B$8/12)^2))), "Need to Use Goal Seek tool")</f>
        <v>0.41145629983738197</v>
      </c>
      <c r="L44" s="75">
        <f t="shared" si="4"/>
        <v>4.937475598048584</v>
      </c>
      <c r="M44" s="50" t="s">
        <v>50</v>
      </c>
    </row>
    <row r="45" spans="1:14">
      <c r="A45" s="79">
        <v>68.900000000000006</v>
      </c>
      <c r="B45" s="83">
        <v>741.15723342000001</v>
      </c>
      <c r="C45" s="81">
        <v>1.51585365648</v>
      </c>
      <c r="D45" s="82">
        <v>0.31179093275039999</v>
      </c>
      <c r="E45" s="50">
        <f t="shared" si="6"/>
        <v>0.20568669766870315</v>
      </c>
      <c r="F45" s="74">
        <f t="shared" si="7"/>
        <v>9.3121472975959893E-2</v>
      </c>
      <c r="G45" s="104">
        <f t="shared" si="1"/>
        <v>0.72392537045742922</v>
      </c>
      <c r="H45" s="104">
        <v>0.75119999999999998</v>
      </c>
      <c r="I45" s="67">
        <f t="shared" si="2"/>
        <v>6.9952850499541072E-2</v>
      </c>
      <c r="J45" s="68">
        <f t="shared" si="3"/>
        <v>2.8345988882445362E-2</v>
      </c>
      <c r="K45" s="100">
        <v>0.24687064833561331</v>
      </c>
      <c r="L45" s="76">
        <f t="shared" si="4"/>
        <v>2.9624477800273596</v>
      </c>
      <c r="M45" s="50">
        <f>((1/3)*PI()*(K45^2)*((3*('BPV Calcs - T6'!$B$8/12))-K45))-I45</f>
        <v>-3.3853493114861223E-2</v>
      </c>
    </row>
    <row r="46" spans="1:14">
      <c r="A46" s="79">
        <v>69.8</v>
      </c>
      <c r="B46" s="83">
        <v>749.58104045999994</v>
      </c>
      <c r="C46" s="81">
        <v>1.5082262585599999</v>
      </c>
      <c r="D46" s="82">
        <v>0.31717698942559996</v>
      </c>
      <c r="E46" s="50">
        <f t="shared" si="6"/>
        <v>0.21029801571577802</v>
      </c>
      <c r="F46" s="74">
        <f t="shared" si="7"/>
        <v>8.7508885095185257E-2</v>
      </c>
      <c r="G46" s="104">
        <f t="shared" si="1"/>
        <v>0.72741175116300716</v>
      </c>
      <c r="H46" s="104">
        <v>0.75119999999999998</v>
      </c>
      <c r="I46" s="67">
        <f t="shared" si="2"/>
        <v>6.5736674483503163E-2</v>
      </c>
      <c r="J46" s="68">
        <f t="shared" si="3"/>
        <v>2.4129812866407453E-2</v>
      </c>
      <c r="K46" s="100">
        <v>0.22573990311305595</v>
      </c>
      <c r="L46" s="76">
        <f t="shared" si="4"/>
        <v>2.7088788373566715</v>
      </c>
      <c r="M46" s="50">
        <f>((1/3)*PI()*(K46^2)*((3*('BPV Calcs - T6'!$B$8/12))-K46))-I46</f>
        <v>-3.4425031376727561E-2</v>
      </c>
    </row>
    <row r="47" spans="1:14">
      <c r="A47" s="84">
        <v>70</v>
      </c>
      <c r="B47" s="85">
        <f>B46+(((B48-B46)/($A$48-$A$46))*($A$47-$A$46))</f>
        <v>751.46975752666663</v>
      </c>
      <c r="C47" s="86">
        <f>C46+(((C48-C46)/($A$48-$A$46))*($A$47-$A$46))</f>
        <v>1.5065010984888887</v>
      </c>
      <c r="D47" s="87">
        <f>D46+(((D48-D46)/($A$48-$A$46))*($A$47-$A$46))</f>
        <v>0.31840613902737774</v>
      </c>
      <c r="E47" s="47">
        <f t="shared" ref="E47:E52" si="8">D47/C47</f>
        <v>0.21135473405678779</v>
      </c>
      <c r="F47" s="74">
        <f t="shared" si="7"/>
        <v>8.6222717526397333E-2</v>
      </c>
      <c r="G47" s="104">
        <f t="shared" si="1"/>
        <v>0.72820468504700364</v>
      </c>
      <c r="H47" s="104">
        <v>0.75119999999999998</v>
      </c>
      <c r="I47" s="67">
        <f t="shared" si="2"/>
        <v>6.4770505405829681E-2</v>
      </c>
      <c r="J47" s="69">
        <f t="shared" si="3"/>
        <v>2.3163643788733972E-2</v>
      </c>
      <c r="K47" s="101">
        <v>0.22082528187997902</v>
      </c>
      <c r="L47" s="76">
        <f t="shared" si="4"/>
        <v>2.6499033825597484</v>
      </c>
      <c r="M47" s="50">
        <f>((1/3)*PI()*(K47^2)*((3*('BPV Calcs - T6'!$B$8/12))-K47))-I47</f>
        <v>-3.4556436349633679E-2</v>
      </c>
      <c r="N47" s="49"/>
    </row>
    <row r="48" spans="1:14">
      <c r="A48" s="79">
        <v>70.7</v>
      </c>
      <c r="B48" s="83">
        <v>758.08026725999991</v>
      </c>
      <c r="C48" s="81">
        <v>1.5004630382399999</v>
      </c>
      <c r="D48" s="82">
        <v>0.32270816263359997</v>
      </c>
      <c r="E48" s="50">
        <f t="shared" si="8"/>
        <v>0.21507238393031486</v>
      </c>
      <c r="F48" s="74">
        <f t="shared" si="7"/>
        <v>8.1670317522957905E-2</v>
      </c>
      <c r="G48" s="104">
        <f t="shared" si="1"/>
        <v>0.73099361941757379</v>
      </c>
      <c r="H48" s="104">
        <v>0.75119999999999998</v>
      </c>
      <c r="I48" s="67">
        <f t="shared" si="2"/>
        <v>6.1350742523245974E-2</v>
      </c>
      <c r="J48" s="68">
        <f t="shared" si="3"/>
        <v>1.9743880906150264E-2</v>
      </c>
      <c r="K48" s="100">
        <v>0.20311497711219526</v>
      </c>
      <c r="L48" s="76">
        <f t="shared" si="4"/>
        <v>2.437379725346343</v>
      </c>
      <c r="M48" s="50">
        <f>((1/3)*PI()*(K48^2)*((3*('BPV Calcs - T6'!$B$8/12))-K48))-I48</f>
        <v>-3.5023565685665392E-2</v>
      </c>
    </row>
    <row r="49" spans="1:14">
      <c r="A49" s="79">
        <v>71.599999999999994</v>
      </c>
      <c r="B49" s="83">
        <v>766.65491381999993</v>
      </c>
      <c r="C49" s="81">
        <v>1.4925542939199998</v>
      </c>
      <c r="D49" s="82">
        <v>0.32839236888000001</v>
      </c>
      <c r="E49" s="50">
        <f t="shared" si="8"/>
        <v>0.22002038399388482</v>
      </c>
      <c r="F49" s="74">
        <f t="shared" si="7"/>
        <v>7.5586272089806575E-2</v>
      </c>
      <c r="G49" s="104">
        <f t="shared" si="1"/>
        <v>0.73467782315964236</v>
      </c>
      <c r="H49" s="104">
        <v>0.75119999999999998</v>
      </c>
      <c r="I49" s="67">
        <f t="shared" si="2"/>
        <v>5.67804075938627E-2</v>
      </c>
      <c r="J49" s="68">
        <f t="shared" si="3"/>
        <v>1.517354597676699E-2</v>
      </c>
      <c r="K49" s="100">
        <v>0.17870440324472858</v>
      </c>
      <c r="L49" s="76">
        <f t="shared" si="4"/>
        <v>2.144452838936743</v>
      </c>
      <c r="M49" s="50">
        <f>((1/3)*PI()*(K49^2)*((3*('BPV Calcs - T6'!$B$8/12))-K49))-I49</f>
        <v>-3.5584679345422088E-2</v>
      </c>
    </row>
    <row r="50" spans="1:14">
      <c r="A50" s="79">
        <v>72.5</v>
      </c>
      <c r="B50" s="83">
        <v>775.30498014</v>
      </c>
      <c r="C50" s="81">
        <v>1.48449226432</v>
      </c>
      <c r="D50" s="82">
        <v>0.33423830079839995</v>
      </c>
      <c r="E50" s="50">
        <f t="shared" si="8"/>
        <v>0.2251532788899403</v>
      </c>
      <c r="F50" s="74">
        <f t="shared" si="7"/>
        <v>6.9237174008877994E-2</v>
      </c>
      <c r="G50" s="104">
        <f t="shared" si="1"/>
        <v>0.73847051994419055</v>
      </c>
      <c r="H50" s="104">
        <v>0.75119999999999998</v>
      </c>
      <c r="I50" s="67">
        <f t="shared" si="2"/>
        <v>5.2010965115469147E-2</v>
      </c>
      <c r="J50" s="68">
        <f t="shared" si="3"/>
        <v>1.0404103498373438E-2</v>
      </c>
      <c r="K50" s="100">
        <v>0.14877637433762442</v>
      </c>
      <c r="L50" s="76">
        <f t="shared" si="4"/>
        <v>1.785316492051493</v>
      </c>
      <c r="M50" s="50">
        <f>((1/3)*PI()*(K50^2)*((3*('BPV Calcs - T6'!$B$8/12))-K50))-I50</f>
        <v>-3.662644916270065E-2</v>
      </c>
    </row>
    <row r="51" spans="1:14">
      <c r="A51" s="79">
        <v>73.400000000000006</v>
      </c>
      <c r="B51" s="83">
        <v>784.03191660000005</v>
      </c>
      <c r="C51" s="81">
        <v>1.4762691881599999</v>
      </c>
      <c r="D51" s="82">
        <v>0.34025552416639998</v>
      </c>
      <c r="E51" s="50">
        <f t="shared" si="8"/>
        <v>0.2304833880536987</v>
      </c>
      <c r="F51" s="74">
        <f t="shared" si="7"/>
        <v>6.2601708722710397E-2</v>
      </c>
      <c r="G51" s="104">
        <f t="shared" si="1"/>
        <v>0.74237810735328269</v>
      </c>
      <c r="H51" s="104">
        <v>0.75119999999999998</v>
      </c>
      <c r="I51" s="67">
        <f t="shared" si="2"/>
        <v>4.702640359250005E-2</v>
      </c>
      <c r="J51" s="68">
        <f t="shared" si="3"/>
        <v>5.4195419754043406E-3</v>
      </c>
      <c r="K51" s="100">
        <v>0.11973998427717275</v>
      </c>
      <c r="L51" s="76">
        <f t="shared" si="4"/>
        <v>1.436879811326073</v>
      </c>
      <c r="M51" s="50">
        <f>((1/3)*PI()*(K51^2)*((3*('BPV Calcs - T6'!$B$8/12))-K51))-I51</f>
        <v>-3.662505084928188E-2</v>
      </c>
    </row>
    <row r="52" spans="1:14">
      <c r="A52" s="79">
        <v>74.3</v>
      </c>
      <c r="B52" s="83">
        <v>792.83572320000007</v>
      </c>
      <c r="C52" s="81">
        <v>1.4678734235199999</v>
      </c>
      <c r="D52" s="82">
        <v>0.34645449730880001</v>
      </c>
      <c r="E52" s="50">
        <f t="shared" si="8"/>
        <v>0.23602477690344226</v>
      </c>
      <c r="F52" s="74">
        <f t="shared" si="7"/>
        <v>5.5653317188150059E-2</v>
      </c>
      <c r="G52" s="104">
        <f t="shared" si="1"/>
        <v>0.7464091890835437</v>
      </c>
      <c r="H52" s="104">
        <v>0.75119999999999998</v>
      </c>
      <c r="I52" s="67">
        <f t="shared" si="2"/>
        <v>4.180677187173832E-2</v>
      </c>
      <c r="J52" s="68">
        <f t="shared" si="3"/>
        <v>1.9991025464261014E-4</v>
      </c>
      <c r="K52" s="100">
        <v>7.5494467975184554E-2</v>
      </c>
      <c r="L52" s="76">
        <f t="shared" si="4"/>
        <v>0.90593361570221465</v>
      </c>
      <c r="M52" s="50">
        <f>((1/3)*PI()*(K52^2)*((3*('BPV Calcs - T6'!$B$8/12))-K52))-I52</f>
        <v>-3.7408018391000608E-2</v>
      </c>
    </row>
    <row r="53" spans="1:14" ht="15.75" thickBot="1">
      <c r="A53" s="84">
        <v>75</v>
      </c>
      <c r="B53" s="85">
        <f>B52+(((B54-B52)/($A$54-$A$52))*($A$53-$A$52))</f>
        <v>799.74517236666668</v>
      </c>
      <c r="C53" s="86">
        <f t="shared" ref="C53:D53" si="9">C52+(((C54-C52)/($A$54-$A$52))*($A$53-$A$52))</f>
        <v>1.4612000162666667</v>
      </c>
      <c r="D53" s="87">
        <f t="shared" si="9"/>
        <v>0.35142632153493331</v>
      </c>
      <c r="E53" s="47">
        <f>D53/C53</f>
        <v>0.24050528170183003</v>
      </c>
      <c r="F53" s="168">
        <f>(($C$53*(1-$O$11))+(D53*$O$11)-C53)/(D53-C53)</f>
        <v>5.0000000000000072E-2</v>
      </c>
      <c r="G53" s="169">
        <f t="shared" si="1"/>
        <v>0.74964348548931559</v>
      </c>
      <c r="H53" s="169">
        <v>0.75119999999999998</v>
      </c>
      <c r="I53" s="170">
        <f t="shared" si="2"/>
        <v>3.7560000000000052E-2</v>
      </c>
      <c r="J53" s="77">
        <f t="shared" si="3"/>
        <v>-4.0468616170956581E-3</v>
      </c>
      <c r="K53" s="102">
        <v>0</v>
      </c>
      <c r="L53" s="78">
        <f t="shared" si="4"/>
        <v>0</v>
      </c>
      <c r="M53" s="50">
        <f>((1/3)*PI()*(K53^2)*((3*('BPV Calcs - T6'!$B$8/12))-K53))-I53</f>
        <v>-3.7560000000000052E-2</v>
      </c>
      <c r="N53" s="40"/>
    </row>
    <row r="54" spans="1:14" ht="15.75" thickBot="1">
      <c r="A54" s="79">
        <v>75.2</v>
      </c>
      <c r="B54" s="83">
        <v>801.71930069999996</v>
      </c>
      <c r="C54" s="81">
        <v>1.45929332848</v>
      </c>
      <c r="D54" s="82">
        <v>0.35284684274239997</v>
      </c>
      <c r="E54" s="50"/>
      <c r="F54" s="17"/>
      <c r="G54" s="38"/>
      <c r="H54" s="38"/>
      <c r="I54" s="38">
        <f>H53*O11</f>
        <v>3.7560000000000003E-2</v>
      </c>
      <c r="J54" s="17">
        <f t="shared" si="3"/>
        <v>-4.0468616170957067E-3</v>
      </c>
      <c r="K54" s="50"/>
      <c r="L54" s="50"/>
      <c r="M54" s="17"/>
    </row>
    <row r="55" spans="1:14">
      <c r="A55" s="79">
        <v>76.099999999999994</v>
      </c>
      <c r="B55" s="83">
        <v>810.68264910000005</v>
      </c>
      <c r="C55" s="81">
        <v>1.4505153208000001</v>
      </c>
      <c r="D55" s="82">
        <v>0.35944542478879998</v>
      </c>
      <c r="E55" s="50"/>
      <c r="F55" s="70" t="s">
        <v>43</v>
      </c>
      <c r="G55" s="105">
        <f>(2/3)*PI()*(('BPV Calcs - T6'!B8/12)^3)</f>
        <v>4.160686161709571E-2</v>
      </c>
      <c r="H55" s="38"/>
      <c r="I55" s="17"/>
      <c r="K55" s="50"/>
      <c r="L55" s="50"/>
      <c r="M55" s="17"/>
    </row>
    <row r="56" spans="1:14">
      <c r="A56" s="79">
        <v>77</v>
      </c>
      <c r="B56" s="83">
        <v>819.72576839999999</v>
      </c>
      <c r="C56" s="81">
        <v>1.4415277585599999</v>
      </c>
      <c r="D56" s="82">
        <v>0.36626458241279997</v>
      </c>
      <c r="E56" s="50"/>
      <c r="F56" s="71" t="s">
        <v>45</v>
      </c>
      <c r="G56" s="38">
        <f>G4-(2*G55)</f>
        <v>0.5439401214151367</v>
      </c>
      <c r="H56" s="38"/>
      <c r="I56" s="38"/>
      <c r="J56" s="17"/>
      <c r="K56" s="50"/>
      <c r="L56" s="50"/>
      <c r="M56" s="17"/>
    </row>
    <row r="57" spans="1:14">
      <c r="A57" s="79">
        <v>77.900000000000006</v>
      </c>
      <c r="B57" s="83">
        <v>828.85010898000007</v>
      </c>
      <c r="C57" s="81">
        <v>1.4323131788799999</v>
      </c>
      <c r="D57" s="82">
        <v>0.37332036206079999</v>
      </c>
      <c r="E57" s="50"/>
      <c r="F57" s="71" t="s">
        <v>44</v>
      </c>
      <c r="G57" s="38">
        <f>34.8/12</f>
        <v>2.9</v>
      </c>
      <c r="H57" s="38"/>
      <c r="I57" s="38"/>
      <c r="J57" s="17"/>
      <c r="K57" s="17"/>
      <c r="L57" s="17"/>
      <c r="M57" s="17"/>
    </row>
    <row r="58" spans="1:14" ht="15.75" thickBot="1">
      <c r="A58" s="79">
        <v>78.8</v>
      </c>
      <c r="B58" s="83">
        <v>838.05712122</v>
      </c>
      <c r="C58" s="81">
        <v>1.4228541188799999</v>
      </c>
      <c r="D58" s="82">
        <v>0.38063080870880001</v>
      </c>
      <c r="E58" s="50"/>
      <c r="F58" s="72" t="s">
        <v>46</v>
      </c>
      <c r="G58" s="106">
        <f>G57+(2*'BPV Calcs - T6'!B8/12)</f>
        <v>3.4416666666666664</v>
      </c>
      <c r="H58" s="38"/>
      <c r="I58" s="38"/>
      <c r="J58" s="17"/>
      <c r="K58" s="17"/>
      <c r="L58" s="17"/>
      <c r="M58" s="17"/>
    </row>
    <row r="59" spans="1:14">
      <c r="A59" s="79">
        <v>79.7</v>
      </c>
      <c r="B59" s="83">
        <v>847.34825549999994</v>
      </c>
      <c r="C59" s="81">
        <v>1.41312923504</v>
      </c>
      <c r="D59" s="82">
        <v>0.38821637332959996</v>
      </c>
      <c r="E59" s="50"/>
      <c r="F59" s="17"/>
      <c r="G59" s="38"/>
      <c r="H59" s="38"/>
      <c r="I59" s="38"/>
      <c r="J59" s="17"/>
      <c r="K59" s="17"/>
      <c r="L59" s="17"/>
      <c r="M59" s="17"/>
    </row>
    <row r="60" spans="1:14">
      <c r="A60" s="79">
        <v>80.599999999999994</v>
      </c>
      <c r="B60" s="83">
        <v>856.72351182</v>
      </c>
      <c r="C60" s="81">
        <v>1.4031171838399998</v>
      </c>
      <c r="D60" s="82">
        <v>0.3961002815536</v>
      </c>
      <c r="E60" s="50"/>
      <c r="F60" s="227"/>
      <c r="G60" s="227"/>
      <c r="H60" s="143"/>
      <c r="I60" s="38"/>
      <c r="J60" s="17"/>
      <c r="K60" s="17"/>
      <c r="L60" s="17"/>
      <c r="M60" s="17"/>
    </row>
    <row r="61" spans="1:14">
      <c r="A61" s="79">
        <v>81.5</v>
      </c>
      <c r="B61" s="83">
        <v>866.18579093999995</v>
      </c>
      <c r="C61" s="81">
        <v>1.3927888604799998</v>
      </c>
      <c r="D61" s="82">
        <v>0.40430919337760002</v>
      </c>
      <c r="E61" s="50"/>
      <c r="F61" s="17"/>
      <c r="G61" s="38"/>
      <c r="H61" s="38"/>
      <c r="I61" s="38"/>
      <c r="J61" s="17"/>
      <c r="K61" s="17"/>
      <c r="L61" s="17"/>
      <c r="M61" s="17"/>
    </row>
    <row r="62" spans="1:14">
      <c r="A62" s="79">
        <v>82.4</v>
      </c>
      <c r="B62" s="83">
        <v>875.73364248000007</v>
      </c>
      <c r="C62" s="81">
        <v>1.3821171004799999</v>
      </c>
      <c r="D62" s="82">
        <v>0.41287390167999999</v>
      </c>
      <c r="E62" s="50"/>
      <c r="F62" s="17"/>
      <c r="G62" s="38"/>
      <c r="H62" s="38"/>
      <c r="I62" s="38"/>
      <c r="J62" s="17"/>
      <c r="K62" s="17"/>
      <c r="L62" s="17"/>
      <c r="M62" s="17"/>
    </row>
    <row r="63" spans="1:14">
      <c r="A63" s="79">
        <v>83.3</v>
      </c>
      <c r="B63" s="83">
        <v>885.37141757999996</v>
      </c>
      <c r="C63" s="81">
        <v>1.37106309744</v>
      </c>
      <c r="D63" s="82">
        <v>0.42183024417120002</v>
      </c>
      <c r="E63" s="50"/>
      <c r="F63" s="17"/>
      <c r="G63" s="38"/>
      <c r="H63" s="38"/>
      <c r="I63" s="38"/>
      <c r="J63" s="17"/>
      <c r="K63" s="17"/>
      <c r="L63" s="17"/>
      <c r="M63" s="17"/>
    </row>
    <row r="64" spans="1:14">
      <c r="A64" s="79">
        <v>84.2</v>
      </c>
      <c r="B64" s="83">
        <v>895.10056662</v>
      </c>
      <c r="C64" s="81">
        <v>1.35958416432</v>
      </c>
      <c r="D64" s="82">
        <v>0.43122034519840002</v>
      </c>
      <c r="E64" s="50"/>
      <c r="F64" s="17"/>
      <c r="G64" s="38"/>
      <c r="H64" s="38"/>
      <c r="I64" s="38"/>
      <c r="J64" s="17"/>
      <c r="K64" s="17"/>
      <c r="L64" s="17"/>
      <c r="M64" s="17"/>
    </row>
    <row r="65" spans="1:14">
      <c r="A65" s="79">
        <v>85.1</v>
      </c>
      <c r="B65" s="83">
        <v>904.91963922000002</v>
      </c>
      <c r="C65" s="81">
        <v>1.3476317931200001</v>
      </c>
      <c r="D65" s="82">
        <v>0.44109424561439997</v>
      </c>
      <c r="E65" s="50"/>
      <c r="F65" s="17"/>
      <c r="G65" s="38"/>
      <c r="H65" s="38"/>
      <c r="I65" s="38"/>
      <c r="J65" s="17"/>
      <c r="K65" s="17"/>
      <c r="L65" s="17"/>
      <c r="M65" s="17"/>
    </row>
    <row r="66" spans="1:14">
      <c r="A66" s="79">
        <v>86</v>
      </c>
      <c r="B66" s="83">
        <v>914.83443690000001</v>
      </c>
      <c r="C66" s="81">
        <v>1.33514583392</v>
      </c>
      <c r="D66" s="82">
        <v>0.45151211474239994</v>
      </c>
      <c r="E66" s="50"/>
      <c r="F66" s="17"/>
      <c r="G66" s="38"/>
      <c r="H66" s="38"/>
      <c r="I66" s="38"/>
      <c r="J66" s="17"/>
      <c r="K66" s="17"/>
      <c r="L66" s="17"/>
      <c r="M66" s="17"/>
    </row>
    <row r="67" spans="1:14">
      <c r="A67" s="79">
        <v>86.9</v>
      </c>
      <c r="B67" s="83">
        <v>924.84350928000003</v>
      </c>
      <c r="C67" s="81">
        <v>1.3220506142399999</v>
      </c>
      <c r="D67" s="82">
        <v>0.4625472966784</v>
      </c>
      <c r="E67" s="50"/>
      <c r="F67" s="17"/>
      <c r="G67" s="38"/>
      <c r="H67" s="38"/>
      <c r="I67" s="38"/>
      <c r="J67" s="17"/>
      <c r="K67" s="17"/>
      <c r="L67" s="17"/>
      <c r="M67" s="17"/>
    </row>
    <row r="68" spans="1:14">
      <c r="A68" s="79">
        <v>87.8</v>
      </c>
      <c r="B68" s="83">
        <v>934.95120750000012</v>
      </c>
      <c r="C68" s="81">
        <v>1.30825687936</v>
      </c>
      <c r="D68" s="82">
        <v>0.47429065660800002</v>
      </c>
      <c r="E68" s="50"/>
      <c r="F68" s="17"/>
      <c r="G68" s="38"/>
      <c r="H68" s="38"/>
      <c r="I68" s="38"/>
      <c r="J68" s="17"/>
      <c r="K68" s="17"/>
      <c r="L68" s="17"/>
      <c r="M68" s="17"/>
    </row>
    <row r="69" spans="1:14">
      <c r="A69" s="79">
        <v>88.7</v>
      </c>
      <c r="B69" s="83">
        <v>945.16043231999993</v>
      </c>
      <c r="C69" s="81">
        <v>1.29364626976</v>
      </c>
      <c r="D69" s="82">
        <v>0.48685690624959999</v>
      </c>
      <c r="E69" s="50"/>
      <c r="F69" s="17"/>
      <c r="G69" s="38"/>
      <c r="H69" s="38"/>
      <c r="I69" s="38"/>
      <c r="J69" s="17"/>
      <c r="K69" s="17"/>
      <c r="L69" s="17"/>
      <c r="M69" s="17"/>
    </row>
    <row r="70" spans="1:14">
      <c r="A70" s="79">
        <v>89.6</v>
      </c>
      <c r="B70" s="83">
        <v>955.47118374000013</v>
      </c>
      <c r="C70" s="81">
        <v>1.2780693808000001</v>
      </c>
      <c r="D70" s="82">
        <v>0.50039415022879996</v>
      </c>
      <c r="E70" s="50"/>
      <c r="F70" s="17"/>
      <c r="G70" s="38"/>
      <c r="H70" s="38"/>
      <c r="I70" s="38"/>
      <c r="J70" s="17"/>
      <c r="K70" s="17"/>
      <c r="L70" s="17"/>
      <c r="M70" s="17"/>
    </row>
    <row r="71" spans="1:14">
      <c r="A71" s="79">
        <v>90.5</v>
      </c>
      <c r="B71" s="83">
        <v>965.88781289999997</v>
      </c>
      <c r="C71" s="81">
        <v>1.2613302401599999</v>
      </c>
      <c r="D71" s="82">
        <v>0.51509886534880001</v>
      </c>
      <c r="E71" s="50"/>
      <c r="F71" s="17"/>
      <c r="G71" s="38"/>
      <c r="H71" s="38"/>
      <c r="I71" s="38"/>
      <c r="J71" s="17"/>
      <c r="K71" s="17"/>
      <c r="L71" s="17"/>
      <c r="M71" s="17"/>
    </row>
    <row r="72" spans="1:14">
      <c r="A72" s="79">
        <v>91.4</v>
      </c>
      <c r="B72" s="83">
        <v>976.41612132</v>
      </c>
      <c r="C72" s="81">
        <v>1.24315138208</v>
      </c>
      <c r="D72" s="82">
        <v>0.53124065907359996</v>
      </c>
      <c r="E72" s="50"/>
      <c r="F72" s="17"/>
      <c r="G72" s="38"/>
      <c r="H72" s="38"/>
      <c r="I72" s="38"/>
      <c r="J72" s="17"/>
      <c r="K72" s="17"/>
      <c r="L72" s="17"/>
      <c r="M72" s="17"/>
    </row>
    <row r="73" spans="1:14">
      <c r="A73" s="79">
        <v>92.3</v>
      </c>
      <c r="B73" s="83">
        <v>987.05610900000011</v>
      </c>
      <c r="C73" s="81">
        <v>1.2231428022399999</v>
      </c>
      <c r="D73" s="82">
        <v>0.54920555806720006</v>
      </c>
      <c r="E73" s="50"/>
      <c r="F73" s="17"/>
      <c r="G73" s="38"/>
      <c r="H73" s="38"/>
      <c r="I73" s="38"/>
      <c r="J73" s="17"/>
      <c r="K73" s="17"/>
      <c r="L73" s="17"/>
      <c r="M73" s="17"/>
    </row>
    <row r="74" spans="1:14">
      <c r="A74" s="79">
        <v>93.2</v>
      </c>
      <c r="B74" s="83">
        <v>997.81792859999996</v>
      </c>
      <c r="C74" s="81">
        <v>1.20071076272</v>
      </c>
      <c r="D74" s="82">
        <v>0.56957841358399997</v>
      </c>
      <c r="E74" s="50"/>
      <c r="F74" s="17"/>
      <c r="G74" s="38"/>
      <c r="H74" s="38"/>
      <c r="I74" s="38"/>
      <c r="J74" s="17"/>
      <c r="K74" s="17"/>
      <c r="L74" s="17"/>
      <c r="M74" s="17"/>
    </row>
    <row r="75" spans="1:14">
      <c r="A75" s="79">
        <v>94.1</v>
      </c>
      <c r="B75" s="83">
        <v>1008.70448088</v>
      </c>
      <c r="C75" s="81">
        <v>1.1748812228800001</v>
      </c>
      <c r="D75" s="82">
        <v>0.59331624965759999</v>
      </c>
      <c r="E75" s="50"/>
      <c r="F75" s="17"/>
      <c r="G75" s="38"/>
      <c r="H75" s="38"/>
      <c r="I75" s="38"/>
      <c r="J75" s="17"/>
      <c r="K75" s="17"/>
      <c r="L75" s="17"/>
      <c r="M75" s="17"/>
    </row>
    <row r="76" spans="1:14">
      <c r="A76" s="79">
        <v>95</v>
      </c>
      <c r="B76" s="83">
        <v>1019.7259185</v>
      </c>
      <c r="C76" s="81">
        <v>1.143867148</v>
      </c>
      <c r="D76" s="82">
        <v>0.6221741633408</v>
      </c>
      <c r="E76" s="50"/>
      <c r="F76" s="17"/>
      <c r="G76" s="38"/>
      <c r="H76" s="38"/>
      <c r="I76" s="38"/>
      <c r="J76" s="17"/>
      <c r="K76" s="17"/>
      <c r="L76" s="17"/>
      <c r="M76" s="17"/>
    </row>
    <row r="77" spans="1:14">
      <c r="A77" s="79">
        <v>95.9</v>
      </c>
      <c r="B77" s="83">
        <v>1030.8938445000001</v>
      </c>
      <c r="C77" s="81">
        <v>1.1037122256</v>
      </c>
      <c r="D77" s="82">
        <v>0.66003374539039994</v>
      </c>
      <c r="E77" s="50"/>
      <c r="F77" s="17"/>
      <c r="G77" s="38"/>
      <c r="H77" s="38"/>
      <c r="I77" s="38"/>
      <c r="J77" s="17"/>
      <c r="K77" s="17"/>
      <c r="L77" s="17"/>
      <c r="M77" s="17"/>
    </row>
    <row r="78" spans="1:14">
      <c r="A78" s="79">
        <v>96.8</v>
      </c>
      <c r="B78" s="83">
        <v>1042.23146496</v>
      </c>
      <c r="C78" s="81">
        <v>1.04153273088</v>
      </c>
      <c r="D78" s="82">
        <v>0.7195324357888</v>
      </c>
      <c r="E78" s="50"/>
      <c r="F78" s="17"/>
      <c r="G78" s="38"/>
      <c r="H78" s="38"/>
      <c r="I78" s="38"/>
      <c r="J78" s="17"/>
      <c r="K78" s="17"/>
      <c r="L78" s="17"/>
      <c r="M78" s="17"/>
    </row>
    <row r="79" spans="1:14" ht="15.75" thickBot="1">
      <c r="A79" s="88">
        <v>97.47</v>
      </c>
      <c r="B79" s="89">
        <v>1050.8003100000001</v>
      </c>
      <c r="C79" s="90">
        <v>0.87704598352000007</v>
      </c>
      <c r="D79" s="91">
        <v>0.8770468760672</v>
      </c>
      <c r="E79" s="64"/>
      <c r="F79" s="17"/>
      <c r="G79" s="38"/>
      <c r="H79" s="38"/>
      <c r="I79" s="38"/>
      <c r="J79" s="17"/>
      <c r="K79" s="17"/>
      <c r="L79" s="17"/>
      <c r="M79" s="18"/>
      <c r="N79" s="22"/>
    </row>
    <row r="80" spans="1:14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6">
    <mergeCell ref="M42:M43"/>
    <mergeCell ref="F60:G60"/>
    <mergeCell ref="A1:D1"/>
    <mergeCell ref="F1:F3"/>
    <mergeCell ref="J1:J2"/>
    <mergeCell ref="K2:L2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E5418-5133-5D48-95A7-2111471E9D33}">
  <dimension ref="A1:R819"/>
  <sheetViews>
    <sheetView zoomScale="85" zoomScaleNormal="85" workbookViewId="0">
      <pane xSplit="1" topLeftCell="B1" activePane="topRight" state="frozen"/>
      <selection pane="topRight" activeCell="K44" sqref="K44"/>
    </sheetView>
  </sheetViews>
  <sheetFormatPr defaultColWidth="11.42578125" defaultRowHeight="15"/>
  <cols>
    <col min="1" max="1" width="11.42578125" style="24"/>
    <col min="3" max="3" width="11.85546875" customWidth="1"/>
    <col min="4" max="4" width="11.42578125" style="23"/>
    <col min="5" max="5" width="11.42578125" style="58"/>
    <col min="6" max="6" width="17.5703125" style="58" bestFit="1" customWidth="1"/>
    <col min="7" max="8" width="15.28515625" style="58" bestFit="1" customWidth="1"/>
    <col min="9" max="9" width="18.28515625" style="58" bestFit="1" customWidth="1"/>
    <col min="10" max="11" width="15.42578125" style="58" bestFit="1" customWidth="1"/>
    <col min="12" max="12" width="10.42578125" style="58" bestFit="1" customWidth="1"/>
    <col min="13" max="13" width="13" customWidth="1"/>
    <col min="14" max="14" width="34.42578125" bestFit="1" customWidth="1"/>
    <col min="15" max="16" width="5.140625" customWidth="1"/>
    <col min="17" max="17" width="40.28515625" bestFit="1" customWidth="1"/>
    <col min="18" max="18" width="12.140625" bestFit="1" customWidth="1"/>
  </cols>
  <sheetData>
    <row r="1" spans="1:18" ht="23.25" customHeight="1" thickBot="1">
      <c r="A1" s="228" t="s">
        <v>17</v>
      </c>
      <c r="B1" s="229"/>
      <c r="C1" s="229"/>
      <c r="D1" s="230"/>
      <c r="E1" s="62"/>
      <c r="F1" s="62"/>
      <c r="G1" s="62"/>
      <c r="H1" s="62"/>
      <c r="I1" s="62"/>
      <c r="J1" s="62"/>
      <c r="K1" s="62"/>
      <c r="L1" s="62"/>
      <c r="M1" s="14"/>
      <c r="N1" s="176" t="s">
        <v>102</v>
      </c>
      <c r="O1" s="173"/>
      <c r="P1" s="58"/>
      <c r="Q1" t="s">
        <v>56</v>
      </c>
      <c r="R1">
        <v>1.5</v>
      </c>
    </row>
    <row r="2" spans="1:18" ht="27.95" customHeight="1" thickBot="1">
      <c r="A2" s="79" t="s">
        <v>18</v>
      </c>
      <c r="B2" s="80" t="s">
        <v>20</v>
      </c>
      <c r="C2" s="81" t="s">
        <v>21</v>
      </c>
      <c r="D2" s="82" t="s">
        <v>22</v>
      </c>
      <c r="E2" s="50"/>
      <c r="F2" s="179" t="s">
        <v>131</v>
      </c>
      <c r="G2" s="180" t="s">
        <v>128</v>
      </c>
      <c r="H2" s="180" t="s">
        <v>128</v>
      </c>
      <c r="I2" s="180" t="s">
        <v>126</v>
      </c>
      <c r="J2" s="180" t="s">
        <v>127</v>
      </c>
      <c r="K2" s="180" t="s">
        <v>127</v>
      </c>
      <c r="L2" s="185" t="s">
        <v>134</v>
      </c>
      <c r="M2" s="63"/>
      <c r="N2" s="174" t="s">
        <v>132</v>
      </c>
      <c r="O2" s="175">
        <v>12</v>
      </c>
      <c r="P2" s="49"/>
      <c r="Q2" t="s">
        <v>14</v>
      </c>
      <c r="R2">
        <v>0</v>
      </c>
    </row>
    <row r="3" spans="1:18" ht="15.75" thickBot="1">
      <c r="A3" s="94" t="s">
        <v>16</v>
      </c>
      <c r="B3" s="95" t="s">
        <v>19</v>
      </c>
      <c r="C3" s="96" t="s">
        <v>23</v>
      </c>
      <c r="D3" s="97" t="s">
        <v>23</v>
      </c>
      <c r="E3" s="71"/>
      <c r="F3" s="181" t="s">
        <v>40</v>
      </c>
      <c r="G3" s="182" t="s">
        <v>129</v>
      </c>
      <c r="H3" s="182" t="s">
        <v>130</v>
      </c>
      <c r="I3" s="182" t="s">
        <v>40</v>
      </c>
      <c r="J3" s="182" t="s">
        <v>129</v>
      </c>
      <c r="K3" s="182" t="s">
        <v>130</v>
      </c>
      <c r="L3" s="186" t="s">
        <v>130</v>
      </c>
      <c r="M3" s="17"/>
      <c r="N3" s="183"/>
      <c r="Q3" t="s">
        <v>13</v>
      </c>
      <c r="R3">
        <v>32.200000000000003</v>
      </c>
    </row>
    <row r="4" spans="1:18">
      <c r="A4" s="187">
        <v>32</v>
      </c>
      <c r="B4" s="188">
        <v>452.82023903999999</v>
      </c>
      <c r="C4" s="189">
        <v>1.75999830112</v>
      </c>
      <c r="D4" s="190">
        <v>0.16525852904319999</v>
      </c>
      <c r="E4" s="50"/>
      <c r="F4" s="203">
        <f>$R$11 + (PI()*(($R$10/2)^2)*(($O$2/12)-($R$10/2)))</f>
        <v>0.20963457199382843</v>
      </c>
      <c r="G4" s="204">
        <f>F4*D4</f>
        <v>3.4643901004300891E-2</v>
      </c>
      <c r="H4" s="204">
        <f>G4*$O$4</f>
        <v>1.1146328709123769</v>
      </c>
      <c r="I4" s="204">
        <f>$R$15-$F$4</f>
        <v>0.5418493593672542</v>
      </c>
      <c r="J4" s="204">
        <f>C4*I4</f>
        <v>0.95365395194932778</v>
      </c>
      <c r="K4" s="204">
        <f>J4*$O$4</f>
        <v>30.682862250017671</v>
      </c>
      <c r="L4" s="205">
        <f>H4+K4</f>
        <v>31.797495120930048</v>
      </c>
      <c r="M4" s="17"/>
      <c r="N4" s="212" t="s">
        <v>133</v>
      </c>
      <c r="O4" s="212">
        <v>32.173999999999999</v>
      </c>
      <c r="Q4" t="s">
        <v>57</v>
      </c>
      <c r="R4">
        <v>0.5</v>
      </c>
    </row>
    <row r="5" spans="1:18">
      <c r="A5" s="191">
        <v>32.9</v>
      </c>
      <c r="B5" s="192">
        <v>458.65366740000002</v>
      </c>
      <c r="C5" s="193">
        <v>1.7550485447999999</v>
      </c>
      <c r="D5" s="194">
        <v>0.16772615040639999</v>
      </c>
      <c r="E5" s="50"/>
      <c r="F5" s="206">
        <f t="shared" ref="F5:F53" si="0">$R$11 + (PI()*(($R$10/2)^2)*(($O$2/12)-($R$10/2)))</f>
        <v>0.20963457199382843</v>
      </c>
      <c r="G5" s="207">
        <f t="shared" ref="G5:G53" si="1">F5*D5</f>
        <v>3.5161199752618152E-2</v>
      </c>
      <c r="H5" s="207">
        <f t="shared" ref="H5:H53" si="2">G5*$O$4</f>
        <v>1.1312764408407363</v>
      </c>
      <c r="I5" s="207">
        <f t="shared" ref="I5:I53" si="3">$R$15-$F$4</f>
        <v>0.5418493593672542</v>
      </c>
      <c r="J5" s="207">
        <f t="shared" ref="J5:J53" si="4">C5*I5</f>
        <v>0.95097192965831168</v>
      </c>
      <c r="K5" s="207">
        <f t="shared" ref="K5:K53" si="5">J5*$O$4</f>
        <v>30.596570864826518</v>
      </c>
      <c r="L5" s="208">
        <f t="shared" ref="L5:L53" si="6">H5+K5</f>
        <v>31.727847305667254</v>
      </c>
      <c r="M5" s="17"/>
      <c r="Q5" t="s">
        <v>36</v>
      </c>
      <c r="R5">
        <v>0.87815195180003003</v>
      </c>
    </row>
    <row r="6" spans="1:18">
      <c r="A6" s="191">
        <v>33.799999999999997</v>
      </c>
      <c r="B6" s="192">
        <v>464.54366057999999</v>
      </c>
      <c r="C6" s="193">
        <v>1.7500619224</v>
      </c>
      <c r="D6" s="194">
        <v>0.1702317244288</v>
      </c>
      <c r="E6" s="50"/>
      <c r="F6" s="206">
        <f t="shared" si="0"/>
        <v>0.20963457199382843</v>
      </c>
      <c r="G6" s="207">
        <f t="shared" si="1"/>
        <v>3.5686454690402832E-2</v>
      </c>
      <c r="H6" s="207">
        <f t="shared" si="2"/>
        <v>1.1481759932090208</v>
      </c>
      <c r="I6" s="207">
        <f t="shared" si="3"/>
        <v>0.5418493593672542</v>
      </c>
      <c r="J6" s="207">
        <f t="shared" si="4"/>
        <v>0.94826993150546535</v>
      </c>
      <c r="K6" s="207">
        <f t="shared" si="5"/>
        <v>30.509636776256841</v>
      </c>
      <c r="L6" s="208">
        <f t="shared" si="6"/>
        <v>31.65781276946586</v>
      </c>
      <c r="M6" s="17"/>
      <c r="Q6" t="s">
        <v>37</v>
      </c>
      <c r="R6">
        <v>1.2</v>
      </c>
    </row>
    <row r="7" spans="1:18">
      <c r="A7" s="191">
        <v>34.700000000000003</v>
      </c>
      <c r="B7" s="192">
        <v>470.48731781999993</v>
      </c>
      <c r="C7" s="193">
        <v>1.7450423145599998</v>
      </c>
      <c r="D7" s="194">
        <v>0.17277604664159998</v>
      </c>
      <c r="E7" s="50"/>
      <c r="F7" s="206">
        <f t="shared" si="0"/>
        <v>0.20963457199382843</v>
      </c>
      <c r="G7" s="207">
        <f t="shared" si="1"/>
        <v>3.621983258849755E-2</v>
      </c>
      <c r="H7" s="207">
        <f t="shared" si="2"/>
        <v>1.1653368937023201</v>
      </c>
      <c r="I7" s="207">
        <f t="shared" si="3"/>
        <v>0.5418493593672542</v>
      </c>
      <c r="J7" s="207">
        <f t="shared" si="4"/>
        <v>0.94555006021308641</v>
      </c>
      <c r="K7" s="207">
        <f t="shared" si="5"/>
        <v>30.422127637295841</v>
      </c>
      <c r="L7" s="208">
        <f t="shared" si="6"/>
        <v>31.587464530998162</v>
      </c>
      <c r="M7" s="17"/>
      <c r="N7" s="49"/>
      <c r="O7" s="49"/>
      <c r="P7" s="49"/>
      <c r="Q7" s="58" t="s">
        <v>38</v>
      </c>
      <c r="R7">
        <v>1.0537823421600361</v>
      </c>
    </row>
    <row r="8" spans="1:18">
      <c r="A8" s="191">
        <v>35.6</v>
      </c>
      <c r="B8" s="192">
        <v>476.48608949999999</v>
      </c>
      <c r="C8" s="193">
        <v>1.73998778096</v>
      </c>
      <c r="D8" s="194">
        <v>0.17536002899519998</v>
      </c>
      <c r="E8" s="50"/>
      <c r="F8" s="206">
        <f t="shared" si="0"/>
        <v>0.20963457199382843</v>
      </c>
      <c r="G8" s="207">
        <f t="shared" si="1"/>
        <v>3.6761524623234093E-2</v>
      </c>
      <c r="H8" s="207">
        <f t="shared" si="2"/>
        <v>1.1827652932279338</v>
      </c>
      <c r="I8" s="207">
        <f t="shared" si="3"/>
        <v>0.5418493593672542</v>
      </c>
      <c r="J8" s="207">
        <f t="shared" si="4"/>
        <v>0.94281126442002616</v>
      </c>
      <c r="K8" s="207">
        <f t="shared" si="5"/>
        <v>30.334009621449923</v>
      </c>
      <c r="L8" s="208">
        <f t="shared" si="6"/>
        <v>31.516774914677857</v>
      </c>
      <c r="M8" s="17"/>
      <c r="N8" s="177"/>
      <c r="O8" s="58"/>
      <c r="P8" s="58"/>
      <c r="Q8" s="58"/>
    </row>
    <row r="9" spans="1:18">
      <c r="A9" s="191">
        <v>36.5</v>
      </c>
      <c r="B9" s="192">
        <v>482.54142600000006</v>
      </c>
      <c r="C9" s="193">
        <v>1.73489638128</v>
      </c>
      <c r="D9" s="194">
        <v>0.17798456403679999</v>
      </c>
      <c r="E9" s="50"/>
      <c r="F9" s="206">
        <f t="shared" si="0"/>
        <v>0.20963457199382843</v>
      </c>
      <c r="G9" s="207">
        <f t="shared" si="1"/>
        <v>3.7311717903362712E-2</v>
      </c>
      <c r="H9" s="207">
        <f t="shared" si="2"/>
        <v>1.2004672118227919</v>
      </c>
      <c r="I9" s="207">
        <f t="shared" si="3"/>
        <v>0.5418493593672542</v>
      </c>
      <c r="J9" s="207">
        <f t="shared" si="4"/>
        <v>0.94005249276513558</v>
      </c>
      <c r="K9" s="207">
        <f t="shared" si="5"/>
        <v>30.245248902225473</v>
      </c>
      <c r="L9" s="208">
        <f t="shared" si="6"/>
        <v>31.445716114048267</v>
      </c>
      <c r="M9" s="17"/>
      <c r="N9" s="49"/>
      <c r="O9" s="49"/>
      <c r="P9" s="49"/>
      <c r="Q9" s="137" t="s">
        <v>121</v>
      </c>
      <c r="R9">
        <v>6.5</v>
      </c>
    </row>
    <row r="10" spans="1:18">
      <c r="A10" s="191">
        <v>37.4</v>
      </c>
      <c r="B10" s="192">
        <v>488.65187693999997</v>
      </c>
      <c r="C10" s="193">
        <v>1.7297661752</v>
      </c>
      <c r="D10" s="194">
        <v>0.18065056371679999</v>
      </c>
      <c r="E10" s="50"/>
      <c r="F10" s="206">
        <f t="shared" si="0"/>
        <v>0.20963457199382843</v>
      </c>
      <c r="G10" s="207">
        <f t="shared" si="1"/>
        <v>3.78706036052152E-2</v>
      </c>
      <c r="H10" s="207">
        <f t="shared" si="2"/>
        <v>1.2184488003941938</v>
      </c>
      <c r="I10" s="207">
        <f t="shared" si="3"/>
        <v>0.5418493593672542</v>
      </c>
      <c r="J10" s="207">
        <f t="shared" si="4"/>
        <v>0.93727269388726553</v>
      </c>
      <c r="K10" s="207">
        <f t="shared" si="5"/>
        <v>30.155811653128879</v>
      </c>
      <c r="L10" s="208">
        <f t="shared" si="6"/>
        <v>31.374260453523071</v>
      </c>
      <c r="M10" s="17"/>
      <c r="N10" s="58"/>
      <c r="O10" s="58"/>
      <c r="P10" s="58"/>
      <c r="Q10" s="137" t="s">
        <v>122</v>
      </c>
      <c r="R10" s="58">
        <f>R9/12</f>
        <v>0.54166666666666663</v>
      </c>
    </row>
    <row r="11" spans="1:18">
      <c r="A11" s="191">
        <v>38.299999999999997</v>
      </c>
      <c r="B11" s="192">
        <v>494.82034307999999</v>
      </c>
      <c r="C11" s="193">
        <v>1.7246010433599999</v>
      </c>
      <c r="D11" s="194">
        <v>0.18335905640479999</v>
      </c>
      <c r="E11" s="50"/>
      <c r="F11" s="206">
        <f t="shared" si="0"/>
        <v>0.20963457199382843</v>
      </c>
      <c r="G11" s="207">
        <f t="shared" si="1"/>
        <v>3.8438397310612493E-2</v>
      </c>
      <c r="H11" s="207">
        <f t="shared" si="2"/>
        <v>1.2367169950716463</v>
      </c>
      <c r="I11" s="207">
        <f t="shared" si="3"/>
        <v>0.5418493593672542</v>
      </c>
      <c r="J11" s="207">
        <f t="shared" si="4"/>
        <v>0.93447397050871406</v>
      </c>
      <c r="K11" s="207">
        <f t="shared" si="5"/>
        <v>30.065765527147366</v>
      </c>
      <c r="L11" s="208">
        <f t="shared" si="6"/>
        <v>31.302482522219012</v>
      </c>
      <c r="M11" s="17"/>
      <c r="N11" s="49"/>
      <c r="O11" s="49"/>
      <c r="P11" s="49"/>
      <c r="Q11" s="137" t="s">
        <v>123</v>
      </c>
      <c r="R11" s="58">
        <f>(2/3)*PI()*((R10/2)^3)</f>
        <v>4.160686161709571E-2</v>
      </c>
    </row>
    <row r="12" spans="1:18">
      <c r="A12" s="191">
        <v>39.200000000000003</v>
      </c>
      <c r="B12" s="192">
        <v>501.04537404000001</v>
      </c>
      <c r="C12" s="193">
        <v>1.7193932244799999</v>
      </c>
      <c r="D12" s="194">
        <v>0.18611099285759999</v>
      </c>
      <c r="E12" s="50"/>
      <c r="F12" s="206">
        <f t="shared" si="0"/>
        <v>0.20963457199382843</v>
      </c>
      <c r="G12" s="207">
        <f t="shared" si="1"/>
        <v>3.9015298331049435E-2</v>
      </c>
      <c r="H12" s="207">
        <f t="shared" si="2"/>
        <v>1.2552782085031844</v>
      </c>
      <c r="I12" s="207">
        <f t="shared" si="3"/>
        <v>0.5418493593672542</v>
      </c>
      <c r="J12" s="207">
        <f t="shared" si="4"/>
        <v>0.93165211718488539</v>
      </c>
      <c r="K12" s="207">
        <f t="shared" si="5"/>
        <v>29.974975218306501</v>
      </c>
      <c r="L12" s="208">
        <f t="shared" si="6"/>
        <v>31.230253426809686</v>
      </c>
      <c r="M12" s="17"/>
      <c r="N12" s="58"/>
      <c r="O12" s="58"/>
      <c r="P12" s="58"/>
      <c r="Q12" s="58" t="s">
        <v>44</v>
      </c>
      <c r="R12">
        <v>2.9</v>
      </c>
    </row>
    <row r="13" spans="1:18">
      <c r="A13" s="191">
        <v>40.1</v>
      </c>
      <c r="B13" s="192">
        <v>507.32696982000004</v>
      </c>
      <c r="C13" s="193">
        <v>1.71414853952</v>
      </c>
      <c r="D13" s="194">
        <v>0.1889074790576</v>
      </c>
      <c r="E13" s="50"/>
      <c r="F13" s="206">
        <f t="shared" si="0"/>
        <v>0.20963457199382843</v>
      </c>
      <c r="G13" s="207">
        <f t="shared" si="1"/>
        <v>3.9601538518673082E-2</v>
      </c>
      <c r="H13" s="207">
        <f t="shared" si="2"/>
        <v>1.2741399002997877</v>
      </c>
      <c r="I13" s="207">
        <f t="shared" si="3"/>
        <v>0.5418493593672542</v>
      </c>
      <c r="J13" s="207">
        <f t="shared" si="4"/>
        <v>0.92881028799922638</v>
      </c>
      <c r="K13" s="207">
        <f t="shared" si="5"/>
        <v>29.88354220608711</v>
      </c>
      <c r="L13" s="208">
        <f t="shared" si="6"/>
        <v>31.157682106386897</v>
      </c>
      <c r="M13" s="17"/>
      <c r="N13" s="58"/>
      <c r="O13" s="58"/>
      <c r="P13" s="58"/>
      <c r="Q13" s="58" t="s">
        <v>45</v>
      </c>
      <c r="R13" s="58">
        <f>((PI()*(R10^2))/4)*R12</f>
        <v>0.6682702081268912</v>
      </c>
    </row>
    <row r="14" spans="1:18">
      <c r="A14" s="191">
        <v>41</v>
      </c>
      <c r="B14" s="192">
        <v>513.66803117999996</v>
      </c>
      <c r="C14" s="193">
        <v>1.7088611675200001</v>
      </c>
      <c r="D14" s="194">
        <v>0.19174958218079999</v>
      </c>
      <c r="E14" s="50"/>
      <c r="F14" s="206">
        <f t="shared" si="0"/>
        <v>0.20963457199382843</v>
      </c>
      <c r="G14" s="207">
        <f t="shared" si="1"/>
        <v>4.0197341590467436E-2</v>
      </c>
      <c r="H14" s="207">
        <f t="shared" si="2"/>
        <v>1.2933092683316993</v>
      </c>
      <c r="I14" s="207">
        <f t="shared" si="3"/>
        <v>0.5418493593672542</v>
      </c>
      <c r="J14" s="207">
        <f t="shared" si="4"/>
        <v>0.92594532886829006</v>
      </c>
      <c r="K14" s="207">
        <f t="shared" si="5"/>
        <v>29.791365011008363</v>
      </c>
      <c r="L14" s="208">
        <f t="shared" si="6"/>
        <v>31.084674279340064</v>
      </c>
      <c r="M14" s="17"/>
      <c r="N14" s="58"/>
      <c r="O14" s="58"/>
      <c r="P14" s="58"/>
      <c r="Q14" s="58" t="s">
        <v>125</v>
      </c>
      <c r="R14" s="58">
        <f>(R10+R12)</f>
        <v>3.4416666666666664</v>
      </c>
    </row>
    <row r="15" spans="1:18">
      <c r="A15" s="191">
        <v>41.9</v>
      </c>
      <c r="B15" s="192">
        <v>520.06565735999993</v>
      </c>
      <c r="C15" s="193">
        <v>1.7035330488</v>
      </c>
      <c r="D15" s="194">
        <v>0.19463846641919999</v>
      </c>
      <c r="E15" s="50"/>
      <c r="F15" s="206">
        <f t="shared" si="0"/>
        <v>0.20963457199382843</v>
      </c>
      <c r="G15" s="207">
        <f t="shared" si="1"/>
        <v>4.080295160132414E-2</v>
      </c>
      <c r="H15" s="207">
        <f t="shared" si="2"/>
        <v>1.3127941648210029</v>
      </c>
      <c r="I15" s="207">
        <f t="shared" si="3"/>
        <v>0.5418493593672542</v>
      </c>
      <c r="J15" s="207">
        <f t="shared" si="4"/>
        <v>0.92305829115322535</v>
      </c>
      <c r="K15" s="207">
        <f t="shared" si="5"/>
        <v>29.698477459563872</v>
      </c>
      <c r="L15" s="208">
        <f t="shared" si="6"/>
        <v>31.011271624384875</v>
      </c>
      <c r="M15" s="17"/>
      <c r="N15" s="58"/>
      <c r="O15" s="58"/>
      <c r="P15" s="58"/>
      <c r="Q15" s="137" t="s">
        <v>124</v>
      </c>
      <c r="R15">
        <f>R13+(2*R11)</f>
        <v>0.7514839313610826</v>
      </c>
    </row>
    <row r="16" spans="1:18">
      <c r="A16" s="191">
        <v>42.8</v>
      </c>
      <c r="B16" s="192">
        <v>526.52129874000002</v>
      </c>
      <c r="C16" s="193">
        <v>1.6981603027200001</v>
      </c>
      <c r="D16" s="194">
        <v>0.19757531536799999</v>
      </c>
      <c r="E16" s="50"/>
      <c r="F16" s="206">
        <f t="shared" si="0"/>
        <v>0.20963457199382843</v>
      </c>
      <c r="G16" s="207">
        <f t="shared" si="1"/>
        <v>4.1418616673716352E-2</v>
      </c>
      <c r="H16" s="207">
        <f t="shared" si="2"/>
        <v>1.3326025728601498</v>
      </c>
      <c r="I16" s="207">
        <f t="shared" si="3"/>
        <v>0.5418493593672542</v>
      </c>
      <c r="J16" s="207">
        <f t="shared" si="4"/>
        <v>0.92014707213173452</v>
      </c>
      <c r="K16" s="207">
        <f t="shared" si="5"/>
        <v>29.604811898766425</v>
      </c>
      <c r="L16" s="208">
        <f t="shared" si="6"/>
        <v>30.937414471626575</v>
      </c>
      <c r="M16" s="17"/>
      <c r="N16" s="58"/>
      <c r="O16" s="58"/>
      <c r="P16" s="58"/>
      <c r="Q16" s="58"/>
    </row>
    <row r="17" spans="1:17">
      <c r="A17" s="191">
        <v>43.7</v>
      </c>
      <c r="B17" s="192">
        <v>533.03640570000005</v>
      </c>
      <c r="C17" s="193">
        <v>1.69274292928</v>
      </c>
      <c r="D17" s="194">
        <v>0.20056135142879999</v>
      </c>
      <c r="E17" s="50"/>
      <c r="F17" s="206">
        <f t="shared" si="0"/>
        <v>0.20963457199382843</v>
      </c>
      <c r="G17" s="207">
        <f t="shared" si="1"/>
        <v>4.2044593065280293E-2</v>
      </c>
      <c r="H17" s="207">
        <f t="shared" si="2"/>
        <v>1.3527427372823282</v>
      </c>
      <c r="I17" s="207">
        <f t="shared" si="3"/>
        <v>0.5418493593672542</v>
      </c>
      <c r="J17" s="207">
        <f t="shared" si="4"/>
        <v>0.91721167180381735</v>
      </c>
      <c r="K17" s="207">
        <f t="shared" si="5"/>
        <v>29.510368328616018</v>
      </c>
      <c r="L17" s="208">
        <f t="shared" si="6"/>
        <v>30.863111065898345</v>
      </c>
      <c r="M17" s="17"/>
      <c r="N17" s="58"/>
      <c r="O17" s="58"/>
      <c r="P17" s="58"/>
      <c r="Q17" s="58"/>
    </row>
    <row r="18" spans="1:17">
      <c r="A18" s="191">
        <v>44.6</v>
      </c>
      <c r="B18" s="192">
        <v>539.61097824000001</v>
      </c>
      <c r="C18" s="193">
        <v>1.6872809284800001</v>
      </c>
      <c r="D18" s="194">
        <v>0.20359789401919998</v>
      </c>
      <c r="E18" s="50"/>
      <c r="F18" s="206">
        <f t="shared" si="0"/>
        <v>0.20963457199382843</v>
      </c>
      <c r="G18" s="207">
        <f t="shared" si="1"/>
        <v>4.2681157371559829E-2</v>
      </c>
      <c r="H18" s="207">
        <f t="shared" si="2"/>
        <v>1.373223557272566</v>
      </c>
      <c r="I18" s="207">
        <f t="shared" si="3"/>
        <v>0.5418493593672542</v>
      </c>
      <c r="J18" s="207">
        <f t="shared" si="4"/>
        <v>0.91425209016947395</v>
      </c>
      <c r="K18" s="207">
        <f t="shared" si="5"/>
        <v>29.415146749112655</v>
      </c>
      <c r="L18" s="208">
        <f t="shared" si="6"/>
        <v>30.788370306385222</v>
      </c>
      <c r="M18" s="17"/>
      <c r="N18" s="178"/>
      <c r="O18" s="58"/>
      <c r="P18" s="58"/>
      <c r="Q18" s="58"/>
    </row>
    <row r="19" spans="1:17">
      <c r="A19" s="191">
        <v>45.5</v>
      </c>
      <c r="B19" s="192">
        <v>546.24646674000007</v>
      </c>
      <c r="C19" s="193">
        <v>1.6817723599999999</v>
      </c>
      <c r="D19" s="194">
        <v>0.20668630136319999</v>
      </c>
      <c r="E19" s="50"/>
      <c r="F19" s="206">
        <f t="shared" si="0"/>
        <v>0.20963457199382843</v>
      </c>
      <c r="G19" s="207">
        <f t="shared" si="1"/>
        <v>4.3328594323261867E-2</v>
      </c>
      <c r="H19" s="207">
        <f t="shared" si="2"/>
        <v>1.3940541937566273</v>
      </c>
      <c r="I19" s="207">
        <f t="shared" si="3"/>
        <v>0.5418493593672542</v>
      </c>
      <c r="J19" s="207">
        <f t="shared" si="4"/>
        <v>0.91126727586755518</v>
      </c>
      <c r="K19" s="207">
        <f t="shared" si="5"/>
        <v>29.319113333762719</v>
      </c>
      <c r="L19" s="208">
        <f t="shared" si="6"/>
        <v>30.713167527519346</v>
      </c>
      <c r="M19" s="17"/>
      <c r="N19" s="58"/>
      <c r="O19" s="58"/>
      <c r="P19" s="58"/>
      <c r="Q19" s="58"/>
    </row>
    <row r="20" spans="1:17">
      <c r="A20" s="191">
        <v>46.4</v>
      </c>
      <c r="B20" s="192">
        <v>552.93997044000002</v>
      </c>
      <c r="C20" s="193">
        <v>1.6762152835199999</v>
      </c>
      <c r="D20" s="194">
        <v>0.2098279704912</v>
      </c>
      <c r="E20" s="50"/>
      <c r="F20" s="206">
        <f t="shared" si="0"/>
        <v>0.20963457199382843</v>
      </c>
      <c r="G20" s="207">
        <f t="shared" si="1"/>
        <v>4.3987196786256372E-2</v>
      </c>
      <c r="H20" s="207">
        <f t="shared" si="2"/>
        <v>1.4152440694010124</v>
      </c>
      <c r="I20" s="207">
        <f t="shared" si="3"/>
        <v>0.5418493593672542</v>
      </c>
      <c r="J20" s="207">
        <f t="shared" si="4"/>
        <v>0.90825617753691235</v>
      </c>
      <c r="K20" s="207">
        <f t="shared" si="5"/>
        <v>29.222234256072618</v>
      </c>
      <c r="L20" s="208">
        <f t="shared" si="6"/>
        <v>30.63747832547363</v>
      </c>
      <c r="M20" s="17"/>
      <c r="N20" s="58"/>
      <c r="O20" s="58"/>
      <c r="P20" s="58"/>
      <c r="Q20" s="58"/>
    </row>
    <row r="21" spans="1:17">
      <c r="A21" s="191">
        <v>47.3</v>
      </c>
      <c r="B21" s="192">
        <v>559.69439009999996</v>
      </c>
      <c r="C21" s="193">
        <v>1.6706096990399999</v>
      </c>
      <c r="D21" s="194">
        <v>0.21302437604639998</v>
      </c>
      <c r="E21" s="50"/>
      <c r="F21" s="206">
        <f t="shared" si="0"/>
        <v>0.20963457199382843</v>
      </c>
      <c r="G21" s="207">
        <f t="shared" si="1"/>
        <v>4.4657273896739416E-2</v>
      </c>
      <c r="H21" s="207">
        <f t="shared" si="2"/>
        <v>1.4368031303536939</v>
      </c>
      <c r="I21" s="207">
        <f t="shared" si="3"/>
        <v>0.5418493593672542</v>
      </c>
      <c r="J21" s="207">
        <f t="shared" si="4"/>
        <v>0.90521879517754533</v>
      </c>
      <c r="K21" s="207">
        <f t="shared" si="5"/>
        <v>29.124509516042345</v>
      </c>
      <c r="L21" s="208">
        <f t="shared" si="6"/>
        <v>30.56131264639604</v>
      </c>
      <c r="M21" s="17"/>
      <c r="N21" s="58"/>
      <c r="O21" s="58"/>
      <c r="P21" s="58"/>
      <c r="Q21" s="58"/>
    </row>
    <row r="22" spans="1:17">
      <c r="A22" s="191">
        <v>48.2</v>
      </c>
      <c r="B22" s="192">
        <v>566.51117609999994</v>
      </c>
      <c r="C22" s="193">
        <v>1.66495172592</v>
      </c>
      <c r="D22" s="194">
        <v>0.21627710909119999</v>
      </c>
      <c r="E22" s="50"/>
      <c r="F22" s="206">
        <f t="shared" si="0"/>
        <v>0.20963457199382843</v>
      </c>
      <c r="G22" s="207">
        <f t="shared" si="1"/>
        <v>4.533915919639625E-2</v>
      </c>
      <c r="H22" s="207">
        <f t="shared" si="2"/>
        <v>1.458742107984853</v>
      </c>
      <c r="I22" s="207">
        <f t="shared" si="3"/>
        <v>0.5418493593672542</v>
      </c>
      <c r="J22" s="207">
        <f t="shared" si="4"/>
        <v>0.90215302606715619</v>
      </c>
      <c r="K22" s="207">
        <f t="shared" si="5"/>
        <v>29.025871460684684</v>
      </c>
      <c r="L22" s="208">
        <f t="shared" si="6"/>
        <v>30.484613568669538</v>
      </c>
      <c r="M22" s="17"/>
      <c r="N22" s="58"/>
      <c r="O22" s="58"/>
      <c r="P22" s="58"/>
      <c r="Q22" s="58"/>
    </row>
    <row r="23" spans="1:17">
      <c r="A23" s="191">
        <v>49.1</v>
      </c>
      <c r="B23" s="192">
        <v>573.38742767999997</v>
      </c>
      <c r="C23" s="193">
        <v>1.6592413641600001</v>
      </c>
      <c r="D23" s="194">
        <v>0.21958774128479999</v>
      </c>
      <c r="E23" s="50"/>
      <c r="F23" s="206">
        <f t="shared" si="0"/>
        <v>0.20963457199382843</v>
      </c>
      <c r="G23" s="207">
        <f t="shared" si="1"/>
        <v>4.6033182159330575E-2</v>
      </c>
      <c r="H23" s="207">
        <f t="shared" si="2"/>
        <v>1.4810716027943018</v>
      </c>
      <c r="I23" s="207">
        <f t="shared" si="3"/>
        <v>0.5418493593672542</v>
      </c>
      <c r="J23" s="207">
        <f t="shared" si="4"/>
        <v>0.89905887020574504</v>
      </c>
      <c r="K23" s="207">
        <f t="shared" si="5"/>
        <v>28.926320089999642</v>
      </c>
      <c r="L23" s="208">
        <f t="shared" si="6"/>
        <v>30.407391692793944</v>
      </c>
      <c r="M23" s="17"/>
      <c r="N23" s="58"/>
      <c r="O23" s="58"/>
      <c r="P23" s="58"/>
      <c r="Q23" s="58"/>
    </row>
    <row r="24" spans="1:17">
      <c r="A24" s="191">
        <v>50</v>
      </c>
      <c r="B24" s="192">
        <v>580.32604560000004</v>
      </c>
      <c r="C24" s="193">
        <v>1.6534766734399999</v>
      </c>
      <c r="D24" s="194">
        <v>0.22295801891519998</v>
      </c>
      <c r="E24" s="50"/>
      <c r="F24" s="206">
        <f t="shared" si="0"/>
        <v>0.20963457199382843</v>
      </c>
      <c r="G24" s="207">
        <f t="shared" si="1"/>
        <v>4.6739708867879849E-2</v>
      </c>
      <c r="H24" s="207">
        <f t="shared" si="2"/>
        <v>1.5038033931151662</v>
      </c>
      <c r="I24" s="207">
        <f t="shared" si="3"/>
        <v>0.5418493593672542</v>
      </c>
      <c r="J24" s="207">
        <f t="shared" si="4"/>
        <v>0.89593527623216251</v>
      </c>
      <c r="K24" s="207">
        <f t="shared" si="5"/>
        <v>28.825821577493596</v>
      </c>
      <c r="L24" s="208">
        <f t="shared" si="6"/>
        <v>30.329624970608762</v>
      </c>
      <c r="M24" s="17"/>
      <c r="N24" s="58"/>
      <c r="O24" s="58"/>
      <c r="P24" s="58"/>
      <c r="Q24" s="58"/>
    </row>
    <row r="25" spans="1:17">
      <c r="A25" s="191">
        <v>50.9</v>
      </c>
      <c r="B25" s="192">
        <v>587.32702986000004</v>
      </c>
      <c r="C25" s="193">
        <v>1.6476576537600001</v>
      </c>
      <c r="D25" s="194">
        <v>0.22638970767359998</v>
      </c>
      <c r="E25" s="50"/>
      <c r="F25" s="206">
        <f t="shared" si="0"/>
        <v>0.20963457199382843</v>
      </c>
      <c r="G25" s="207">
        <f t="shared" si="1"/>
        <v>4.7459109471963065E-2</v>
      </c>
      <c r="H25" s="207">
        <f t="shared" si="2"/>
        <v>1.5269493881509397</v>
      </c>
      <c r="I25" s="207">
        <f t="shared" si="3"/>
        <v>0.5418493593672542</v>
      </c>
      <c r="J25" s="207">
        <f t="shared" si="4"/>
        <v>0.89278224414640917</v>
      </c>
      <c r="K25" s="207">
        <f t="shared" si="5"/>
        <v>28.724375923166569</v>
      </c>
      <c r="L25" s="208">
        <f t="shared" si="6"/>
        <v>30.251325311317508</v>
      </c>
      <c r="M25" s="17"/>
    </row>
    <row r="26" spans="1:17">
      <c r="A26" s="191">
        <v>51.8</v>
      </c>
      <c r="B26" s="192">
        <v>594.39038045999996</v>
      </c>
      <c r="C26" s="193">
        <v>1.6417804244800001</v>
      </c>
      <c r="D26" s="194">
        <v>0.22988470907359998</v>
      </c>
      <c r="E26" s="50"/>
      <c r="F26" s="206">
        <f t="shared" si="0"/>
        <v>0.20963457199382843</v>
      </c>
      <c r="G26" s="207">
        <f t="shared" si="1"/>
        <v>4.8191782594569896E-2</v>
      </c>
      <c r="H26" s="207">
        <f t="shared" si="2"/>
        <v>1.5505224131976918</v>
      </c>
      <c r="I26" s="207">
        <f t="shared" si="3"/>
        <v>0.5418493593672542</v>
      </c>
      <c r="J26" s="207">
        <f t="shared" si="4"/>
        <v>0.88959767122618671</v>
      </c>
      <c r="K26" s="207">
        <f t="shared" si="5"/>
        <v>28.621915474031329</v>
      </c>
      <c r="L26" s="208">
        <f t="shared" si="6"/>
        <v>30.17243788722902</v>
      </c>
      <c r="M26" s="17"/>
    </row>
    <row r="27" spans="1:17">
      <c r="A27" s="191">
        <v>52.7</v>
      </c>
      <c r="B27" s="192">
        <v>601.51754778000009</v>
      </c>
      <c r="C27" s="193">
        <v>1.6358430452799999</v>
      </c>
      <c r="D27" s="194">
        <v>0.23344498283839998</v>
      </c>
      <c r="E27" s="50"/>
      <c r="F27" s="206">
        <f t="shared" si="0"/>
        <v>0.20963457199382843</v>
      </c>
      <c r="G27" s="207">
        <f t="shared" si="1"/>
        <v>4.8938139061434606E-2</v>
      </c>
      <c r="H27" s="207">
        <f t="shared" si="2"/>
        <v>1.574535686162597</v>
      </c>
      <c r="I27" s="207">
        <f t="shared" si="3"/>
        <v>0.5418493593672542</v>
      </c>
      <c r="J27" s="207">
        <f t="shared" si="4"/>
        <v>0.88638050611034613</v>
      </c>
      <c r="K27" s="207">
        <f t="shared" si="5"/>
        <v>28.518406403594277</v>
      </c>
      <c r="L27" s="208">
        <f t="shared" si="6"/>
        <v>30.092942089756875</v>
      </c>
      <c r="M27" s="17"/>
    </row>
    <row r="28" spans="1:17">
      <c r="A28" s="191">
        <v>53.6</v>
      </c>
      <c r="B28" s="192">
        <v>608.70708144000002</v>
      </c>
      <c r="C28" s="193">
        <v>1.6298455161600001</v>
      </c>
      <c r="D28" s="194">
        <v>0.23707262451360001</v>
      </c>
      <c r="E28" s="50"/>
      <c r="F28" s="206">
        <f t="shared" si="0"/>
        <v>0.20963457199382843</v>
      </c>
      <c r="G28" s="207">
        <f t="shared" si="1"/>
        <v>4.9698618171362133E-2</v>
      </c>
      <c r="H28" s="207">
        <f t="shared" si="2"/>
        <v>1.5990033410454052</v>
      </c>
      <c r="I28" s="207">
        <f t="shared" si="3"/>
        <v>0.5418493593672542</v>
      </c>
      <c r="J28" s="207">
        <f t="shared" si="4"/>
        <v>0.88313074879888775</v>
      </c>
      <c r="K28" s="207">
        <f t="shared" si="5"/>
        <v>28.413848711855415</v>
      </c>
      <c r="L28" s="208">
        <f t="shared" si="6"/>
        <v>30.012852052900822</v>
      </c>
      <c r="M28" s="17"/>
    </row>
    <row r="29" spans="1:17">
      <c r="A29" s="191">
        <v>54.5</v>
      </c>
      <c r="B29" s="192">
        <v>615.96188219999999</v>
      </c>
      <c r="C29" s="193">
        <v>1.6237820161600001</v>
      </c>
      <c r="D29" s="194">
        <v>0.2407698072576</v>
      </c>
      <c r="E29" s="50"/>
      <c r="F29" s="206">
        <f t="shared" si="0"/>
        <v>0.20963457199382843</v>
      </c>
      <c r="G29" s="207">
        <f t="shared" si="1"/>
        <v>5.0473675493483541E-2</v>
      </c>
      <c r="H29" s="207">
        <f t="shared" si="2"/>
        <v>1.6239400353273394</v>
      </c>
      <c r="I29" s="207">
        <f t="shared" si="3"/>
        <v>0.5418493593672542</v>
      </c>
      <c r="J29" s="207">
        <f t="shared" si="4"/>
        <v>0.87984524520836449</v>
      </c>
      <c r="K29" s="207">
        <f t="shared" si="5"/>
        <v>28.308140919333919</v>
      </c>
      <c r="L29" s="208">
        <f t="shared" si="6"/>
        <v>29.932080954661259</v>
      </c>
      <c r="M29" s="17"/>
    </row>
    <row r="30" spans="1:17">
      <c r="A30" s="191">
        <v>55.4</v>
      </c>
      <c r="B30" s="192">
        <v>623.28049967999993</v>
      </c>
      <c r="C30" s="193">
        <v>1.6176544856000001</v>
      </c>
      <c r="D30" s="194">
        <v>0.24453885945439999</v>
      </c>
      <c r="E30" s="50"/>
      <c r="F30" s="206">
        <f t="shared" si="0"/>
        <v>0.20963457199382843</v>
      </c>
      <c r="G30" s="207">
        <f t="shared" si="1"/>
        <v>5.1263799137582104E-2</v>
      </c>
      <c r="H30" s="207">
        <f t="shared" si="2"/>
        <v>1.6493614734525666</v>
      </c>
      <c r="I30" s="207">
        <f t="shared" si="3"/>
        <v>0.5418493593672542</v>
      </c>
      <c r="J30" s="207">
        <f t="shared" si="4"/>
        <v>0.87652504669992526</v>
      </c>
      <c r="K30" s="207">
        <f t="shared" si="5"/>
        <v>28.201316852523394</v>
      </c>
      <c r="L30" s="208">
        <f t="shared" si="6"/>
        <v>29.850678325975959</v>
      </c>
      <c r="M30" s="17"/>
    </row>
    <row r="31" spans="1:17">
      <c r="A31" s="191">
        <v>56.3</v>
      </c>
      <c r="B31" s="192">
        <v>630.66438426000002</v>
      </c>
      <c r="C31" s="193">
        <v>1.6114590438399998</v>
      </c>
      <c r="D31" s="194">
        <v>0.24838222590720002</v>
      </c>
      <c r="E31" s="50"/>
      <c r="F31" s="206">
        <f t="shared" si="0"/>
        <v>0.20963457199382843</v>
      </c>
      <c r="G31" s="207">
        <f t="shared" si="1"/>
        <v>5.2069501618930279E-2</v>
      </c>
      <c r="H31" s="207">
        <f t="shared" si="2"/>
        <v>1.6752841450874627</v>
      </c>
      <c r="I31" s="207">
        <f t="shared" si="3"/>
        <v>0.5418493593672542</v>
      </c>
      <c r="J31" s="207">
        <f t="shared" si="4"/>
        <v>0.87316805055127189</v>
      </c>
      <c r="K31" s="207">
        <f t="shared" si="5"/>
        <v>28.093308858436622</v>
      </c>
      <c r="L31" s="208">
        <f t="shared" si="6"/>
        <v>29.768593003524085</v>
      </c>
      <c r="M31" s="17"/>
    </row>
    <row r="32" spans="1:17">
      <c r="A32" s="191">
        <v>57.2</v>
      </c>
      <c r="B32" s="192">
        <v>638.11353594000002</v>
      </c>
      <c r="C32" s="193">
        <v>1.60519375056</v>
      </c>
      <c r="D32" s="194">
        <v>0.25230250664479997</v>
      </c>
      <c r="E32" s="50"/>
      <c r="F32" s="206">
        <f t="shared" si="0"/>
        <v>0.20963457199382843</v>
      </c>
      <c r="G32" s="207">
        <f t="shared" si="1"/>
        <v>5.2891327993452697E-2</v>
      </c>
      <c r="H32" s="207">
        <f t="shared" si="2"/>
        <v>1.701725586861347</v>
      </c>
      <c r="I32" s="207">
        <f t="shared" si="3"/>
        <v>0.5418493593672542</v>
      </c>
      <c r="J32" s="207">
        <f t="shared" si="4"/>
        <v>0.86977320540125602</v>
      </c>
      <c r="K32" s="207">
        <f t="shared" si="5"/>
        <v>27.984083110580009</v>
      </c>
      <c r="L32" s="208">
        <f t="shared" si="6"/>
        <v>29.685808697441356</v>
      </c>
      <c r="M32" s="17"/>
    </row>
    <row r="33" spans="1:14">
      <c r="A33" s="191">
        <v>58.1</v>
      </c>
      <c r="B33" s="192">
        <v>645.62795472000005</v>
      </c>
      <c r="C33" s="193">
        <v>1.5988547251199998</v>
      </c>
      <c r="D33" s="194">
        <v>0.25630243751839998</v>
      </c>
      <c r="E33" s="50"/>
      <c r="F33" s="206">
        <f t="shared" si="0"/>
        <v>0.20963457199382843</v>
      </c>
      <c r="G33" s="207">
        <f t="shared" si="1"/>
        <v>5.3729851790144736E-2</v>
      </c>
      <c r="H33" s="207">
        <f t="shared" si="2"/>
        <v>1.7287042514961166</v>
      </c>
      <c r="I33" s="207">
        <f t="shared" si="3"/>
        <v>0.5418493593672542</v>
      </c>
      <c r="J33" s="207">
        <f t="shared" si="4"/>
        <v>0.86633840852757926</v>
      </c>
      <c r="K33" s="207">
        <f t="shared" si="5"/>
        <v>27.873571955966334</v>
      </c>
      <c r="L33" s="208">
        <f t="shared" si="6"/>
        <v>29.602276207462449</v>
      </c>
      <c r="M33" s="17"/>
    </row>
    <row r="34" spans="1:14">
      <c r="A34" s="191">
        <v>59</v>
      </c>
      <c r="B34" s="192">
        <v>653.21054135999998</v>
      </c>
      <c r="C34" s="193">
        <v>1.5924400272000001</v>
      </c>
      <c r="D34" s="194">
        <v>0.26038490960479999</v>
      </c>
      <c r="E34" s="50"/>
      <c r="F34" s="206">
        <f t="shared" si="0"/>
        <v>0.20963457199382843</v>
      </c>
      <c r="G34" s="207">
        <f t="shared" si="1"/>
        <v>5.4585679078653949E-2</v>
      </c>
      <c r="H34" s="207">
        <f t="shared" si="2"/>
        <v>1.7562396386766121</v>
      </c>
      <c r="I34" s="207">
        <f t="shared" si="3"/>
        <v>0.5418493593672542</v>
      </c>
      <c r="J34" s="207">
        <f t="shared" si="4"/>
        <v>0.86286260856909291</v>
      </c>
      <c r="K34" s="207">
        <f t="shared" si="5"/>
        <v>27.761741568101996</v>
      </c>
      <c r="L34" s="208">
        <f t="shared" si="6"/>
        <v>29.517981206778607</v>
      </c>
      <c r="M34" s="17"/>
    </row>
    <row r="35" spans="1:14">
      <c r="A35" s="191">
        <v>59.9</v>
      </c>
      <c r="B35" s="192">
        <v>660.85839510000005</v>
      </c>
      <c r="C35" s="193">
        <v>1.58594577616</v>
      </c>
      <c r="D35" s="194">
        <v>0.26455302741599995</v>
      </c>
      <c r="E35" s="50"/>
      <c r="F35" s="206">
        <f t="shared" si="0"/>
        <v>0.20963457199382843</v>
      </c>
      <c r="G35" s="207">
        <f t="shared" si="1"/>
        <v>5.5459460672024709E-2</v>
      </c>
      <c r="H35" s="207">
        <f t="shared" si="2"/>
        <v>1.7843526876617231</v>
      </c>
      <c r="I35" s="207">
        <f t="shared" si="3"/>
        <v>0.5418493593672542</v>
      </c>
      <c r="J35" s="207">
        <f t="shared" si="4"/>
        <v>0.8593437028034987</v>
      </c>
      <c r="K35" s="207">
        <f t="shared" si="5"/>
        <v>27.648524293999767</v>
      </c>
      <c r="L35" s="208">
        <f t="shared" si="6"/>
        <v>29.43287698166149</v>
      </c>
      <c r="M35" s="17"/>
    </row>
    <row r="36" spans="1:14">
      <c r="A36" s="191">
        <v>60.8</v>
      </c>
      <c r="B36" s="192">
        <v>668.57586708000008</v>
      </c>
      <c r="C36" s="193">
        <v>1.5793700316800001</v>
      </c>
      <c r="D36" s="194">
        <v>0.2688100700928</v>
      </c>
      <c r="E36" s="50"/>
      <c r="F36" s="206">
        <f t="shared" si="0"/>
        <v>0.20963457199382843</v>
      </c>
      <c r="G36" s="207">
        <f t="shared" si="1"/>
        <v>5.6351883991535151E-2</v>
      </c>
      <c r="H36" s="207">
        <f t="shared" si="2"/>
        <v>1.8130655155436519</v>
      </c>
      <c r="I36" s="207">
        <f t="shared" si="3"/>
        <v>0.5418493593672542</v>
      </c>
      <c r="J36" s="207">
        <f t="shared" si="4"/>
        <v>0.85578063986964803</v>
      </c>
      <c r="K36" s="207">
        <f t="shared" si="5"/>
        <v>27.533886307166057</v>
      </c>
      <c r="L36" s="208">
        <f t="shared" si="6"/>
        <v>29.346951822709709</v>
      </c>
      <c r="M36" s="17"/>
    </row>
    <row r="37" spans="1:14">
      <c r="A37" s="191">
        <v>61.7</v>
      </c>
      <c r="B37" s="192">
        <v>676.36005653999996</v>
      </c>
      <c r="C37" s="193">
        <v>1.5727089131200001</v>
      </c>
      <c r="D37" s="194">
        <v>0.27315953021120004</v>
      </c>
      <c r="E37" s="50"/>
      <c r="F37" s="206">
        <f t="shared" si="0"/>
        <v>0.20963457199382843</v>
      </c>
      <c r="G37" s="207">
        <f t="shared" si="1"/>
        <v>5.7263681201860164E-2</v>
      </c>
      <c r="H37" s="207">
        <f t="shared" si="2"/>
        <v>1.8424016789886488</v>
      </c>
      <c r="I37" s="207">
        <f t="shared" si="3"/>
        <v>0.5418493593672542</v>
      </c>
      <c r="J37" s="207">
        <f t="shared" si="4"/>
        <v>0.85217131704524263</v>
      </c>
      <c r="K37" s="207">
        <f t="shared" si="5"/>
        <v>27.417759954613636</v>
      </c>
      <c r="L37" s="208">
        <f t="shared" si="6"/>
        <v>29.260161633602284</v>
      </c>
      <c r="M37" s="17"/>
    </row>
    <row r="38" spans="1:14">
      <c r="A38" s="191">
        <v>62.6</v>
      </c>
      <c r="B38" s="192">
        <v>684.21241385999997</v>
      </c>
      <c r="C38" s="193">
        <v>1.56595853984</v>
      </c>
      <c r="D38" s="194">
        <v>0.27760515258880003</v>
      </c>
      <c r="E38" s="50"/>
      <c r="F38" s="206">
        <f t="shared" si="0"/>
        <v>0.20963457199382843</v>
      </c>
      <c r="G38" s="207">
        <f t="shared" si="1"/>
        <v>5.8195637346234529E-2</v>
      </c>
      <c r="H38" s="207">
        <f t="shared" si="2"/>
        <v>1.8723864359777498</v>
      </c>
      <c r="I38" s="207">
        <f t="shared" si="3"/>
        <v>0.5418493593672542</v>
      </c>
      <c r="J38" s="207">
        <f t="shared" si="4"/>
        <v>0.84851363160798476</v>
      </c>
      <c r="K38" s="207">
        <f t="shared" si="5"/>
        <v>27.3000775833553</v>
      </c>
      <c r="L38" s="208">
        <f t="shared" si="6"/>
        <v>29.172464019333049</v>
      </c>
      <c r="M38" s="50"/>
    </row>
    <row r="39" spans="1:14">
      <c r="A39" s="191">
        <v>63.5</v>
      </c>
      <c r="B39" s="192">
        <v>692.13438942000005</v>
      </c>
      <c r="C39" s="193">
        <v>1.5591150311999999</v>
      </c>
      <c r="D39" s="194">
        <v>0.28215091488159999</v>
      </c>
      <c r="E39" s="50"/>
      <c r="F39" s="206">
        <f t="shared" si="0"/>
        <v>0.20963457199382843</v>
      </c>
      <c r="G39" s="207">
        <f t="shared" si="1"/>
        <v>5.9148586278871332E-2</v>
      </c>
      <c r="H39" s="207">
        <f t="shared" si="2"/>
        <v>1.9030466149364063</v>
      </c>
      <c r="I39" s="207">
        <f t="shared" si="3"/>
        <v>0.5418493593672542</v>
      </c>
      <c r="J39" s="207">
        <f t="shared" si="4"/>
        <v>0.84480548083557649</v>
      </c>
      <c r="K39" s="207">
        <f t="shared" si="5"/>
        <v>27.180771540403839</v>
      </c>
      <c r="L39" s="208">
        <f t="shared" si="6"/>
        <v>29.083818155340246</v>
      </c>
      <c r="M39" s="50"/>
    </row>
    <row r="40" spans="1:14">
      <c r="A40" s="191">
        <v>64.400000000000006</v>
      </c>
      <c r="B40" s="192">
        <v>700.12743360000002</v>
      </c>
      <c r="C40" s="193">
        <v>1.5521764468799999</v>
      </c>
      <c r="D40" s="194">
        <v>0.28680106639039998</v>
      </c>
      <c r="E40" s="50"/>
      <c r="F40" s="206">
        <f t="shared" si="0"/>
        <v>0.20963457199382843</v>
      </c>
      <c r="G40" s="207">
        <f t="shared" si="1"/>
        <v>6.0123418800125075E-2</v>
      </c>
      <c r="H40" s="207">
        <f t="shared" si="2"/>
        <v>1.9344108764752241</v>
      </c>
      <c r="I40" s="207">
        <f t="shared" si="3"/>
        <v>0.5418493593672542</v>
      </c>
      <c r="J40" s="207">
        <f t="shared" si="4"/>
        <v>0.84104581336686879</v>
      </c>
      <c r="K40" s="207">
        <f t="shared" si="5"/>
        <v>27.059807999265637</v>
      </c>
      <c r="L40" s="208">
        <f t="shared" si="6"/>
        <v>28.994218875740859</v>
      </c>
      <c r="M40" s="50"/>
    </row>
    <row r="41" spans="1:14">
      <c r="A41" s="191">
        <v>65.3</v>
      </c>
      <c r="B41" s="192">
        <v>708.18864564</v>
      </c>
      <c r="C41" s="193">
        <v>1.5451350256</v>
      </c>
      <c r="D41" s="194">
        <v>0.29156020567359997</v>
      </c>
      <c r="E41" s="50"/>
      <c r="F41" s="206">
        <f t="shared" si="0"/>
        <v>0.20963457199382843</v>
      </c>
      <c r="G41" s="207">
        <f t="shared" si="1"/>
        <v>6.1121098926817718E-2</v>
      </c>
      <c r="H41" s="207">
        <f t="shared" si="2"/>
        <v>1.9665102368714333</v>
      </c>
      <c r="I41" s="207">
        <f t="shared" si="3"/>
        <v>0.5418493593672542</v>
      </c>
      <c r="J41" s="207">
        <f t="shared" si="4"/>
        <v>0.83723042375726597</v>
      </c>
      <c r="K41" s="207">
        <f t="shared" si="5"/>
        <v>26.937051653966275</v>
      </c>
      <c r="L41" s="208">
        <f t="shared" si="6"/>
        <v>28.903561890837707</v>
      </c>
      <c r="M41" s="50"/>
    </row>
    <row r="42" spans="1:14">
      <c r="A42" s="191">
        <v>66.2</v>
      </c>
      <c r="B42" s="192">
        <v>716.32237667999993</v>
      </c>
      <c r="C42" s="193">
        <v>1.5379868867199999</v>
      </c>
      <c r="D42" s="194">
        <v>0.29643326114399998</v>
      </c>
      <c r="E42" s="50"/>
      <c r="F42" s="206">
        <f t="shared" si="0"/>
        <v>0.20963457199382843</v>
      </c>
      <c r="G42" s="207">
        <f t="shared" si="1"/>
        <v>6.2142659824657207E-2</v>
      </c>
      <c r="H42" s="207">
        <f t="shared" si="2"/>
        <v>1.999377937198521</v>
      </c>
      <c r="I42" s="207">
        <f t="shared" si="3"/>
        <v>0.5418493593672542</v>
      </c>
      <c r="J42" s="207">
        <f t="shared" si="4"/>
        <v>0.83335720928446977</v>
      </c>
      <c r="K42" s="207">
        <f t="shared" si="5"/>
        <v>26.812434851518528</v>
      </c>
      <c r="L42" s="208">
        <f t="shared" si="6"/>
        <v>28.811812788717049</v>
      </c>
      <c r="M42" s="184"/>
    </row>
    <row r="43" spans="1:14">
      <c r="A43" s="191">
        <v>67.099999999999994</v>
      </c>
      <c r="B43" s="192">
        <v>724.52862672000003</v>
      </c>
      <c r="C43" s="193">
        <v>1.5307281495999998</v>
      </c>
      <c r="D43" s="194">
        <v>0.301425510472</v>
      </c>
      <c r="E43" s="50"/>
      <c r="F43" s="206">
        <f t="shared" si="0"/>
        <v>0.20963457199382843</v>
      </c>
      <c r="G43" s="207">
        <f t="shared" si="1"/>
        <v>6.318920787581897E-2</v>
      </c>
      <c r="H43" s="207">
        <f t="shared" si="2"/>
        <v>2.0330495741965997</v>
      </c>
      <c r="I43" s="207">
        <f t="shared" si="3"/>
        <v>0.5418493593672542</v>
      </c>
      <c r="J43" s="207">
        <f t="shared" si="4"/>
        <v>0.82942406722618234</v>
      </c>
      <c r="K43" s="207">
        <f t="shared" si="5"/>
        <v>26.68588993893519</v>
      </c>
      <c r="L43" s="208">
        <f t="shared" si="6"/>
        <v>28.71893951313179</v>
      </c>
      <c r="M43" s="184"/>
    </row>
    <row r="44" spans="1:14">
      <c r="A44" s="191">
        <v>68</v>
      </c>
      <c r="B44" s="192">
        <v>732.80594538000003</v>
      </c>
      <c r="C44" s="193">
        <v>1.5233529932800001</v>
      </c>
      <c r="D44" s="194">
        <v>0.30654265819839999</v>
      </c>
      <c r="E44" s="50"/>
      <c r="F44" s="206">
        <f t="shared" si="0"/>
        <v>0.20963457199382843</v>
      </c>
      <c r="G44" s="207">
        <f t="shared" si="1"/>
        <v>6.4261938949272027E-2</v>
      </c>
      <c r="H44" s="207">
        <f t="shared" si="2"/>
        <v>2.0675636237538781</v>
      </c>
      <c r="I44" s="207">
        <f t="shared" si="3"/>
        <v>0.5418493593672542</v>
      </c>
      <c r="J44" s="207">
        <f t="shared" si="4"/>
        <v>0.82542784349895715</v>
      </c>
      <c r="K44" s="207">
        <f t="shared" si="5"/>
        <v>26.557315436735447</v>
      </c>
      <c r="L44" s="208">
        <f t="shared" si="6"/>
        <v>28.624879060489324</v>
      </c>
      <c r="M44" s="50"/>
    </row>
    <row r="45" spans="1:14">
      <c r="A45" s="191">
        <v>68.900000000000006</v>
      </c>
      <c r="B45" s="192">
        <v>741.15723342000001</v>
      </c>
      <c r="C45" s="193">
        <v>1.51585365648</v>
      </c>
      <c r="D45" s="194">
        <v>0.31179093275039999</v>
      </c>
      <c r="E45" s="50"/>
      <c r="F45" s="206">
        <f t="shared" si="0"/>
        <v>0.20963457199382843</v>
      </c>
      <c r="G45" s="207">
        <f t="shared" si="1"/>
        <v>6.5362158738686643E-2</v>
      </c>
      <c r="H45" s="207">
        <f t="shared" si="2"/>
        <v>2.102962095258504</v>
      </c>
      <c r="I45" s="207">
        <f t="shared" si="3"/>
        <v>0.5418493593672542</v>
      </c>
      <c r="J45" s="207">
        <f t="shared" si="4"/>
        <v>0.82136433265819786</v>
      </c>
      <c r="K45" s="207">
        <f t="shared" si="5"/>
        <v>26.426576038944859</v>
      </c>
      <c r="L45" s="208">
        <f t="shared" si="6"/>
        <v>28.529538134203364</v>
      </c>
      <c r="M45" s="50"/>
    </row>
    <row r="46" spans="1:14">
      <c r="A46" s="191">
        <v>69.8</v>
      </c>
      <c r="B46" s="192">
        <v>749.58104045999994</v>
      </c>
      <c r="C46" s="193">
        <v>1.5082262585599999</v>
      </c>
      <c r="D46" s="194">
        <v>0.31717698942559996</v>
      </c>
      <c r="E46" s="50"/>
      <c r="F46" s="206">
        <f t="shared" si="0"/>
        <v>0.20963457199382843</v>
      </c>
      <c r="G46" s="207">
        <f t="shared" si="1"/>
        <v>6.6491262424526687E-2</v>
      </c>
      <c r="H46" s="207">
        <f t="shared" si="2"/>
        <v>2.1392898772467217</v>
      </c>
      <c r="I46" s="207">
        <f t="shared" si="3"/>
        <v>0.5418493593672542</v>
      </c>
      <c r="J46" s="207">
        <f t="shared" si="4"/>
        <v>0.81723143198160664</v>
      </c>
      <c r="K46" s="207">
        <f t="shared" si="5"/>
        <v>26.29360409257621</v>
      </c>
      <c r="L46" s="208">
        <f t="shared" si="6"/>
        <v>28.432893969822931</v>
      </c>
      <c r="M46" s="50"/>
    </row>
    <row r="47" spans="1:14">
      <c r="A47" s="195">
        <v>70</v>
      </c>
      <c r="B47" s="196">
        <f>B46+(((B48-B46)/($A$48-$A$46))*($A$47-$A$46))</f>
        <v>751.46975752666663</v>
      </c>
      <c r="C47" s="197">
        <f>C46+(((C48-C46)/($A$48-$A$46))*($A$47-$A$46))</f>
        <v>1.5065010984888887</v>
      </c>
      <c r="D47" s="198">
        <f>D46+(((D48-D46)/($A$48-$A$46))*($A$47-$A$46))</f>
        <v>0.31840613902737774</v>
      </c>
      <c r="E47" s="47"/>
      <c r="F47" s="206">
        <f t="shared" si="0"/>
        <v>0.20963457199382843</v>
      </c>
      <c r="G47" s="207">
        <f t="shared" si="1"/>
        <v>6.6748934675211757E-2</v>
      </c>
      <c r="H47" s="207">
        <f t="shared" si="2"/>
        <v>2.1475802242402628</v>
      </c>
      <c r="I47" s="207">
        <f t="shared" si="3"/>
        <v>0.5418493593672542</v>
      </c>
      <c r="J47" s="207">
        <f t="shared" si="4"/>
        <v>0.81629665510226901</v>
      </c>
      <c r="K47" s="207">
        <f t="shared" si="5"/>
        <v>26.263528581260402</v>
      </c>
      <c r="L47" s="208">
        <f t="shared" si="6"/>
        <v>28.411108805500664</v>
      </c>
      <c r="M47" s="50"/>
      <c r="N47" s="49"/>
    </row>
    <row r="48" spans="1:14">
      <c r="A48" s="191">
        <v>70.7</v>
      </c>
      <c r="B48" s="192">
        <v>758.08026725999991</v>
      </c>
      <c r="C48" s="193">
        <v>1.5004630382399999</v>
      </c>
      <c r="D48" s="194">
        <v>0.32270816263359997</v>
      </c>
      <c r="E48" s="50"/>
      <c r="F48" s="206">
        <f t="shared" si="0"/>
        <v>0.20963457199382843</v>
      </c>
      <c r="G48" s="207">
        <f t="shared" si="1"/>
        <v>6.7650787552609504E-2</v>
      </c>
      <c r="H48" s="207">
        <f t="shared" si="2"/>
        <v>2.1765964387176582</v>
      </c>
      <c r="I48" s="207">
        <f t="shared" si="3"/>
        <v>0.5418493593672542</v>
      </c>
      <c r="J48" s="207">
        <f t="shared" si="4"/>
        <v>0.81302493602458781</v>
      </c>
      <c r="K48" s="207">
        <f t="shared" si="5"/>
        <v>26.158264291655087</v>
      </c>
      <c r="L48" s="208">
        <f t="shared" si="6"/>
        <v>28.334860730372746</v>
      </c>
      <c r="M48" s="50"/>
    </row>
    <row r="49" spans="1:14">
      <c r="A49" s="191">
        <v>71.599999999999994</v>
      </c>
      <c r="B49" s="192">
        <v>766.65491381999993</v>
      </c>
      <c r="C49" s="193">
        <v>1.4925542939199998</v>
      </c>
      <c r="D49" s="194">
        <v>0.32839236888000001</v>
      </c>
      <c r="E49" s="50"/>
      <c r="F49" s="206">
        <f t="shared" si="0"/>
        <v>0.20963457199382843</v>
      </c>
      <c r="G49" s="207">
        <f t="shared" si="1"/>
        <v>6.8842393696198226E-2</v>
      </c>
      <c r="H49" s="207">
        <f t="shared" si="2"/>
        <v>2.2149351747814818</v>
      </c>
      <c r="I49" s="207">
        <f t="shared" si="3"/>
        <v>0.5418493593672542</v>
      </c>
      <c r="J49" s="207">
        <f t="shared" si="4"/>
        <v>0.80873958798139634</v>
      </c>
      <c r="K49" s="207">
        <f t="shared" si="5"/>
        <v>26.020387503713444</v>
      </c>
      <c r="L49" s="208">
        <f t="shared" si="6"/>
        <v>28.235322678494924</v>
      </c>
      <c r="M49" s="50"/>
    </row>
    <row r="50" spans="1:14">
      <c r="A50" s="191">
        <v>72.5</v>
      </c>
      <c r="B50" s="192">
        <v>775.30498014</v>
      </c>
      <c r="C50" s="193">
        <v>1.48449226432</v>
      </c>
      <c r="D50" s="194">
        <v>0.33423830079839995</v>
      </c>
      <c r="E50" s="50"/>
      <c r="F50" s="206">
        <f t="shared" si="0"/>
        <v>0.20963457199382843</v>
      </c>
      <c r="G50" s="207">
        <f t="shared" si="1"/>
        <v>7.0067903131817058E-2</v>
      </c>
      <c r="H50" s="207">
        <f t="shared" si="2"/>
        <v>2.2543647153630819</v>
      </c>
      <c r="I50" s="207">
        <f t="shared" si="3"/>
        <v>0.5418493593672542</v>
      </c>
      <c r="J50" s="207">
        <f t="shared" si="4"/>
        <v>0.80437118240743666</v>
      </c>
      <c r="K50" s="207">
        <f t="shared" si="5"/>
        <v>25.879838422776867</v>
      </c>
      <c r="L50" s="208">
        <f t="shared" si="6"/>
        <v>28.134203138139949</v>
      </c>
      <c r="M50" s="50"/>
    </row>
    <row r="51" spans="1:14">
      <c r="A51" s="191">
        <v>73.400000000000006</v>
      </c>
      <c r="B51" s="192">
        <v>784.03191660000005</v>
      </c>
      <c r="C51" s="193">
        <v>1.4762691881599999</v>
      </c>
      <c r="D51" s="194">
        <v>0.34025552416639998</v>
      </c>
      <c r="E51" s="50"/>
      <c r="F51" s="206">
        <f t="shared" si="0"/>
        <v>0.20963457199382843</v>
      </c>
      <c r="G51" s="207">
        <f t="shared" si="1"/>
        <v>7.1329321177159011E-2</v>
      </c>
      <c r="H51" s="207">
        <f t="shared" si="2"/>
        <v>2.2949495795539141</v>
      </c>
      <c r="I51" s="207">
        <f t="shared" si="3"/>
        <v>0.5418493593672542</v>
      </c>
      <c r="J51" s="207">
        <f t="shared" si="4"/>
        <v>0.79991551385811233</v>
      </c>
      <c r="K51" s="207">
        <f t="shared" si="5"/>
        <v>25.736481742870904</v>
      </c>
      <c r="L51" s="208">
        <f t="shared" si="6"/>
        <v>28.031431322424819</v>
      </c>
      <c r="M51" s="50"/>
    </row>
    <row r="52" spans="1:14">
      <c r="A52" s="191">
        <v>74.3</v>
      </c>
      <c r="B52" s="192">
        <v>792.83572320000007</v>
      </c>
      <c r="C52" s="193">
        <v>1.4678734235199999</v>
      </c>
      <c r="D52" s="194">
        <v>0.34645449730880001</v>
      </c>
      <c r="E52" s="50"/>
      <c r="F52" s="206">
        <f t="shared" si="0"/>
        <v>0.20963457199382843</v>
      </c>
      <c r="G52" s="207">
        <f t="shared" si="1"/>
        <v>7.2628840258667268E-2</v>
      </c>
      <c r="H52" s="207">
        <f t="shared" si="2"/>
        <v>2.3367603064823608</v>
      </c>
      <c r="I52" s="207">
        <f t="shared" si="3"/>
        <v>0.5418493593672542</v>
      </c>
      <c r="J52" s="207">
        <f t="shared" si="4"/>
        <v>0.79536627416653016</v>
      </c>
      <c r="K52" s="207">
        <f t="shared" si="5"/>
        <v>25.590114505033942</v>
      </c>
      <c r="L52" s="208">
        <f t="shared" si="6"/>
        <v>27.926874811516303</v>
      </c>
      <c r="M52" s="50"/>
    </row>
    <row r="53" spans="1:14" ht="15.75" thickBot="1">
      <c r="A53" s="195">
        <v>75</v>
      </c>
      <c r="B53" s="196">
        <f>B52+(((B54-B52)/($A$54-$A$52))*($A$53-$A$52))</f>
        <v>799.74517236666668</v>
      </c>
      <c r="C53" s="197">
        <f t="shared" ref="C53:D53" si="7">C52+(((C54-C52)/($A$54-$A$52))*($A$53-$A$52))</f>
        <v>1.4612000162666667</v>
      </c>
      <c r="D53" s="198">
        <f t="shared" si="7"/>
        <v>0.35142632153493331</v>
      </c>
      <c r="E53" s="47"/>
      <c r="F53" s="209">
        <f t="shared" si="0"/>
        <v>0.20963457199382843</v>
      </c>
      <c r="G53" s="210">
        <f t="shared" si="1"/>
        <v>7.367110650234128E-2</v>
      </c>
      <c r="H53" s="210">
        <f t="shared" si="2"/>
        <v>2.3702941806063285</v>
      </c>
      <c r="I53" s="210">
        <f t="shared" si="3"/>
        <v>0.5418493593672542</v>
      </c>
      <c r="J53" s="210">
        <f t="shared" si="4"/>
        <v>0.79175029272151476</v>
      </c>
      <c r="K53" s="210">
        <f t="shared" si="5"/>
        <v>25.473773918022015</v>
      </c>
      <c r="L53" s="211">
        <f t="shared" si="6"/>
        <v>27.844068098628345</v>
      </c>
      <c r="M53" s="50"/>
      <c r="N53" s="40"/>
    </row>
    <row r="54" spans="1:14">
      <c r="A54" s="191">
        <v>75.2</v>
      </c>
      <c r="B54" s="192">
        <v>801.71930069999996</v>
      </c>
      <c r="C54" s="193">
        <v>1.45929332848</v>
      </c>
      <c r="D54" s="194">
        <v>0.35284684274239997</v>
      </c>
      <c r="E54" s="50"/>
      <c r="F54" s="50"/>
      <c r="G54" s="50"/>
      <c r="H54" s="50"/>
      <c r="I54" s="50"/>
      <c r="J54" s="50"/>
      <c r="K54" s="50"/>
      <c r="L54" s="50"/>
      <c r="M54" s="17"/>
    </row>
    <row r="55" spans="1:14">
      <c r="A55" s="191">
        <v>76.099999999999994</v>
      </c>
      <c r="B55" s="192">
        <v>810.68264910000005</v>
      </c>
      <c r="C55" s="193">
        <v>1.4505153208000001</v>
      </c>
      <c r="D55" s="194">
        <v>0.35944542478879998</v>
      </c>
      <c r="E55" s="50"/>
      <c r="F55" s="50"/>
      <c r="G55" s="50"/>
      <c r="H55" s="50"/>
      <c r="I55" s="50"/>
      <c r="J55" s="50"/>
      <c r="K55" s="50"/>
      <c r="L55" s="50"/>
      <c r="M55" s="17"/>
    </row>
    <row r="56" spans="1:14">
      <c r="A56" s="191">
        <v>77</v>
      </c>
      <c r="B56" s="192">
        <v>819.72576839999999</v>
      </c>
      <c r="C56" s="193">
        <v>1.4415277585599999</v>
      </c>
      <c r="D56" s="194">
        <v>0.36626458241279997</v>
      </c>
      <c r="E56" s="50"/>
      <c r="F56" s="50"/>
      <c r="G56" s="50"/>
      <c r="H56" s="50"/>
      <c r="I56" s="50"/>
      <c r="J56" s="50"/>
      <c r="K56" s="50"/>
      <c r="L56" s="50"/>
      <c r="M56" s="17"/>
    </row>
    <row r="57" spans="1:14">
      <c r="A57" s="191">
        <v>77.900000000000006</v>
      </c>
      <c r="B57" s="192">
        <v>828.85010898000007</v>
      </c>
      <c r="C57" s="193">
        <v>1.4323131788799999</v>
      </c>
      <c r="D57" s="194">
        <v>0.37332036206079999</v>
      </c>
      <c r="E57" s="50"/>
      <c r="F57" s="50"/>
      <c r="G57" s="50"/>
      <c r="H57" s="50"/>
      <c r="I57" s="50"/>
      <c r="J57" s="50"/>
      <c r="K57" s="50"/>
      <c r="L57" s="50"/>
      <c r="M57" s="17"/>
    </row>
    <row r="58" spans="1:14">
      <c r="A58" s="191">
        <v>78.8</v>
      </c>
      <c r="B58" s="192">
        <v>838.05712122</v>
      </c>
      <c r="C58" s="193">
        <v>1.4228541188799999</v>
      </c>
      <c r="D58" s="194">
        <v>0.38063080870880001</v>
      </c>
      <c r="E58" s="50"/>
      <c r="F58" s="50"/>
      <c r="G58" s="50"/>
      <c r="H58" s="50"/>
      <c r="I58" s="50"/>
      <c r="J58" s="50"/>
      <c r="K58" s="50"/>
      <c r="L58" s="50"/>
      <c r="M58" s="17"/>
    </row>
    <row r="59" spans="1:14">
      <c r="A59" s="191">
        <v>79.7</v>
      </c>
      <c r="B59" s="192">
        <v>847.34825549999994</v>
      </c>
      <c r="C59" s="193">
        <v>1.41312923504</v>
      </c>
      <c r="D59" s="194">
        <v>0.38821637332959996</v>
      </c>
      <c r="E59" s="50"/>
      <c r="F59" s="50"/>
      <c r="G59" s="50"/>
      <c r="H59" s="50"/>
      <c r="I59" s="50"/>
      <c r="J59" s="50"/>
      <c r="K59" s="50"/>
      <c r="L59" s="50"/>
      <c r="M59" s="17"/>
    </row>
    <row r="60" spans="1:14">
      <c r="A60" s="191">
        <v>80.599999999999994</v>
      </c>
      <c r="B60" s="192">
        <v>856.72351182</v>
      </c>
      <c r="C60" s="193">
        <v>1.4031171838399998</v>
      </c>
      <c r="D60" s="194">
        <v>0.3961002815536</v>
      </c>
      <c r="E60" s="50"/>
      <c r="F60" s="50"/>
      <c r="G60" s="50"/>
      <c r="H60" s="50"/>
      <c r="I60" s="50"/>
      <c r="J60" s="50"/>
      <c r="K60" s="50"/>
      <c r="L60" s="50"/>
      <c r="M60" s="17"/>
    </row>
    <row r="61" spans="1:14">
      <c r="A61" s="191">
        <v>81.5</v>
      </c>
      <c r="B61" s="192">
        <v>866.18579093999995</v>
      </c>
      <c r="C61" s="193">
        <v>1.3927888604799998</v>
      </c>
      <c r="D61" s="194">
        <v>0.40430919337760002</v>
      </c>
      <c r="E61" s="50"/>
      <c r="F61" s="50"/>
      <c r="G61" s="50"/>
      <c r="H61" s="50"/>
      <c r="I61" s="50"/>
      <c r="J61" s="50"/>
      <c r="K61" s="50"/>
      <c r="L61" s="50"/>
      <c r="M61" s="17"/>
    </row>
    <row r="62" spans="1:14">
      <c r="A62" s="191">
        <v>82.4</v>
      </c>
      <c r="B62" s="192">
        <v>875.73364248000007</v>
      </c>
      <c r="C62" s="193">
        <v>1.3821171004799999</v>
      </c>
      <c r="D62" s="194">
        <v>0.41287390167999999</v>
      </c>
      <c r="E62" s="50"/>
      <c r="F62" s="50"/>
      <c r="G62" s="50"/>
      <c r="H62" s="50"/>
      <c r="I62" s="50"/>
      <c r="J62" s="50"/>
      <c r="K62" s="50"/>
      <c r="L62" s="50"/>
      <c r="M62" s="17"/>
    </row>
    <row r="63" spans="1:14">
      <c r="A63" s="191">
        <v>83.3</v>
      </c>
      <c r="B63" s="192">
        <v>885.37141757999996</v>
      </c>
      <c r="C63" s="193">
        <v>1.37106309744</v>
      </c>
      <c r="D63" s="194">
        <v>0.42183024417120002</v>
      </c>
      <c r="E63" s="50"/>
      <c r="F63" s="50"/>
      <c r="G63" s="50"/>
      <c r="H63" s="50"/>
      <c r="I63" s="50"/>
      <c r="J63" s="50"/>
      <c r="K63" s="50"/>
      <c r="L63" s="50"/>
      <c r="M63" s="17"/>
    </row>
    <row r="64" spans="1:14">
      <c r="A64" s="191">
        <v>84.2</v>
      </c>
      <c r="B64" s="192">
        <v>895.10056662</v>
      </c>
      <c r="C64" s="193">
        <v>1.35958416432</v>
      </c>
      <c r="D64" s="194">
        <v>0.43122034519840002</v>
      </c>
      <c r="E64" s="50"/>
      <c r="F64" s="50"/>
      <c r="G64" s="50"/>
      <c r="H64" s="50"/>
      <c r="I64" s="50"/>
      <c r="J64" s="50"/>
      <c r="K64" s="50"/>
      <c r="L64" s="50"/>
      <c r="M64" s="17"/>
    </row>
    <row r="65" spans="1:14">
      <c r="A65" s="191">
        <v>85.1</v>
      </c>
      <c r="B65" s="192">
        <v>904.91963922000002</v>
      </c>
      <c r="C65" s="193">
        <v>1.3476317931200001</v>
      </c>
      <c r="D65" s="194">
        <v>0.44109424561439997</v>
      </c>
      <c r="E65" s="50"/>
      <c r="F65" s="50"/>
      <c r="G65" s="50"/>
      <c r="H65" s="50"/>
      <c r="I65" s="50"/>
      <c r="J65" s="50"/>
      <c r="K65" s="50"/>
      <c r="L65" s="50"/>
      <c r="M65" s="17"/>
    </row>
    <row r="66" spans="1:14">
      <c r="A66" s="191">
        <v>86</v>
      </c>
      <c r="B66" s="192">
        <v>914.83443690000001</v>
      </c>
      <c r="C66" s="193">
        <v>1.33514583392</v>
      </c>
      <c r="D66" s="194">
        <v>0.45151211474239994</v>
      </c>
      <c r="E66" s="50"/>
      <c r="F66" s="50"/>
      <c r="G66" s="50"/>
      <c r="H66" s="50"/>
      <c r="I66" s="50"/>
      <c r="J66" s="50"/>
      <c r="K66" s="50"/>
      <c r="L66" s="50"/>
      <c r="M66" s="17"/>
    </row>
    <row r="67" spans="1:14">
      <c r="A67" s="191">
        <v>86.9</v>
      </c>
      <c r="B67" s="192">
        <v>924.84350928000003</v>
      </c>
      <c r="C67" s="193">
        <v>1.3220506142399999</v>
      </c>
      <c r="D67" s="194">
        <v>0.4625472966784</v>
      </c>
      <c r="E67" s="50"/>
      <c r="F67" s="50"/>
      <c r="G67" s="50"/>
      <c r="H67" s="50"/>
      <c r="I67" s="50"/>
      <c r="J67" s="50"/>
      <c r="K67" s="50"/>
      <c r="L67" s="50"/>
      <c r="M67" s="17"/>
    </row>
    <row r="68" spans="1:14">
      <c r="A68" s="191">
        <v>87.8</v>
      </c>
      <c r="B68" s="192">
        <v>934.95120750000012</v>
      </c>
      <c r="C68" s="193">
        <v>1.30825687936</v>
      </c>
      <c r="D68" s="194">
        <v>0.47429065660800002</v>
      </c>
      <c r="E68" s="50"/>
      <c r="F68" s="50"/>
      <c r="G68" s="50"/>
      <c r="H68" s="50"/>
      <c r="I68" s="50"/>
      <c r="J68" s="50"/>
      <c r="K68" s="50"/>
      <c r="L68" s="50"/>
      <c r="M68" s="17"/>
    </row>
    <row r="69" spans="1:14">
      <c r="A69" s="191">
        <v>88.7</v>
      </c>
      <c r="B69" s="192">
        <v>945.16043231999993</v>
      </c>
      <c r="C69" s="193">
        <v>1.29364626976</v>
      </c>
      <c r="D69" s="194">
        <v>0.48685690624959999</v>
      </c>
      <c r="E69" s="50"/>
      <c r="F69" s="50"/>
      <c r="G69" s="50"/>
      <c r="H69" s="50"/>
      <c r="I69" s="50"/>
      <c r="J69" s="50"/>
      <c r="K69" s="50"/>
      <c r="L69" s="50"/>
      <c r="M69" s="17"/>
    </row>
    <row r="70" spans="1:14">
      <c r="A70" s="191">
        <v>89.6</v>
      </c>
      <c r="B70" s="192">
        <v>955.47118374000013</v>
      </c>
      <c r="C70" s="193">
        <v>1.2780693808000001</v>
      </c>
      <c r="D70" s="194">
        <v>0.50039415022879996</v>
      </c>
      <c r="E70" s="50"/>
      <c r="F70" s="50"/>
      <c r="G70" s="50"/>
      <c r="H70" s="50"/>
      <c r="I70" s="50"/>
      <c r="J70" s="50"/>
      <c r="K70" s="50"/>
      <c r="L70" s="50"/>
      <c r="M70" s="17"/>
    </row>
    <row r="71" spans="1:14">
      <c r="A71" s="191">
        <v>90.5</v>
      </c>
      <c r="B71" s="192">
        <v>965.88781289999997</v>
      </c>
      <c r="C71" s="193">
        <v>1.2613302401599999</v>
      </c>
      <c r="D71" s="194">
        <v>0.51509886534880001</v>
      </c>
      <c r="E71" s="50"/>
      <c r="F71" s="50"/>
      <c r="G71" s="50"/>
      <c r="H71" s="50"/>
      <c r="I71" s="50"/>
      <c r="J71" s="50"/>
      <c r="K71" s="50"/>
      <c r="L71" s="50"/>
      <c r="M71" s="17"/>
    </row>
    <row r="72" spans="1:14">
      <c r="A72" s="191">
        <v>91.4</v>
      </c>
      <c r="B72" s="192">
        <v>976.41612132</v>
      </c>
      <c r="C72" s="193">
        <v>1.24315138208</v>
      </c>
      <c r="D72" s="194">
        <v>0.53124065907359996</v>
      </c>
      <c r="E72" s="50"/>
      <c r="F72" s="50"/>
      <c r="G72" s="50"/>
      <c r="H72" s="50"/>
      <c r="I72" s="50"/>
      <c r="J72" s="50"/>
      <c r="K72" s="50"/>
      <c r="L72" s="50"/>
      <c r="M72" s="17"/>
    </row>
    <row r="73" spans="1:14">
      <c r="A73" s="191">
        <v>92.3</v>
      </c>
      <c r="B73" s="192">
        <v>987.05610900000011</v>
      </c>
      <c r="C73" s="193">
        <v>1.2231428022399999</v>
      </c>
      <c r="D73" s="194">
        <v>0.54920555806720006</v>
      </c>
      <c r="E73" s="50"/>
      <c r="F73" s="50"/>
      <c r="G73" s="50"/>
      <c r="H73" s="50"/>
      <c r="I73" s="50"/>
      <c r="J73" s="50"/>
      <c r="K73" s="50"/>
      <c r="L73" s="50"/>
      <c r="M73" s="17"/>
    </row>
    <row r="74" spans="1:14">
      <c r="A74" s="191">
        <v>93.2</v>
      </c>
      <c r="B74" s="192">
        <v>997.81792859999996</v>
      </c>
      <c r="C74" s="193">
        <v>1.20071076272</v>
      </c>
      <c r="D74" s="194">
        <v>0.56957841358399997</v>
      </c>
      <c r="E74" s="50"/>
      <c r="F74" s="50"/>
      <c r="G74" s="50"/>
      <c r="H74" s="50"/>
      <c r="I74" s="50"/>
      <c r="J74" s="50"/>
      <c r="K74" s="50"/>
      <c r="L74" s="50"/>
      <c r="M74" s="17"/>
    </row>
    <row r="75" spans="1:14">
      <c r="A75" s="191">
        <v>94.1</v>
      </c>
      <c r="B75" s="192">
        <v>1008.70448088</v>
      </c>
      <c r="C75" s="193">
        <v>1.1748812228800001</v>
      </c>
      <c r="D75" s="194">
        <v>0.59331624965759999</v>
      </c>
      <c r="E75" s="50"/>
      <c r="F75" s="50"/>
      <c r="G75" s="50"/>
      <c r="H75" s="50"/>
      <c r="I75" s="50"/>
      <c r="J75" s="50"/>
      <c r="K75" s="50"/>
      <c r="L75" s="50"/>
      <c r="M75" s="17"/>
    </row>
    <row r="76" spans="1:14">
      <c r="A76" s="191">
        <v>95</v>
      </c>
      <c r="B76" s="192">
        <v>1019.7259185</v>
      </c>
      <c r="C76" s="193">
        <v>1.143867148</v>
      </c>
      <c r="D76" s="194">
        <v>0.6221741633408</v>
      </c>
      <c r="E76" s="50"/>
      <c r="F76" s="50"/>
      <c r="G76" s="50"/>
      <c r="H76" s="50"/>
      <c r="I76" s="50"/>
      <c r="J76" s="50"/>
      <c r="K76" s="50"/>
      <c r="L76" s="50"/>
      <c r="M76" s="17"/>
    </row>
    <row r="77" spans="1:14">
      <c r="A77" s="191">
        <v>95.9</v>
      </c>
      <c r="B77" s="192">
        <v>1030.8938445000001</v>
      </c>
      <c r="C77" s="193">
        <v>1.1037122256</v>
      </c>
      <c r="D77" s="194">
        <v>0.66003374539039994</v>
      </c>
      <c r="E77" s="50"/>
      <c r="F77" s="50"/>
      <c r="G77" s="50"/>
      <c r="H77" s="50"/>
      <c r="I77" s="50"/>
      <c r="J77" s="50"/>
      <c r="K77" s="50"/>
      <c r="L77" s="50"/>
      <c r="M77" s="17"/>
    </row>
    <row r="78" spans="1:14">
      <c r="A78" s="191">
        <v>96.8</v>
      </c>
      <c r="B78" s="192">
        <v>1042.23146496</v>
      </c>
      <c r="C78" s="193">
        <v>1.04153273088</v>
      </c>
      <c r="D78" s="194">
        <v>0.7195324357888</v>
      </c>
      <c r="E78" s="50"/>
      <c r="F78" s="50"/>
      <c r="G78" s="50"/>
      <c r="H78" s="50"/>
      <c r="I78" s="50"/>
      <c r="J78" s="50"/>
      <c r="K78" s="50"/>
      <c r="L78" s="50"/>
      <c r="M78" s="17"/>
    </row>
    <row r="79" spans="1:14" ht="15.75" thickBot="1">
      <c r="A79" s="199">
        <v>97.47</v>
      </c>
      <c r="B79" s="200">
        <v>1050.8003100000001</v>
      </c>
      <c r="C79" s="201">
        <v>0.87704598352000007</v>
      </c>
      <c r="D79" s="202">
        <v>0.8770468760672</v>
      </c>
      <c r="E79" s="64"/>
      <c r="F79" s="64"/>
      <c r="G79" s="64"/>
      <c r="H79" s="64"/>
      <c r="I79" s="64"/>
      <c r="J79" s="64"/>
      <c r="K79" s="64"/>
      <c r="L79" s="64"/>
      <c r="M79" s="18"/>
      <c r="N79" s="22"/>
    </row>
    <row r="80" spans="1:14">
      <c r="A80" s="27"/>
    </row>
    <row r="81" spans="1:1">
      <c r="A81" s="29"/>
    </row>
    <row r="82" spans="1:1">
      <c r="A82" s="29"/>
    </row>
    <row r="83" spans="1:1">
      <c r="A83" s="29"/>
    </row>
    <row r="84" spans="1:1">
      <c r="A84" s="29"/>
    </row>
    <row r="85" spans="1:1">
      <c r="A85" s="29"/>
    </row>
    <row r="86" spans="1:1">
      <c r="A86" s="29"/>
    </row>
    <row r="87" spans="1:1">
      <c r="A87" s="29"/>
    </row>
    <row r="88" spans="1:1">
      <c r="A88" s="29"/>
    </row>
    <row r="89" spans="1:1">
      <c r="A89" s="29"/>
    </row>
    <row r="90" spans="1:1">
      <c r="A90" s="29"/>
    </row>
    <row r="91" spans="1:1">
      <c r="A91" s="29"/>
    </row>
    <row r="92" spans="1:1">
      <c r="A92" s="29"/>
    </row>
    <row r="93" spans="1:1">
      <c r="A93" s="29"/>
    </row>
    <row r="94" spans="1:1">
      <c r="A94" s="29"/>
    </row>
    <row r="95" spans="1:1">
      <c r="A95" s="29"/>
    </row>
    <row r="96" spans="1:1">
      <c r="A96" s="29"/>
    </row>
    <row r="97" spans="1:1">
      <c r="A97" s="29"/>
    </row>
    <row r="98" spans="1:1">
      <c r="A98" s="29"/>
    </row>
    <row r="99" spans="1:1">
      <c r="A99" s="29"/>
    </row>
    <row r="100" spans="1:1">
      <c r="A100" s="29"/>
    </row>
    <row r="101" spans="1:1">
      <c r="A101" s="29"/>
    </row>
    <row r="102" spans="1:1">
      <c r="A102" s="29"/>
    </row>
    <row r="103" spans="1:1">
      <c r="A103" s="29"/>
    </row>
    <row r="104" spans="1:1">
      <c r="A104" s="29"/>
    </row>
    <row r="105" spans="1:1">
      <c r="A105" s="29"/>
    </row>
    <row r="106" spans="1:1">
      <c r="A106" s="29"/>
    </row>
    <row r="107" spans="1:1">
      <c r="A107" s="29"/>
    </row>
    <row r="108" spans="1:1">
      <c r="A108" s="29"/>
    </row>
    <row r="109" spans="1:1">
      <c r="A109" s="29"/>
    </row>
    <row r="110" spans="1:1">
      <c r="A110" s="29"/>
    </row>
    <row r="111" spans="1:1">
      <c r="A111" s="29"/>
    </row>
    <row r="112" spans="1:1">
      <c r="A112" s="29"/>
    </row>
    <row r="113" spans="1:1">
      <c r="A113" s="29"/>
    </row>
    <row r="114" spans="1:1">
      <c r="A114" s="29"/>
    </row>
    <row r="115" spans="1:1">
      <c r="A115" s="29"/>
    </row>
    <row r="116" spans="1:1">
      <c r="A116" s="29"/>
    </row>
    <row r="117" spans="1:1">
      <c r="A117" s="29"/>
    </row>
    <row r="118" spans="1:1">
      <c r="A118" s="29"/>
    </row>
    <row r="119" spans="1:1">
      <c r="A119" s="29"/>
    </row>
    <row r="120" spans="1:1">
      <c r="A120" s="29"/>
    </row>
    <row r="121" spans="1:1">
      <c r="A121" s="29"/>
    </row>
    <row r="122" spans="1:1">
      <c r="A122" s="29"/>
    </row>
    <row r="123" spans="1:1">
      <c r="A123" s="29"/>
    </row>
    <row r="124" spans="1:1">
      <c r="A124" s="29"/>
    </row>
    <row r="125" spans="1:1">
      <c r="A125" s="29"/>
    </row>
    <row r="126" spans="1:1">
      <c r="A126" s="29"/>
    </row>
    <row r="127" spans="1:1">
      <c r="A127" s="29"/>
    </row>
    <row r="128" spans="1:1">
      <c r="A128" s="29"/>
    </row>
    <row r="129" spans="1:1">
      <c r="A129" s="29"/>
    </row>
    <row r="130" spans="1:1">
      <c r="A130" s="29"/>
    </row>
    <row r="131" spans="1:1">
      <c r="A131" s="29"/>
    </row>
    <row r="132" spans="1:1">
      <c r="A132" s="29"/>
    </row>
    <row r="133" spans="1:1">
      <c r="A133" s="29"/>
    </row>
    <row r="134" spans="1:1">
      <c r="A134" s="29"/>
    </row>
    <row r="135" spans="1:1">
      <c r="A135" s="29"/>
    </row>
    <row r="136" spans="1:1">
      <c r="A136" s="29"/>
    </row>
    <row r="137" spans="1:1">
      <c r="A137" s="29"/>
    </row>
    <row r="138" spans="1:1">
      <c r="A138" s="29"/>
    </row>
    <row r="139" spans="1:1">
      <c r="A139" s="29"/>
    </row>
    <row r="140" spans="1:1">
      <c r="A140" s="29"/>
    </row>
    <row r="141" spans="1:1">
      <c r="A141" s="29"/>
    </row>
    <row r="142" spans="1:1">
      <c r="A142" s="29"/>
    </row>
    <row r="143" spans="1:1">
      <c r="A143" s="29"/>
    </row>
    <row r="144" spans="1:1">
      <c r="A144" s="29"/>
    </row>
    <row r="145" spans="1:1">
      <c r="A145" s="29"/>
    </row>
    <row r="146" spans="1:1">
      <c r="A146" s="29"/>
    </row>
    <row r="147" spans="1:1">
      <c r="A147" s="29"/>
    </row>
    <row r="148" spans="1:1">
      <c r="A148" s="29"/>
    </row>
    <row r="149" spans="1:1">
      <c r="A149" s="29"/>
    </row>
    <row r="150" spans="1:1">
      <c r="A150" s="29"/>
    </row>
    <row r="151" spans="1:1">
      <c r="A151" s="29"/>
    </row>
    <row r="152" spans="1:1">
      <c r="A152" s="29"/>
    </row>
    <row r="153" spans="1:1">
      <c r="A153" s="29"/>
    </row>
    <row r="154" spans="1:1">
      <c r="A154" s="29"/>
    </row>
    <row r="155" spans="1:1">
      <c r="A155" s="29"/>
    </row>
    <row r="156" spans="1:1">
      <c r="A156" s="29"/>
    </row>
    <row r="157" spans="1:1">
      <c r="A157" s="29"/>
    </row>
    <row r="158" spans="1:1">
      <c r="A158" s="29"/>
    </row>
    <row r="159" spans="1:1">
      <c r="A159" s="29"/>
    </row>
    <row r="160" spans="1:1">
      <c r="A160" s="29"/>
    </row>
    <row r="161" spans="1:1">
      <c r="A161" s="29"/>
    </row>
    <row r="162" spans="1:1">
      <c r="A162" s="29"/>
    </row>
    <row r="163" spans="1:1">
      <c r="A163" s="29"/>
    </row>
    <row r="164" spans="1:1">
      <c r="A164" s="29"/>
    </row>
    <row r="165" spans="1:1">
      <c r="A165" s="29"/>
    </row>
    <row r="166" spans="1:1">
      <c r="A166" s="29"/>
    </row>
    <row r="167" spans="1:1">
      <c r="A167" s="29"/>
    </row>
    <row r="168" spans="1:1">
      <c r="A168" s="29"/>
    </row>
    <row r="169" spans="1:1">
      <c r="A169" s="29"/>
    </row>
    <row r="170" spans="1:1">
      <c r="A170" s="29"/>
    </row>
    <row r="171" spans="1:1">
      <c r="A171" s="29"/>
    </row>
    <row r="172" spans="1:1">
      <c r="A172" s="29"/>
    </row>
    <row r="173" spans="1:1">
      <c r="A173" s="29"/>
    </row>
    <row r="174" spans="1:1">
      <c r="A174" s="29"/>
    </row>
    <row r="175" spans="1:1">
      <c r="A175" s="29"/>
    </row>
    <row r="176" spans="1:1">
      <c r="A176" s="29"/>
    </row>
    <row r="177" spans="1:1">
      <c r="A177" s="29"/>
    </row>
    <row r="178" spans="1:1">
      <c r="A178" s="29"/>
    </row>
    <row r="179" spans="1:1">
      <c r="A179" s="29"/>
    </row>
    <row r="180" spans="1:1">
      <c r="A180" s="29"/>
    </row>
    <row r="181" spans="1:1">
      <c r="A181" s="29"/>
    </row>
    <row r="182" spans="1:1">
      <c r="A182" s="29"/>
    </row>
    <row r="183" spans="1:1">
      <c r="A183" s="29"/>
    </row>
    <row r="184" spans="1:1">
      <c r="A184" s="29"/>
    </row>
    <row r="185" spans="1:1">
      <c r="A185" s="29"/>
    </row>
    <row r="186" spans="1:1">
      <c r="A186" s="29"/>
    </row>
    <row r="187" spans="1:1">
      <c r="A187" s="29"/>
    </row>
    <row r="188" spans="1:1">
      <c r="A188" s="29"/>
    </row>
    <row r="189" spans="1:1">
      <c r="A189" s="29"/>
    </row>
    <row r="190" spans="1:1">
      <c r="A190" s="29"/>
    </row>
    <row r="191" spans="1:1">
      <c r="A191" s="29"/>
    </row>
    <row r="192" spans="1:1">
      <c r="A192" s="29"/>
    </row>
    <row r="193" spans="1:1">
      <c r="A193" s="29"/>
    </row>
    <row r="194" spans="1:1">
      <c r="A194" s="29"/>
    </row>
    <row r="195" spans="1:1">
      <c r="A195" s="29"/>
    </row>
    <row r="196" spans="1:1">
      <c r="A196" s="29"/>
    </row>
    <row r="197" spans="1:1">
      <c r="A197" s="29"/>
    </row>
    <row r="198" spans="1:1">
      <c r="A198" s="29"/>
    </row>
    <row r="199" spans="1:1">
      <c r="A199" s="29"/>
    </row>
    <row r="200" spans="1:1">
      <c r="A200" s="29"/>
    </row>
    <row r="201" spans="1:1">
      <c r="A201" s="29"/>
    </row>
    <row r="202" spans="1:1">
      <c r="A202" s="29"/>
    </row>
    <row r="203" spans="1:1">
      <c r="A203" s="29"/>
    </row>
    <row r="204" spans="1:1">
      <c r="A204" s="29"/>
    </row>
    <row r="205" spans="1:1">
      <c r="A205" s="29"/>
    </row>
    <row r="206" spans="1:1">
      <c r="A206" s="29"/>
    </row>
    <row r="207" spans="1:1">
      <c r="A207" s="29"/>
    </row>
    <row r="208" spans="1:1">
      <c r="A208" s="29"/>
    </row>
    <row r="209" spans="1:1">
      <c r="A209" s="29"/>
    </row>
    <row r="210" spans="1:1">
      <c r="A210" s="29"/>
    </row>
    <row r="211" spans="1:1">
      <c r="A211" s="29"/>
    </row>
    <row r="212" spans="1:1">
      <c r="A212" s="29"/>
    </row>
    <row r="213" spans="1:1">
      <c r="A213" s="29"/>
    </row>
    <row r="214" spans="1:1">
      <c r="A214" s="29"/>
    </row>
    <row r="215" spans="1:1">
      <c r="A215" s="29"/>
    </row>
    <row r="216" spans="1:1">
      <c r="A216" s="29"/>
    </row>
    <row r="217" spans="1:1">
      <c r="A217" s="29"/>
    </row>
    <row r="218" spans="1:1">
      <c r="A218" s="29"/>
    </row>
    <row r="219" spans="1:1">
      <c r="A219" s="29"/>
    </row>
    <row r="220" spans="1:1">
      <c r="A220" s="29"/>
    </row>
    <row r="221" spans="1:1">
      <c r="A221" s="29"/>
    </row>
    <row r="222" spans="1:1">
      <c r="A222" s="29"/>
    </row>
    <row r="223" spans="1:1">
      <c r="A223" s="29"/>
    </row>
    <row r="224" spans="1:1">
      <c r="A224" s="29"/>
    </row>
    <row r="225" spans="1:1">
      <c r="A225" s="29"/>
    </row>
    <row r="226" spans="1:1">
      <c r="A226" s="29"/>
    </row>
    <row r="227" spans="1:1">
      <c r="A227" s="29"/>
    </row>
    <row r="228" spans="1:1">
      <c r="A228" s="29"/>
    </row>
    <row r="229" spans="1:1">
      <c r="A229" s="29"/>
    </row>
    <row r="230" spans="1:1">
      <c r="A230" s="29"/>
    </row>
    <row r="231" spans="1:1">
      <c r="A231" s="29"/>
    </row>
    <row r="232" spans="1:1">
      <c r="A232" s="29"/>
    </row>
    <row r="233" spans="1:1">
      <c r="A233" s="29"/>
    </row>
    <row r="234" spans="1:1">
      <c r="A234" s="29"/>
    </row>
    <row r="235" spans="1:1">
      <c r="A235" s="29"/>
    </row>
    <row r="236" spans="1:1">
      <c r="A236" s="29"/>
    </row>
    <row r="237" spans="1:1">
      <c r="A237" s="29"/>
    </row>
    <row r="238" spans="1:1">
      <c r="A238" s="29"/>
    </row>
    <row r="239" spans="1:1">
      <c r="A239" s="29"/>
    </row>
    <row r="240" spans="1:1">
      <c r="A240" s="29"/>
    </row>
    <row r="241" spans="1:1">
      <c r="A241" s="29"/>
    </row>
    <row r="242" spans="1:1">
      <c r="A242" s="29"/>
    </row>
    <row r="243" spans="1:1">
      <c r="A243" s="29"/>
    </row>
    <row r="244" spans="1:1">
      <c r="A244" s="29"/>
    </row>
    <row r="245" spans="1:1">
      <c r="A245" s="29"/>
    </row>
    <row r="246" spans="1:1">
      <c r="A246" s="29"/>
    </row>
    <row r="247" spans="1:1">
      <c r="A247" s="29"/>
    </row>
    <row r="248" spans="1:1">
      <c r="A248" s="29"/>
    </row>
    <row r="249" spans="1:1">
      <c r="A249" s="29"/>
    </row>
    <row r="250" spans="1:1">
      <c r="A250" s="29"/>
    </row>
    <row r="251" spans="1:1">
      <c r="A251" s="29"/>
    </row>
    <row r="252" spans="1:1">
      <c r="A252" s="29"/>
    </row>
    <row r="253" spans="1:1">
      <c r="A253" s="29"/>
    </row>
    <row r="254" spans="1:1">
      <c r="A254" s="29"/>
    </row>
    <row r="255" spans="1:1">
      <c r="A255" s="29"/>
    </row>
    <row r="256" spans="1:1">
      <c r="A256" s="29"/>
    </row>
    <row r="257" spans="1:1">
      <c r="A257" s="29"/>
    </row>
    <row r="258" spans="1:1">
      <c r="A258" s="29"/>
    </row>
    <row r="259" spans="1:1">
      <c r="A259" s="29"/>
    </row>
    <row r="260" spans="1:1">
      <c r="A260" s="29"/>
    </row>
    <row r="261" spans="1:1">
      <c r="A261" s="29"/>
    </row>
    <row r="262" spans="1:1">
      <c r="A262" s="29"/>
    </row>
    <row r="263" spans="1:1">
      <c r="A263" s="29"/>
    </row>
    <row r="264" spans="1:1">
      <c r="A264" s="29"/>
    </row>
    <row r="265" spans="1:1">
      <c r="A265" s="29"/>
    </row>
    <row r="266" spans="1:1">
      <c r="A266" s="29"/>
    </row>
    <row r="267" spans="1:1">
      <c r="A267" s="29"/>
    </row>
    <row r="268" spans="1:1">
      <c r="A268" s="29"/>
    </row>
    <row r="269" spans="1:1">
      <c r="A269" s="29"/>
    </row>
    <row r="270" spans="1:1">
      <c r="A270" s="29"/>
    </row>
    <row r="271" spans="1:1">
      <c r="A271" s="29"/>
    </row>
    <row r="272" spans="1:1">
      <c r="A272" s="29"/>
    </row>
    <row r="273" spans="1:1">
      <c r="A273" s="29"/>
    </row>
    <row r="274" spans="1:1">
      <c r="A274" s="29"/>
    </row>
    <row r="275" spans="1:1">
      <c r="A275" s="29"/>
    </row>
    <row r="276" spans="1:1">
      <c r="A276" s="29"/>
    </row>
    <row r="277" spans="1:1">
      <c r="A277" s="29"/>
    </row>
    <row r="278" spans="1:1">
      <c r="A278" s="29"/>
    </row>
    <row r="279" spans="1:1">
      <c r="A279" s="29"/>
    </row>
    <row r="280" spans="1:1">
      <c r="A280" s="29"/>
    </row>
    <row r="281" spans="1:1">
      <c r="A281" s="29"/>
    </row>
    <row r="282" spans="1:1">
      <c r="A282" s="29"/>
    </row>
    <row r="283" spans="1:1">
      <c r="A283" s="29"/>
    </row>
    <row r="284" spans="1:1">
      <c r="A284" s="29"/>
    </row>
    <row r="285" spans="1:1">
      <c r="A285" s="29"/>
    </row>
    <row r="286" spans="1:1">
      <c r="A286" s="29"/>
    </row>
    <row r="287" spans="1:1">
      <c r="A287" s="29"/>
    </row>
    <row r="288" spans="1:1">
      <c r="A288" s="29"/>
    </row>
    <row r="289" spans="1:1">
      <c r="A289" s="29"/>
    </row>
    <row r="290" spans="1:1">
      <c r="A290" s="29"/>
    </row>
    <row r="291" spans="1:1">
      <c r="A291" s="29"/>
    </row>
    <row r="292" spans="1:1">
      <c r="A292" s="29"/>
    </row>
    <row r="293" spans="1:1">
      <c r="A293" s="29"/>
    </row>
    <row r="294" spans="1:1">
      <c r="A294" s="29"/>
    </row>
    <row r="295" spans="1:1">
      <c r="A295" s="29"/>
    </row>
    <row r="296" spans="1:1">
      <c r="A296" s="29"/>
    </row>
    <row r="297" spans="1:1">
      <c r="A297" s="29"/>
    </row>
    <row r="298" spans="1:1">
      <c r="A298" s="29"/>
    </row>
    <row r="299" spans="1:1">
      <c r="A299" s="29"/>
    </row>
    <row r="300" spans="1:1">
      <c r="A300" s="29"/>
    </row>
    <row r="301" spans="1:1">
      <c r="A301" s="29"/>
    </row>
    <row r="302" spans="1:1">
      <c r="A302" s="29"/>
    </row>
    <row r="303" spans="1:1">
      <c r="A303" s="29"/>
    </row>
    <row r="304" spans="1:1">
      <c r="A304" s="29"/>
    </row>
    <row r="305" spans="1:1">
      <c r="A305" s="29"/>
    </row>
    <row r="306" spans="1:1">
      <c r="A306" s="29"/>
    </row>
    <row r="307" spans="1:1">
      <c r="A307" s="29"/>
    </row>
    <row r="308" spans="1:1">
      <c r="A308" s="29"/>
    </row>
    <row r="309" spans="1:1">
      <c r="A309" s="29"/>
    </row>
    <row r="310" spans="1:1">
      <c r="A310" s="29"/>
    </row>
    <row r="311" spans="1:1">
      <c r="A311" s="29"/>
    </row>
    <row r="312" spans="1:1">
      <c r="A312" s="29"/>
    </row>
    <row r="313" spans="1:1">
      <c r="A313" s="29"/>
    </row>
    <row r="314" spans="1:1">
      <c r="A314" s="29"/>
    </row>
    <row r="315" spans="1:1">
      <c r="A315" s="29"/>
    </row>
    <row r="316" spans="1:1">
      <c r="A316" s="29"/>
    </row>
    <row r="317" spans="1:1">
      <c r="A317" s="29"/>
    </row>
    <row r="318" spans="1:1">
      <c r="A318" s="29"/>
    </row>
    <row r="319" spans="1:1">
      <c r="A319" s="29"/>
    </row>
    <row r="320" spans="1:1">
      <c r="A320" s="29"/>
    </row>
    <row r="321" spans="1:1">
      <c r="A321" s="29"/>
    </row>
    <row r="322" spans="1:1">
      <c r="A322" s="29"/>
    </row>
    <row r="323" spans="1:1">
      <c r="A323" s="29"/>
    </row>
    <row r="324" spans="1:1">
      <c r="A324" s="29"/>
    </row>
    <row r="325" spans="1:1">
      <c r="A325" s="29"/>
    </row>
    <row r="326" spans="1:1">
      <c r="A326" s="29"/>
    </row>
    <row r="327" spans="1:1">
      <c r="A327" s="29"/>
    </row>
    <row r="328" spans="1:1">
      <c r="A328" s="29"/>
    </row>
    <row r="329" spans="1:1">
      <c r="A329" s="29"/>
    </row>
    <row r="330" spans="1:1">
      <c r="A330" s="29"/>
    </row>
    <row r="331" spans="1:1">
      <c r="A331" s="29"/>
    </row>
    <row r="332" spans="1:1">
      <c r="A332" s="29"/>
    </row>
    <row r="333" spans="1:1">
      <c r="A333" s="29"/>
    </row>
    <row r="334" spans="1:1">
      <c r="A334" s="29"/>
    </row>
    <row r="335" spans="1:1">
      <c r="A335" s="29"/>
    </row>
    <row r="336" spans="1:1">
      <c r="A336" s="29"/>
    </row>
    <row r="337" spans="1:1">
      <c r="A337" s="29"/>
    </row>
    <row r="338" spans="1:1">
      <c r="A338" s="29"/>
    </row>
    <row r="339" spans="1:1">
      <c r="A339" s="29"/>
    </row>
    <row r="340" spans="1:1">
      <c r="A340" s="29"/>
    </row>
    <row r="341" spans="1:1">
      <c r="A341" s="29"/>
    </row>
    <row r="342" spans="1:1">
      <c r="A342" s="29"/>
    </row>
    <row r="343" spans="1:1">
      <c r="A343" s="29"/>
    </row>
    <row r="344" spans="1:1">
      <c r="A344" s="29"/>
    </row>
    <row r="345" spans="1:1">
      <c r="A345" s="29"/>
    </row>
    <row r="346" spans="1:1">
      <c r="A346" s="29"/>
    </row>
    <row r="347" spans="1:1">
      <c r="A347" s="29"/>
    </row>
    <row r="348" spans="1:1">
      <c r="A348" s="29"/>
    </row>
    <row r="349" spans="1:1">
      <c r="A349" s="29"/>
    </row>
    <row r="350" spans="1:1">
      <c r="A350" s="29"/>
    </row>
    <row r="351" spans="1:1">
      <c r="A351" s="29"/>
    </row>
    <row r="352" spans="1:1">
      <c r="A352" s="29"/>
    </row>
    <row r="353" spans="1:1">
      <c r="A353" s="29"/>
    </row>
    <row r="354" spans="1:1">
      <c r="A354" s="29"/>
    </row>
    <row r="355" spans="1:1">
      <c r="A355" s="29"/>
    </row>
    <row r="356" spans="1:1">
      <c r="A356" s="29"/>
    </row>
    <row r="357" spans="1:1">
      <c r="A357" s="29"/>
    </row>
    <row r="358" spans="1:1">
      <c r="A358" s="29"/>
    </row>
    <row r="359" spans="1:1">
      <c r="A359" s="29"/>
    </row>
    <row r="360" spans="1:1">
      <c r="A360" s="29"/>
    </row>
    <row r="361" spans="1:1">
      <c r="A361" s="29"/>
    </row>
    <row r="362" spans="1:1">
      <c r="A362" s="29"/>
    </row>
    <row r="363" spans="1:1">
      <c r="A363" s="29"/>
    </row>
    <row r="364" spans="1:1">
      <c r="A364" s="29"/>
    </row>
    <row r="365" spans="1:1">
      <c r="A365" s="29"/>
    </row>
    <row r="366" spans="1:1">
      <c r="A366" s="29"/>
    </row>
    <row r="367" spans="1:1">
      <c r="A367" s="29"/>
    </row>
    <row r="368" spans="1:1">
      <c r="A368" s="29"/>
    </row>
    <row r="369" spans="1:1">
      <c r="A369" s="29"/>
    </row>
    <row r="370" spans="1:1">
      <c r="A370" s="29"/>
    </row>
    <row r="371" spans="1:1">
      <c r="A371" s="29"/>
    </row>
    <row r="372" spans="1:1">
      <c r="A372" s="29"/>
    </row>
    <row r="373" spans="1:1">
      <c r="A373" s="29"/>
    </row>
    <row r="374" spans="1:1">
      <c r="A374" s="29"/>
    </row>
    <row r="375" spans="1:1">
      <c r="A375" s="29"/>
    </row>
    <row r="376" spans="1:1">
      <c r="A376" s="29"/>
    </row>
    <row r="377" spans="1:1">
      <c r="A377" s="29"/>
    </row>
    <row r="378" spans="1:1">
      <c r="A378" s="29"/>
    </row>
    <row r="379" spans="1:1">
      <c r="A379" s="29"/>
    </row>
    <row r="380" spans="1:1">
      <c r="A380" s="29"/>
    </row>
    <row r="381" spans="1:1">
      <c r="A381" s="29"/>
    </row>
    <row r="382" spans="1:1">
      <c r="A382" s="29"/>
    </row>
    <row r="383" spans="1:1">
      <c r="A383" s="29"/>
    </row>
    <row r="384" spans="1:1">
      <c r="A384" s="29"/>
    </row>
    <row r="385" spans="1:1">
      <c r="A385" s="29"/>
    </row>
    <row r="386" spans="1:1">
      <c r="A386" s="29"/>
    </row>
    <row r="387" spans="1:1">
      <c r="A387" s="29"/>
    </row>
    <row r="388" spans="1:1">
      <c r="A388" s="29"/>
    </row>
    <row r="389" spans="1:1">
      <c r="A389" s="29"/>
    </row>
    <row r="390" spans="1:1">
      <c r="A390" s="29"/>
    </row>
    <row r="391" spans="1:1">
      <c r="A391" s="29"/>
    </row>
    <row r="392" spans="1:1">
      <c r="A392" s="29"/>
    </row>
    <row r="393" spans="1:1">
      <c r="A393" s="29"/>
    </row>
    <row r="394" spans="1:1">
      <c r="A394" s="29"/>
    </row>
    <row r="395" spans="1:1">
      <c r="A395" s="29"/>
    </row>
    <row r="396" spans="1:1">
      <c r="A396" s="29"/>
    </row>
    <row r="397" spans="1:1">
      <c r="A397" s="29"/>
    </row>
    <row r="398" spans="1:1">
      <c r="A398" s="29"/>
    </row>
    <row r="399" spans="1:1">
      <c r="A399" s="29"/>
    </row>
    <row r="400" spans="1:1">
      <c r="A400" s="29"/>
    </row>
    <row r="401" spans="1:1">
      <c r="A401" s="29"/>
    </row>
    <row r="402" spans="1:1">
      <c r="A402" s="29"/>
    </row>
    <row r="403" spans="1:1">
      <c r="A403" s="29"/>
    </row>
    <row r="404" spans="1:1">
      <c r="A404" s="29"/>
    </row>
    <row r="405" spans="1:1">
      <c r="A405" s="29"/>
    </row>
    <row r="406" spans="1:1">
      <c r="A406" s="29"/>
    </row>
    <row r="407" spans="1:1">
      <c r="A407" s="29"/>
    </row>
    <row r="408" spans="1:1">
      <c r="A408" s="29"/>
    </row>
    <row r="409" spans="1:1">
      <c r="A409" s="29"/>
    </row>
    <row r="410" spans="1:1">
      <c r="A410" s="29"/>
    </row>
    <row r="411" spans="1:1">
      <c r="A411" s="29"/>
    </row>
    <row r="412" spans="1:1">
      <c r="A412" s="29"/>
    </row>
    <row r="413" spans="1:1">
      <c r="A413" s="29"/>
    </row>
    <row r="414" spans="1:1">
      <c r="A414" s="29"/>
    </row>
    <row r="415" spans="1:1">
      <c r="A415" s="29"/>
    </row>
    <row r="416" spans="1:1">
      <c r="A416" s="29"/>
    </row>
    <row r="417" spans="1:1">
      <c r="A417" s="29"/>
    </row>
    <row r="418" spans="1:1">
      <c r="A418" s="29"/>
    </row>
    <row r="419" spans="1:1">
      <c r="A419" s="29"/>
    </row>
    <row r="420" spans="1:1">
      <c r="A420" s="29"/>
    </row>
    <row r="421" spans="1:1">
      <c r="A421" s="29"/>
    </row>
    <row r="422" spans="1:1">
      <c r="A422" s="29"/>
    </row>
    <row r="423" spans="1:1">
      <c r="A423" s="29"/>
    </row>
    <row r="424" spans="1:1">
      <c r="A424" s="29"/>
    </row>
    <row r="425" spans="1:1">
      <c r="A425" s="29"/>
    </row>
    <row r="426" spans="1:1">
      <c r="A426" s="29"/>
    </row>
    <row r="427" spans="1:1">
      <c r="A427" s="29"/>
    </row>
    <row r="428" spans="1:1">
      <c r="A428" s="29"/>
    </row>
    <row r="429" spans="1:1">
      <c r="A429" s="29"/>
    </row>
    <row r="430" spans="1:1">
      <c r="A430" s="29"/>
    </row>
    <row r="431" spans="1:1">
      <c r="A431" s="29"/>
    </row>
    <row r="432" spans="1:1">
      <c r="A432" s="29"/>
    </row>
    <row r="433" spans="1:1">
      <c r="A433" s="29"/>
    </row>
    <row r="434" spans="1:1">
      <c r="A434" s="29"/>
    </row>
    <row r="435" spans="1:1">
      <c r="A435" s="29"/>
    </row>
    <row r="436" spans="1:1">
      <c r="A436" s="29"/>
    </row>
    <row r="437" spans="1:1">
      <c r="A437" s="29"/>
    </row>
    <row r="438" spans="1:1">
      <c r="A438" s="29"/>
    </row>
    <row r="439" spans="1:1">
      <c r="A439" s="29"/>
    </row>
    <row r="440" spans="1:1">
      <c r="A440" s="29"/>
    </row>
    <row r="441" spans="1:1">
      <c r="A441" s="29"/>
    </row>
    <row r="442" spans="1:1">
      <c r="A442" s="29"/>
    </row>
    <row r="443" spans="1:1">
      <c r="A443" s="29"/>
    </row>
    <row r="444" spans="1:1">
      <c r="A444" s="29"/>
    </row>
    <row r="445" spans="1:1">
      <c r="A445" s="29"/>
    </row>
    <row r="446" spans="1:1">
      <c r="A446" s="29"/>
    </row>
    <row r="447" spans="1:1">
      <c r="A447" s="29"/>
    </row>
    <row r="448" spans="1:1">
      <c r="A448" s="29"/>
    </row>
    <row r="449" spans="1:1">
      <c r="A449" s="29"/>
    </row>
    <row r="450" spans="1:1">
      <c r="A450" s="29"/>
    </row>
    <row r="451" spans="1:1">
      <c r="A451" s="29"/>
    </row>
    <row r="452" spans="1:1">
      <c r="A452" s="29"/>
    </row>
    <row r="453" spans="1:1">
      <c r="A453" s="29"/>
    </row>
    <row r="454" spans="1:1">
      <c r="A454" s="29"/>
    </row>
    <row r="455" spans="1:1">
      <c r="A455" s="29"/>
    </row>
    <row r="456" spans="1:1">
      <c r="A456" s="29"/>
    </row>
    <row r="457" spans="1:1">
      <c r="A457" s="29"/>
    </row>
    <row r="458" spans="1:1">
      <c r="A458" s="29"/>
    </row>
    <row r="459" spans="1:1">
      <c r="A459" s="29"/>
    </row>
    <row r="460" spans="1:1">
      <c r="A460" s="29"/>
    </row>
    <row r="461" spans="1:1">
      <c r="A461" s="29"/>
    </row>
    <row r="462" spans="1:1">
      <c r="A462" s="29"/>
    </row>
    <row r="463" spans="1:1">
      <c r="A463" s="29"/>
    </row>
    <row r="464" spans="1:1">
      <c r="A464" s="29"/>
    </row>
    <row r="465" spans="1:1">
      <c r="A465" s="29"/>
    </row>
    <row r="466" spans="1:1">
      <c r="A466" s="29"/>
    </row>
    <row r="467" spans="1:1">
      <c r="A467" s="29"/>
    </row>
    <row r="468" spans="1:1">
      <c r="A468" s="29"/>
    </row>
    <row r="469" spans="1:1">
      <c r="A469" s="29"/>
    </row>
    <row r="470" spans="1:1">
      <c r="A470" s="29"/>
    </row>
    <row r="471" spans="1:1">
      <c r="A471" s="29"/>
    </row>
    <row r="472" spans="1:1">
      <c r="A472" s="29"/>
    </row>
    <row r="473" spans="1:1">
      <c r="A473" s="29"/>
    </row>
    <row r="474" spans="1:1">
      <c r="A474" s="29"/>
    </row>
    <row r="475" spans="1:1">
      <c r="A475" s="29"/>
    </row>
    <row r="476" spans="1:1">
      <c r="A476" s="29"/>
    </row>
    <row r="477" spans="1:1">
      <c r="A477" s="29"/>
    </row>
    <row r="478" spans="1:1">
      <c r="A478" s="29"/>
    </row>
    <row r="479" spans="1:1">
      <c r="A479" s="29"/>
    </row>
    <row r="480" spans="1:1">
      <c r="A480" s="29"/>
    </row>
    <row r="481" spans="1:1">
      <c r="A481" s="29"/>
    </row>
    <row r="482" spans="1:1">
      <c r="A482" s="29"/>
    </row>
    <row r="483" spans="1:1">
      <c r="A483" s="29"/>
    </row>
    <row r="484" spans="1:1">
      <c r="A484" s="29"/>
    </row>
    <row r="485" spans="1:1">
      <c r="A485" s="29"/>
    </row>
    <row r="486" spans="1:1">
      <c r="A486" s="29"/>
    </row>
    <row r="487" spans="1:1">
      <c r="A487" s="29"/>
    </row>
    <row r="488" spans="1:1">
      <c r="A488" s="29"/>
    </row>
    <row r="489" spans="1:1">
      <c r="A489" s="29"/>
    </row>
    <row r="490" spans="1:1">
      <c r="A490" s="29"/>
    </row>
    <row r="491" spans="1:1">
      <c r="A491" s="29"/>
    </row>
    <row r="492" spans="1:1">
      <c r="A492" s="29"/>
    </row>
    <row r="493" spans="1:1">
      <c r="A493" s="29"/>
    </row>
    <row r="494" spans="1:1">
      <c r="A494" s="29"/>
    </row>
    <row r="495" spans="1:1">
      <c r="A495" s="29"/>
    </row>
    <row r="496" spans="1:1">
      <c r="A496" s="29"/>
    </row>
    <row r="497" spans="1:1">
      <c r="A497" s="29"/>
    </row>
    <row r="498" spans="1:1">
      <c r="A498" s="29"/>
    </row>
    <row r="499" spans="1:1">
      <c r="A499" s="29"/>
    </row>
    <row r="500" spans="1:1">
      <c r="A500" s="29"/>
    </row>
    <row r="501" spans="1:1">
      <c r="A501" s="29"/>
    </row>
    <row r="502" spans="1:1">
      <c r="A502" s="29"/>
    </row>
    <row r="503" spans="1:1">
      <c r="A503" s="29"/>
    </row>
    <row r="504" spans="1:1">
      <c r="A504" s="29"/>
    </row>
    <row r="505" spans="1:1">
      <c r="A505" s="29"/>
    </row>
    <row r="506" spans="1:1">
      <c r="A506" s="29"/>
    </row>
    <row r="507" spans="1:1">
      <c r="A507" s="29"/>
    </row>
    <row r="508" spans="1:1">
      <c r="A508" s="29"/>
    </row>
    <row r="509" spans="1:1">
      <c r="A509" s="29"/>
    </row>
    <row r="510" spans="1:1">
      <c r="A510" s="29"/>
    </row>
    <row r="511" spans="1:1">
      <c r="A511" s="29"/>
    </row>
    <row r="512" spans="1:1">
      <c r="A512" s="29"/>
    </row>
    <row r="513" spans="1:1">
      <c r="A513" s="29"/>
    </row>
    <row r="514" spans="1:1">
      <c r="A514" s="29"/>
    </row>
    <row r="515" spans="1:1">
      <c r="A515" s="29"/>
    </row>
    <row r="516" spans="1:1">
      <c r="A516" s="29"/>
    </row>
    <row r="517" spans="1:1">
      <c r="A517" s="29"/>
    </row>
    <row r="518" spans="1:1">
      <c r="A518" s="29"/>
    </row>
    <row r="519" spans="1:1">
      <c r="A519" s="29"/>
    </row>
    <row r="520" spans="1:1">
      <c r="A520" s="29"/>
    </row>
    <row r="521" spans="1:1">
      <c r="A521" s="29"/>
    </row>
    <row r="522" spans="1:1">
      <c r="A522" s="29"/>
    </row>
    <row r="523" spans="1:1">
      <c r="A523" s="29"/>
    </row>
    <row r="524" spans="1:1">
      <c r="A524" s="29"/>
    </row>
    <row r="525" spans="1:1">
      <c r="A525" s="29"/>
    </row>
    <row r="526" spans="1:1">
      <c r="A526" s="29"/>
    </row>
    <row r="527" spans="1:1">
      <c r="A527" s="29"/>
    </row>
    <row r="528" spans="1:1">
      <c r="A528" s="29"/>
    </row>
    <row r="529" spans="1:1">
      <c r="A529" s="29"/>
    </row>
    <row r="530" spans="1:1">
      <c r="A530" s="29"/>
    </row>
    <row r="531" spans="1:1">
      <c r="A531" s="29"/>
    </row>
    <row r="532" spans="1:1">
      <c r="A532" s="29"/>
    </row>
    <row r="533" spans="1:1">
      <c r="A533" s="29"/>
    </row>
    <row r="534" spans="1:1">
      <c r="A534" s="29"/>
    </row>
    <row r="535" spans="1:1">
      <c r="A535" s="29"/>
    </row>
    <row r="536" spans="1:1">
      <c r="A536" s="29"/>
    </row>
    <row r="537" spans="1:1">
      <c r="A537" s="29"/>
    </row>
    <row r="538" spans="1:1">
      <c r="A538" s="29"/>
    </row>
    <row r="539" spans="1:1">
      <c r="A539" s="29"/>
    </row>
    <row r="540" spans="1:1">
      <c r="A540" s="29"/>
    </row>
    <row r="541" spans="1:1">
      <c r="A541" s="29"/>
    </row>
    <row r="542" spans="1:1">
      <c r="A542" s="29"/>
    </row>
    <row r="543" spans="1:1">
      <c r="A543" s="29"/>
    </row>
    <row r="544" spans="1:1">
      <c r="A544" s="29"/>
    </row>
    <row r="545" spans="1:1">
      <c r="A545" s="29"/>
    </row>
    <row r="546" spans="1:1">
      <c r="A546" s="29"/>
    </row>
    <row r="547" spans="1:1">
      <c r="A547" s="29"/>
    </row>
    <row r="548" spans="1:1">
      <c r="A548" s="29"/>
    </row>
    <row r="549" spans="1:1">
      <c r="A549" s="29"/>
    </row>
    <row r="550" spans="1:1">
      <c r="A550" s="29"/>
    </row>
    <row r="551" spans="1:1">
      <c r="A551" s="29"/>
    </row>
    <row r="552" spans="1:1">
      <c r="A552" s="29"/>
    </row>
    <row r="553" spans="1:1">
      <c r="A553" s="29"/>
    </row>
    <row r="554" spans="1:1">
      <c r="A554" s="29"/>
    </row>
    <row r="555" spans="1:1">
      <c r="A555" s="29"/>
    </row>
    <row r="556" spans="1:1">
      <c r="A556" s="29"/>
    </row>
    <row r="557" spans="1:1">
      <c r="A557" s="29"/>
    </row>
    <row r="558" spans="1:1">
      <c r="A558" s="29"/>
    </row>
    <row r="559" spans="1:1">
      <c r="A559" s="29"/>
    </row>
    <row r="560" spans="1:1">
      <c r="A560" s="29"/>
    </row>
    <row r="561" spans="1:1">
      <c r="A561" s="29"/>
    </row>
    <row r="562" spans="1:1">
      <c r="A562" s="29"/>
    </row>
    <row r="563" spans="1:1">
      <c r="A563" s="29"/>
    </row>
    <row r="564" spans="1:1">
      <c r="A564" s="29"/>
    </row>
    <row r="565" spans="1:1">
      <c r="A565" s="29"/>
    </row>
    <row r="566" spans="1:1">
      <c r="A566" s="29"/>
    </row>
    <row r="567" spans="1:1">
      <c r="A567" s="29"/>
    </row>
    <row r="568" spans="1:1">
      <c r="A568" s="29"/>
    </row>
    <row r="569" spans="1:1">
      <c r="A569" s="29"/>
    </row>
    <row r="570" spans="1:1">
      <c r="A570" s="29"/>
    </row>
    <row r="571" spans="1:1">
      <c r="A571" s="29"/>
    </row>
    <row r="572" spans="1:1">
      <c r="A572" s="29"/>
    </row>
    <row r="573" spans="1:1">
      <c r="A573" s="29"/>
    </row>
    <row r="574" spans="1:1">
      <c r="A574" s="29"/>
    </row>
    <row r="575" spans="1:1">
      <c r="A575" s="29"/>
    </row>
    <row r="576" spans="1:1">
      <c r="A576" s="29"/>
    </row>
    <row r="577" spans="1:1">
      <c r="A577" s="29"/>
    </row>
    <row r="578" spans="1:1">
      <c r="A578" s="29"/>
    </row>
    <row r="579" spans="1:1">
      <c r="A579" s="29"/>
    </row>
    <row r="580" spans="1:1">
      <c r="A580" s="29"/>
    </row>
    <row r="581" spans="1:1">
      <c r="A581" s="29"/>
    </row>
    <row r="582" spans="1:1">
      <c r="A582" s="29"/>
    </row>
    <row r="583" spans="1:1">
      <c r="A583" s="29"/>
    </row>
    <row r="584" spans="1:1">
      <c r="A584" s="29"/>
    </row>
    <row r="585" spans="1:1">
      <c r="A585" s="29"/>
    </row>
    <row r="586" spans="1:1">
      <c r="A586" s="29"/>
    </row>
    <row r="587" spans="1:1">
      <c r="A587" s="29"/>
    </row>
    <row r="588" spans="1:1">
      <c r="A588" s="29"/>
    </row>
    <row r="589" spans="1:1">
      <c r="A589" s="29"/>
    </row>
    <row r="590" spans="1:1">
      <c r="A590" s="29"/>
    </row>
    <row r="591" spans="1:1">
      <c r="A591" s="29"/>
    </row>
    <row r="592" spans="1:1">
      <c r="A592" s="29"/>
    </row>
    <row r="593" spans="1:1">
      <c r="A593" s="29"/>
    </row>
    <row r="594" spans="1:1">
      <c r="A594" s="29"/>
    </row>
    <row r="595" spans="1:1">
      <c r="A595" s="29"/>
    </row>
    <row r="596" spans="1:1">
      <c r="A596" s="29"/>
    </row>
    <row r="597" spans="1:1">
      <c r="A597" s="29"/>
    </row>
    <row r="598" spans="1:1">
      <c r="A598" s="29"/>
    </row>
    <row r="599" spans="1:1">
      <c r="A599" s="29"/>
    </row>
    <row r="600" spans="1:1">
      <c r="A600" s="29"/>
    </row>
    <row r="601" spans="1:1">
      <c r="A601" s="29"/>
    </row>
    <row r="602" spans="1:1">
      <c r="A602" s="29"/>
    </row>
    <row r="603" spans="1:1">
      <c r="A603" s="29"/>
    </row>
    <row r="604" spans="1:1">
      <c r="A604" s="29"/>
    </row>
    <row r="605" spans="1:1">
      <c r="A605" s="29"/>
    </row>
    <row r="606" spans="1:1">
      <c r="A606" s="29"/>
    </row>
    <row r="607" spans="1:1">
      <c r="A607" s="29"/>
    </row>
    <row r="608" spans="1:1">
      <c r="A608" s="29"/>
    </row>
    <row r="609" spans="1:1">
      <c r="A609" s="29"/>
    </row>
    <row r="610" spans="1:1">
      <c r="A610" s="29"/>
    </row>
    <row r="611" spans="1:1">
      <c r="A611" s="29"/>
    </row>
    <row r="612" spans="1:1">
      <c r="A612" s="29"/>
    </row>
    <row r="613" spans="1:1">
      <c r="A613" s="29"/>
    </row>
    <row r="614" spans="1:1">
      <c r="A614" s="29"/>
    </row>
    <row r="615" spans="1:1">
      <c r="A615" s="29"/>
    </row>
    <row r="616" spans="1:1">
      <c r="A616" s="29"/>
    </row>
    <row r="617" spans="1:1">
      <c r="A617" s="29"/>
    </row>
    <row r="618" spans="1:1">
      <c r="A618" s="29"/>
    </row>
    <row r="619" spans="1:1">
      <c r="A619" s="29"/>
    </row>
    <row r="620" spans="1:1">
      <c r="A620" s="29"/>
    </row>
    <row r="621" spans="1:1">
      <c r="A621" s="29"/>
    </row>
    <row r="622" spans="1:1">
      <c r="A622" s="29"/>
    </row>
    <row r="623" spans="1:1">
      <c r="A623" s="29"/>
    </row>
    <row r="624" spans="1:1">
      <c r="A624" s="29"/>
    </row>
    <row r="625" spans="1:1">
      <c r="A625" s="29"/>
    </row>
    <row r="626" spans="1:1">
      <c r="A626" s="29"/>
    </row>
    <row r="627" spans="1:1">
      <c r="A627" s="29"/>
    </row>
    <row r="628" spans="1:1">
      <c r="A628" s="29"/>
    </row>
    <row r="629" spans="1:1">
      <c r="A629" s="29"/>
    </row>
    <row r="630" spans="1:1">
      <c r="A630" s="29"/>
    </row>
    <row r="631" spans="1:1">
      <c r="A631" s="29"/>
    </row>
    <row r="632" spans="1:1">
      <c r="A632" s="29"/>
    </row>
    <row r="633" spans="1:1">
      <c r="A633" s="29"/>
    </row>
    <row r="634" spans="1:1">
      <c r="A634" s="29"/>
    </row>
    <row r="635" spans="1:1">
      <c r="A635" s="29"/>
    </row>
    <row r="636" spans="1:1">
      <c r="A636" s="29"/>
    </row>
    <row r="637" spans="1:1">
      <c r="A637" s="29"/>
    </row>
    <row r="638" spans="1:1">
      <c r="A638" s="29"/>
    </row>
    <row r="639" spans="1:1">
      <c r="A639" s="29"/>
    </row>
    <row r="640" spans="1:1">
      <c r="A640" s="29"/>
    </row>
    <row r="641" spans="1:1">
      <c r="A641" s="29"/>
    </row>
    <row r="642" spans="1:1">
      <c r="A642" s="29"/>
    </row>
    <row r="643" spans="1:1">
      <c r="A643" s="29"/>
    </row>
    <row r="644" spans="1:1">
      <c r="A644" s="29"/>
    </row>
    <row r="645" spans="1:1">
      <c r="A645" s="29"/>
    </row>
    <row r="646" spans="1:1">
      <c r="A646" s="29"/>
    </row>
    <row r="647" spans="1:1">
      <c r="A647" s="29"/>
    </row>
    <row r="648" spans="1:1">
      <c r="A648" s="29"/>
    </row>
    <row r="649" spans="1:1">
      <c r="A649" s="29"/>
    </row>
    <row r="650" spans="1:1">
      <c r="A650" s="29"/>
    </row>
    <row r="651" spans="1:1">
      <c r="A651" s="29"/>
    </row>
    <row r="652" spans="1:1">
      <c r="A652" s="29"/>
    </row>
    <row r="653" spans="1:1">
      <c r="A653" s="29"/>
    </row>
    <row r="654" spans="1:1">
      <c r="A654" s="29"/>
    </row>
    <row r="655" spans="1:1">
      <c r="A655" s="29"/>
    </row>
    <row r="656" spans="1:1">
      <c r="A656" s="29"/>
    </row>
    <row r="657" spans="1:1">
      <c r="A657" s="29"/>
    </row>
    <row r="658" spans="1:1">
      <c r="A658" s="29"/>
    </row>
    <row r="659" spans="1:1">
      <c r="A659" s="29"/>
    </row>
    <row r="660" spans="1:1">
      <c r="A660" s="29"/>
    </row>
    <row r="661" spans="1:1">
      <c r="A661" s="29"/>
    </row>
    <row r="662" spans="1:1">
      <c r="A662" s="29"/>
    </row>
    <row r="663" spans="1:1">
      <c r="A663" s="29"/>
    </row>
    <row r="664" spans="1:1">
      <c r="A664" s="29"/>
    </row>
    <row r="665" spans="1:1">
      <c r="A665" s="29"/>
    </row>
    <row r="666" spans="1:1">
      <c r="A666" s="29"/>
    </row>
    <row r="667" spans="1:1">
      <c r="A667" s="29"/>
    </row>
    <row r="668" spans="1:1">
      <c r="A668" s="29"/>
    </row>
    <row r="669" spans="1:1">
      <c r="A669" s="29"/>
    </row>
    <row r="670" spans="1:1">
      <c r="A670" s="29"/>
    </row>
    <row r="671" spans="1:1">
      <c r="A671" s="29"/>
    </row>
    <row r="672" spans="1:1">
      <c r="A672" s="29"/>
    </row>
    <row r="673" spans="1:1">
      <c r="A673" s="29"/>
    </row>
    <row r="674" spans="1:1">
      <c r="A674" s="29"/>
    </row>
    <row r="675" spans="1:1">
      <c r="A675" s="29"/>
    </row>
    <row r="676" spans="1:1">
      <c r="A676" s="29"/>
    </row>
    <row r="677" spans="1:1">
      <c r="A677" s="29"/>
    </row>
    <row r="678" spans="1:1">
      <c r="A678" s="29"/>
    </row>
    <row r="679" spans="1:1">
      <c r="A679" s="29"/>
    </row>
    <row r="680" spans="1:1">
      <c r="A680" s="29"/>
    </row>
    <row r="681" spans="1:1">
      <c r="A681" s="29"/>
    </row>
    <row r="682" spans="1:1">
      <c r="A682" s="29"/>
    </row>
    <row r="683" spans="1:1">
      <c r="A683" s="29"/>
    </row>
    <row r="684" spans="1:1">
      <c r="A684" s="29"/>
    </row>
    <row r="685" spans="1:1">
      <c r="A685" s="29"/>
    </row>
    <row r="686" spans="1:1">
      <c r="A686" s="29"/>
    </row>
    <row r="687" spans="1:1">
      <c r="A687" s="29"/>
    </row>
    <row r="688" spans="1:1">
      <c r="A688" s="29"/>
    </row>
    <row r="689" spans="1:1">
      <c r="A689" s="29"/>
    </row>
    <row r="690" spans="1:1">
      <c r="A690" s="29"/>
    </row>
    <row r="691" spans="1:1">
      <c r="A691" s="29"/>
    </row>
    <row r="692" spans="1:1">
      <c r="A692" s="29"/>
    </row>
    <row r="693" spans="1:1">
      <c r="A693" s="29"/>
    </row>
    <row r="694" spans="1:1">
      <c r="A694" s="29"/>
    </row>
    <row r="695" spans="1:1">
      <c r="A695" s="29"/>
    </row>
    <row r="696" spans="1:1">
      <c r="A696" s="29"/>
    </row>
    <row r="697" spans="1:1">
      <c r="A697" s="29"/>
    </row>
    <row r="698" spans="1:1">
      <c r="A698" s="29"/>
    </row>
    <row r="699" spans="1:1">
      <c r="A699" s="29"/>
    </row>
    <row r="700" spans="1:1">
      <c r="A700" s="29"/>
    </row>
    <row r="701" spans="1:1">
      <c r="A701" s="29"/>
    </row>
    <row r="702" spans="1:1">
      <c r="A702" s="29"/>
    </row>
    <row r="703" spans="1:1">
      <c r="A703" s="29"/>
    </row>
    <row r="704" spans="1:1">
      <c r="A704" s="29"/>
    </row>
    <row r="705" spans="1:1">
      <c r="A705" s="29"/>
    </row>
    <row r="706" spans="1:1">
      <c r="A706" s="29"/>
    </row>
    <row r="707" spans="1:1">
      <c r="A707" s="29"/>
    </row>
    <row r="708" spans="1:1">
      <c r="A708" s="29"/>
    </row>
    <row r="709" spans="1:1">
      <c r="A709" s="29"/>
    </row>
    <row r="710" spans="1:1">
      <c r="A710" s="29"/>
    </row>
    <row r="711" spans="1:1">
      <c r="A711" s="29"/>
    </row>
    <row r="712" spans="1:1">
      <c r="A712" s="29"/>
    </row>
    <row r="713" spans="1:1">
      <c r="A713" s="29"/>
    </row>
    <row r="714" spans="1:1">
      <c r="A714" s="29"/>
    </row>
    <row r="715" spans="1:1">
      <c r="A715" s="29"/>
    </row>
    <row r="716" spans="1:1">
      <c r="A716" s="29"/>
    </row>
    <row r="717" spans="1:1">
      <c r="A717" s="29"/>
    </row>
    <row r="718" spans="1:1">
      <c r="A718" s="29"/>
    </row>
    <row r="719" spans="1:1">
      <c r="A719" s="29"/>
    </row>
    <row r="720" spans="1:1">
      <c r="A720" s="29"/>
    </row>
    <row r="721" spans="1:1">
      <c r="A721" s="29"/>
    </row>
    <row r="722" spans="1:1">
      <c r="A722" s="29"/>
    </row>
    <row r="723" spans="1:1">
      <c r="A723" s="29"/>
    </row>
    <row r="724" spans="1:1">
      <c r="A724" s="29"/>
    </row>
    <row r="725" spans="1:1">
      <c r="A725" s="29"/>
    </row>
    <row r="726" spans="1:1">
      <c r="A726" s="29"/>
    </row>
    <row r="727" spans="1:1">
      <c r="A727" s="29"/>
    </row>
    <row r="728" spans="1:1">
      <c r="A728" s="29"/>
    </row>
    <row r="729" spans="1:1">
      <c r="A729" s="29"/>
    </row>
    <row r="730" spans="1:1">
      <c r="A730" s="29"/>
    </row>
    <row r="731" spans="1:1">
      <c r="A731" s="29"/>
    </row>
    <row r="732" spans="1:1">
      <c r="A732" s="29"/>
    </row>
    <row r="733" spans="1:1">
      <c r="A733" s="29"/>
    </row>
    <row r="734" spans="1:1">
      <c r="A734" s="29"/>
    </row>
    <row r="735" spans="1:1">
      <c r="A735" s="29"/>
    </row>
    <row r="736" spans="1:1">
      <c r="A736" s="29"/>
    </row>
    <row r="737" spans="1:1">
      <c r="A737" s="29"/>
    </row>
    <row r="738" spans="1:1">
      <c r="A738" s="29"/>
    </row>
    <row r="739" spans="1:1">
      <c r="A739" s="29"/>
    </row>
    <row r="740" spans="1:1">
      <c r="A740" s="29"/>
    </row>
    <row r="741" spans="1:1">
      <c r="A741" s="29"/>
    </row>
    <row r="742" spans="1:1">
      <c r="A742" s="29"/>
    </row>
    <row r="743" spans="1:1">
      <c r="A743" s="29"/>
    </row>
    <row r="744" spans="1:1">
      <c r="A744" s="29"/>
    </row>
    <row r="745" spans="1:1">
      <c r="A745" s="29"/>
    </row>
    <row r="746" spans="1:1">
      <c r="A746" s="29"/>
    </row>
    <row r="747" spans="1:1">
      <c r="A747" s="29"/>
    </row>
    <row r="748" spans="1:1">
      <c r="A748" s="29"/>
    </row>
    <row r="749" spans="1:1">
      <c r="A749" s="29"/>
    </row>
    <row r="750" spans="1:1">
      <c r="A750" s="29"/>
    </row>
    <row r="751" spans="1:1">
      <c r="A751" s="29"/>
    </row>
    <row r="752" spans="1:1">
      <c r="A752" s="29"/>
    </row>
    <row r="753" spans="1:1">
      <c r="A753" s="29"/>
    </row>
    <row r="754" spans="1:1">
      <c r="A754" s="29"/>
    </row>
    <row r="755" spans="1:1">
      <c r="A755" s="29"/>
    </row>
    <row r="756" spans="1:1">
      <c r="A756" s="29"/>
    </row>
    <row r="757" spans="1:1">
      <c r="A757" s="29"/>
    </row>
    <row r="758" spans="1:1">
      <c r="A758" s="29"/>
    </row>
    <row r="759" spans="1:1">
      <c r="A759" s="29"/>
    </row>
    <row r="760" spans="1:1">
      <c r="A760" s="29"/>
    </row>
    <row r="761" spans="1:1">
      <c r="A761" s="29"/>
    </row>
    <row r="762" spans="1:1">
      <c r="A762" s="29"/>
    </row>
    <row r="763" spans="1:1">
      <c r="A763" s="29"/>
    </row>
    <row r="764" spans="1:1">
      <c r="A764" s="29"/>
    </row>
    <row r="765" spans="1:1">
      <c r="A765" s="29"/>
    </row>
    <row r="766" spans="1:1">
      <c r="A766" s="29"/>
    </row>
    <row r="767" spans="1:1">
      <c r="A767" s="29"/>
    </row>
    <row r="768" spans="1:1">
      <c r="A768" s="29"/>
    </row>
    <row r="769" spans="1:1">
      <c r="A769" s="29"/>
    </row>
    <row r="770" spans="1:1">
      <c r="A770" s="29"/>
    </row>
    <row r="771" spans="1:1">
      <c r="A771" s="29"/>
    </row>
    <row r="772" spans="1:1">
      <c r="A772" s="29"/>
    </row>
    <row r="773" spans="1:1">
      <c r="A773" s="29"/>
    </row>
    <row r="774" spans="1:1">
      <c r="A774" s="29"/>
    </row>
    <row r="775" spans="1:1">
      <c r="A775" s="29"/>
    </row>
    <row r="776" spans="1:1">
      <c r="A776" s="29"/>
    </row>
    <row r="777" spans="1:1">
      <c r="A777" s="29"/>
    </row>
    <row r="778" spans="1:1">
      <c r="A778" s="29"/>
    </row>
    <row r="779" spans="1:1">
      <c r="A779" s="29"/>
    </row>
    <row r="780" spans="1:1">
      <c r="A780" s="29"/>
    </row>
    <row r="781" spans="1:1">
      <c r="A781" s="29"/>
    </row>
    <row r="782" spans="1:1">
      <c r="A782" s="29"/>
    </row>
    <row r="783" spans="1:1">
      <c r="A783" s="29"/>
    </row>
    <row r="784" spans="1:1">
      <c r="A784" s="29"/>
    </row>
    <row r="785" spans="1:1">
      <c r="A785" s="29"/>
    </row>
    <row r="786" spans="1:1">
      <c r="A786" s="29"/>
    </row>
    <row r="787" spans="1:1">
      <c r="A787" s="29"/>
    </row>
    <row r="788" spans="1:1">
      <c r="A788" s="29"/>
    </row>
    <row r="789" spans="1:1">
      <c r="A789" s="29"/>
    </row>
    <row r="790" spans="1:1">
      <c r="A790" s="29"/>
    </row>
    <row r="791" spans="1:1">
      <c r="A791" s="29"/>
    </row>
    <row r="792" spans="1:1">
      <c r="A792" s="29"/>
    </row>
    <row r="793" spans="1:1">
      <c r="A793" s="29"/>
    </row>
    <row r="794" spans="1:1">
      <c r="A794" s="29"/>
    </row>
    <row r="795" spans="1:1">
      <c r="A795" s="29"/>
    </row>
    <row r="796" spans="1:1">
      <c r="A796" s="29"/>
    </row>
    <row r="797" spans="1:1">
      <c r="A797" s="29"/>
    </row>
    <row r="798" spans="1:1">
      <c r="A798" s="29"/>
    </row>
    <row r="799" spans="1:1">
      <c r="A799" s="29"/>
    </row>
    <row r="800" spans="1:1">
      <c r="A800" s="29"/>
    </row>
    <row r="801" spans="1:1">
      <c r="A801" s="29"/>
    </row>
    <row r="802" spans="1:1">
      <c r="A802" s="29"/>
    </row>
    <row r="803" spans="1:1">
      <c r="A803" s="29"/>
    </row>
    <row r="804" spans="1:1">
      <c r="A804" s="29"/>
    </row>
    <row r="805" spans="1:1">
      <c r="A805" s="29"/>
    </row>
    <row r="806" spans="1:1">
      <c r="A806" s="29"/>
    </row>
    <row r="807" spans="1:1">
      <c r="A807" s="29"/>
    </row>
    <row r="808" spans="1:1">
      <c r="A808" s="29"/>
    </row>
    <row r="809" spans="1:1">
      <c r="A809" s="29"/>
    </row>
    <row r="810" spans="1:1">
      <c r="A810" s="29"/>
    </row>
    <row r="811" spans="1:1">
      <c r="A811" s="29"/>
    </row>
    <row r="812" spans="1:1">
      <c r="A812" s="29"/>
    </row>
    <row r="813" spans="1:1">
      <c r="A813" s="29"/>
    </row>
    <row r="814" spans="1:1">
      <c r="A814" s="29"/>
    </row>
    <row r="815" spans="1:1">
      <c r="A815" s="29"/>
    </row>
    <row r="816" spans="1:1">
      <c r="A816" s="29"/>
    </row>
    <row r="817" spans="1:1">
      <c r="A817" s="29"/>
    </row>
    <row r="818" spans="1:1">
      <c r="A818" s="29"/>
    </row>
    <row r="819" spans="1:1">
      <c r="A819" s="29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FB6F-B5B6-45D0-A077-A1579B76EE79}">
  <dimension ref="A1:M28"/>
  <sheetViews>
    <sheetView workbookViewId="0">
      <selection activeCell="C9" sqref="C9"/>
    </sheetView>
  </sheetViews>
  <sheetFormatPr defaultColWidth="8.85546875" defaultRowHeight="15"/>
  <cols>
    <col min="1" max="1" width="34.42578125" customWidth="1"/>
    <col min="8" max="8" width="27.42578125" customWidth="1"/>
    <col min="9" max="9" width="10.85546875" customWidth="1"/>
    <col min="12" max="12" width="15.42578125" bestFit="1" customWidth="1"/>
  </cols>
  <sheetData>
    <row r="1" spans="1:13" ht="21.75" customHeight="1">
      <c r="A1" s="133" t="s">
        <v>82</v>
      </c>
      <c r="H1" t="s">
        <v>60</v>
      </c>
      <c r="I1">
        <v>0.25</v>
      </c>
      <c r="L1" t="s">
        <v>68</v>
      </c>
      <c r="M1">
        <v>32.164000000000001</v>
      </c>
    </row>
    <row r="2" spans="1:13">
      <c r="A2" t="s">
        <v>74</v>
      </c>
      <c r="B2">
        <f>(4*I16)/(I17*PI()*(I19^2))</f>
        <v>7631.0572946588263</v>
      </c>
      <c r="H2" s="136" t="s">
        <v>71</v>
      </c>
      <c r="I2" s="136">
        <f>'BPV Calcs - T6'!B11</f>
        <v>33000</v>
      </c>
    </row>
    <row r="3" spans="1:13">
      <c r="A3" t="s">
        <v>91</v>
      </c>
      <c r="B3">
        <f>I6</f>
        <v>72000</v>
      </c>
      <c r="H3" s="136" t="s">
        <v>96</v>
      </c>
      <c r="I3" s="136">
        <v>85000</v>
      </c>
      <c r="J3" t="s">
        <v>95</v>
      </c>
    </row>
    <row r="4" spans="1:13">
      <c r="A4" s="40" t="s">
        <v>5</v>
      </c>
      <c r="B4" s="40">
        <f>B3/B2</f>
        <v>9.4351276919902904</v>
      </c>
      <c r="H4" s="137" t="s">
        <v>76</v>
      </c>
      <c r="I4">
        <v>120000</v>
      </c>
    </row>
    <row r="5" spans="1:13">
      <c r="A5" s="40"/>
      <c r="B5" s="40"/>
      <c r="H5" s="137" t="s">
        <v>77</v>
      </c>
      <c r="I5">
        <v>0.6</v>
      </c>
    </row>
    <row r="6" spans="1:13">
      <c r="A6" s="40"/>
      <c r="B6" s="40"/>
      <c r="H6" s="137" t="s">
        <v>78</v>
      </c>
      <c r="I6">
        <f>I4*I5</f>
        <v>72000</v>
      </c>
    </row>
    <row r="7" spans="1:13" ht="20.25" customHeight="1">
      <c r="A7" s="134" t="s">
        <v>81</v>
      </c>
      <c r="H7" s="135" t="s">
        <v>61</v>
      </c>
      <c r="I7" s="135"/>
    </row>
    <row r="8" spans="1:13">
      <c r="A8" s="129" t="s">
        <v>84</v>
      </c>
      <c r="B8">
        <f>I16*I18/(PI()*('BPV Calcs - T6'!B12-(2*'RT Mounting Bolt Calcs'!I1))*'RT Mounting Bolt Calcs'!I1)</f>
        <v>587.00440728144804</v>
      </c>
      <c r="C8" t="s">
        <v>88</v>
      </c>
      <c r="H8" t="s">
        <v>62</v>
      </c>
      <c r="I8">
        <f>'N2O Pressure Calcs'!P5</f>
        <v>6.1820000000000004</v>
      </c>
    </row>
    <row r="9" spans="1:13">
      <c r="A9" s="129" t="s">
        <v>90</v>
      </c>
      <c r="B9">
        <f>I2</f>
        <v>33000</v>
      </c>
      <c r="H9" t="s">
        <v>63</v>
      </c>
      <c r="I9">
        <f>'N2O Pressure Calcs'!M3</f>
        <v>32.200000000000003</v>
      </c>
    </row>
    <row r="10" spans="1:13">
      <c r="A10" s="142" t="s">
        <v>5</v>
      </c>
      <c r="B10" s="40">
        <f>B9/B8</f>
        <v>56.217635831442159</v>
      </c>
      <c r="H10" s="40" t="s">
        <v>64</v>
      </c>
      <c r="I10" s="128">
        <f>I8*I9</f>
        <v>199.06040000000004</v>
      </c>
    </row>
    <row r="12" spans="1:13">
      <c r="H12" t="s">
        <v>69</v>
      </c>
      <c r="I12" s="122">
        <v>26.631841000000001</v>
      </c>
    </row>
    <row r="13" spans="1:13" ht="18.75" customHeight="1">
      <c r="A13" s="134" t="s">
        <v>85</v>
      </c>
      <c r="H13" s="40" t="s">
        <v>70</v>
      </c>
      <c r="I13" s="127">
        <f>I12/M1</f>
        <v>0.82800152344235789</v>
      </c>
    </row>
    <row r="14" spans="1:13">
      <c r="A14" t="s">
        <v>86</v>
      </c>
      <c r="B14">
        <v>0.3715</v>
      </c>
      <c r="H14" s="40" t="s">
        <v>65</v>
      </c>
      <c r="I14" s="127">
        <f>'N2O Pressure Calcs'!M7</f>
        <v>1.0537823421600361</v>
      </c>
    </row>
    <row r="15" spans="1:13" ht="15.75" thickBot="1">
      <c r="A15" t="s">
        <v>87</v>
      </c>
      <c r="B15">
        <f>I16/(2*B14*I1)</f>
        <v>2016.627989234772</v>
      </c>
    </row>
    <row r="16" spans="1:13">
      <c r="A16" t="s">
        <v>89</v>
      </c>
      <c r="B16">
        <v>25000</v>
      </c>
      <c r="H16" s="138" t="s">
        <v>79</v>
      </c>
      <c r="I16" s="140">
        <f>I10*(I13+I14)</f>
        <v>374.58864900035888</v>
      </c>
      <c r="J16" t="s">
        <v>80</v>
      </c>
    </row>
    <row r="17" spans="1:10" ht="15.75" thickBot="1">
      <c r="A17" s="40" t="s">
        <v>5</v>
      </c>
      <c r="B17" s="40">
        <f>B16/B15</f>
        <v>12.396931974293622</v>
      </c>
      <c r="H17" s="139" t="s">
        <v>94</v>
      </c>
      <c r="I17" s="141">
        <v>1</v>
      </c>
    </row>
    <row r="18" spans="1:10" ht="15.75" thickBot="1">
      <c r="H18" s="130" t="s">
        <v>72</v>
      </c>
      <c r="I18" s="126">
        <v>8</v>
      </c>
    </row>
    <row r="19" spans="1:10" ht="15.75" thickBot="1">
      <c r="H19" s="132" t="s">
        <v>73</v>
      </c>
      <c r="I19" s="126">
        <v>0.25</v>
      </c>
      <c r="J19" s="131" t="s">
        <v>75</v>
      </c>
    </row>
    <row r="20" spans="1:10">
      <c r="A20" s="66" t="s">
        <v>92</v>
      </c>
      <c r="H20" s="4"/>
    </row>
    <row r="21" spans="1:10">
      <c r="A21" t="s">
        <v>93</v>
      </c>
      <c r="B21">
        <f>I16/(I1*I19)</f>
        <v>5993.4183840057422</v>
      </c>
    </row>
    <row r="22" spans="1:10">
      <c r="A22" t="s">
        <v>90</v>
      </c>
      <c r="B22">
        <f>I2</f>
        <v>33000</v>
      </c>
    </row>
    <row r="23" spans="1:10">
      <c r="A23" s="40" t="s">
        <v>5</v>
      </c>
      <c r="B23" s="40">
        <f>B22/B21</f>
        <v>5.5060397732394284</v>
      </c>
    </row>
    <row r="25" spans="1:10">
      <c r="A25" s="66" t="s">
        <v>98</v>
      </c>
    </row>
    <row r="26" spans="1:10">
      <c r="A26" t="s">
        <v>99</v>
      </c>
      <c r="B26">
        <f>I16/(I1*I19)</f>
        <v>5993.4183840057422</v>
      </c>
    </row>
    <row r="27" spans="1:10">
      <c r="A27" t="s">
        <v>97</v>
      </c>
      <c r="B27">
        <f>I3</f>
        <v>85000</v>
      </c>
    </row>
    <row r="28" spans="1:10">
      <c r="A28" s="40" t="s">
        <v>5</v>
      </c>
      <c r="B28" s="40">
        <f>B27/B26</f>
        <v>14.182223658343982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062AE-B621-E545-B314-3586194DA631}">
  <dimension ref="A1:G31"/>
  <sheetViews>
    <sheetView tabSelected="1" zoomScale="132" zoomScaleNormal="70" workbookViewId="0">
      <selection activeCell="E19" sqref="E19"/>
    </sheetView>
  </sheetViews>
  <sheetFormatPr defaultColWidth="8.85546875" defaultRowHeight="15"/>
  <cols>
    <col min="1" max="1" width="62" bestFit="1" customWidth="1"/>
    <col min="2" max="2" width="9.42578125" customWidth="1"/>
    <col min="3" max="3" width="14.85546875" bestFit="1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3" t="s">
        <v>6</v>
      </c>
      <c r="B1" s="213"/>
      <c r="C1" s="213"/>
      <c r="D1" s="213"/>
      <c r="E1" s="213"/>
      <c r="F1" s="213"/>
      <c r="G1" s="213"/>
    </row>
    <row r="2" spans="1:7" ht="15.75">
      <c r="A2" s="214" t="s">
        <v>11</v>
      </c>
      <c r="B2" s="214"/>
      <c r="C2" s="214"/>
      <c r="D2" s="214"/>
      <c r="E2" s="214"/>
      <c r="F2" s="214"/>
      <c r="G2" s="214"/>
    </row>
    <row r="3" spans="1:7" ht="15.75" thickBot="1">
      <c r="A3" s="216" t="s">
        <v>12</v>
      </c>
      <c r="B3" s="216"/>
      <c r="C3" s="216"/>
      <c r="D3" s="216"/>
      <c r="E3" s="216"/>
      <c r="F3" s="216"/>
      <c r="G3" s="216"/>
    </row>
    <row r="4" spans="1:7" ht="24" thickBot="1">
      <c r="A4" s="238" t="s">
        <v>113</v>
      </c>
      <c r="B4" s="239"/>
      <c r="C4" s="239"/>
      <c r="D4" s="239"/>
      <c r="E4" s="239"/>
      <c r="F4" s="240"/>
    </row>
    <row r="5" spans="1:7">
      <c r="A5" s="215" t="s">
        <v>4</v>
      </c>
      <c r="B5" s="215"/>
      <c r="C5" s="147"/>
      <c r="E5" s="215" t="s">
        <v>3</v>
      </c>
      <c r="F5" s="215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0.22502898694663789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0.10660922203137681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0.22502898694663789</v>
      </c>
    </row>
    <row r="11" spans="1:7" ht="29.1" customHeight="1">
      <c r="A11" s="241" t="s">
        <v>109</v>
      </c>
      <c r="B11" s="165">
        <v>27000</v>
      </c>
      <c r="C11" s="166" t="s">
        <v>111</v>
      </c>
      <c r="E11" s="7"/>
      <c r="F11" s="6"/>
    </row>
    <row r="12" spans="1:7" ht="15.75" thickBot="1">
      <c r="A12" t="s">
        <v>83</v>
      </c>
      <c r="B12">
        <v>7</v>
      </c>
      <c r="C12" s="159"/>
      <c r="E12" s="108" t="s">
        <v>54</v>
      </c>
      <c r="F12" s="109">
        <f>(B17*B8)/((2*B11*B9)-(0.2*B17))</f>
        <v>0.10874959929483145</v>
      </c>
    </row>
    <row r="13" spans="1:7" ht="16.5" thickBot="1">
      <c r="A13" s="120" t="s">
        <v>66</v>
      </c>
      <c r="B13" s="160">
        <f>0.25-0.025</f>
        <v>0.22500000000000001</v>
      </c>
      <c r="C13" s="161">
        <f>B13/F10</f>
        <v>0.99987118572130995</v>
      </c>
      <c r="E13" s="110" t="s">
        <v>55</v>
      </c>
      <c r="F13" s="111">
        <f>F12</f>
        <v>0.10874959929483145</v>
      </c>
    </row>
    <row r="14" spans="1:7" ht="15.75" thickBot="1">
      <c r="A14" s="120" t="s">
        <v>67</v>
      </c>
      <c r="B14" s="162">
        <v>0.15</v>
      </c>
      <c r="C14" s="163">
        <f>B14/F13</f>
        <v>1.3793154271155925</v>
      </c>
      <c r="E14" s="5"/>
      <c r="F14" s="5"/>
    </row>
    <row r="15" spans="1:7">
      <c r="C15" s="40" t="s">
        <v>108</v>
      </c>
      <c r="E15" s="5"/>
      <c r="F15" s="5"/>
    </row>
    <row r="16" spans="1:7" ht="30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5:B5"/>
    <mergeCell ref="E5:F5"/>
    <mergeCell ref="A4:F4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167-0C48-364A-BC9D-17A312718497}">
  <dimension ref="A1:G31"/>
  <sheetViews>
    <sheetView zoomScale="132" zoomScaleNormal="70" workbookViewId="0">
      <selection activeCell="A8" sqref="A8"/>
    </sheetView>
  </sheetViews>
  <sheetFormatPr defaultColWidth="8.85546875" defaultRowHeight="15"/>
  <cols>
    <col min="1" max="1" width="62" bestFit="1" customWidth="1"/>
    <col min="2" max="2" width="9.42578125" customWidth="1"/>
    <col min="3" max="3" width="14.85546875" bestFit="1" customWidth="1"/>
    <col min="4" max="4" width="3.7109375" customWidth="1"/>
    <col min="5" max="5" width="35.28515625" bestFit="1" customWidth="1"/>
    <col min="6" max="6" width="21.85546875" customWidth="1"/>
  </cols>
  <sheetData>
    <row r="1" spans="1:7" ht="15.75">
      <c r="A1" s="213" t="s">
        <v>6</v>
      </c>
      <c r="B1" s="213"/>
      <c r="C1" s="213"/>
      <c r="D1" s="213"/>
      <c r="E1" s="213"/>
      <c r="F1" s="213"/>
      <c r="G1" s="213"/>
    </row>
    <row r="2" spans="1:7" ht="15.75">
      <c r="A2" s="214" t="s">
        <v>11</v>
      </c>
      <c r="B2" s="214"/>
      <c r="C2" s="214"/>
      <c r="D2" s="214"/>
      <c r="E2" s="214"/>
      <c r="F2" s="214"/>
      <c r="G2" s="214"/>
    </row>
    <row r="3" spans="1:7" ht="15.75" thickBot="1">
      <c r="A3" s="216" t="s">
        <v>12</v>
      </c>
      <c r="B3" s="216"/>
      <c r="C3" s="216"/>
      <c r="D3" s="216"/>
      <c r="E3" s="216"/>
      <c r="F3" s="216"/>
      <c r="G3" s="216"/>
    </row>
    <row r="4" spans="1:7" ht="24" thickBot="1">
      <c r="A4" s="238" t="s">
        <v>112</v>
      </c>
      <c r="B4" s="239"/>
      <c r="C4" s="239"/>
      <c r="D4" s="239"/>
      <c r="E4" s="239"/>
      <c r="F4" s="240"/>
    </row>
    <row r="5" spans="1:7">
      <c r="A5" s="215" t="s">
        <v>4</v>
      </c>
      <c r="B5" s="215"/>
      <c r="C5" s="147"/>
      <c r="E5" s="215" t="s">
        <v>3</v>
      </c>
      <c r="F5" s="215"/>
    </row>
    <row r="6" spans="1:7">
      <c r="A6" t="s">
        <v>1</v>
      </c>
      <c r="B6">
        <v>825</v>
      </c>
      <c r="E6" s="1"/>
      <c r="F6" s="2"/>
    </row>
    <row r="7" spans="1:7">
      <c r="A7" s="3" t="s">
        <v>2</v>
      </c>
      <c r="B7" s="3">
        <v>0</v>
      </c>
      <c r="C7" s="58"/>
    </row>
    <row r="8" spans="1:7">
      <c r="A8" t="s">
        <v>0</v>
      </c>
      <c r="B8">
        <v>3.25</v>
      </c>
      <c r="E8" s="8" t="s">
        <v>8</v>
      </c>
      <c r="F8" s="9">
        <f>B17*B8/((B11*B9)-(0.6*B17))</f>
        <v>0.31492853601239978</v>
      </c>
    </row>
    <row r="9" spans="1:7">
      <c r="A9" t="s">
        <v>9</v>
      </c>
      <c r="B9" s="3">
        <v>0.9</v>
      </c>
      <c r="C9" s="58"/>
      <c r="E9" s="10" t="s">
        <v>10</v>
      </c>
      <c r="F9" s="11">
        <f>B17*B8/((2*B11*B9)+(0.4*B17))</f>
        <v>0.14613570124845895</v>
      </c>
    </row>
    <row r="10" spans="1:7">
      <c r="A10" s="4" t="s">
        <v>5</v>
      </c>
      <c r="B10">
        <v>2</v>
      </c>
      <c r="E10" s="12" t="s">
        <v>15</v>
      </c>
      <c r="F10" s="13">
        <f>MAX(F8:F9)</f>
        <v>0.31492853601239978</v>
      </c>
    </row>
    <row r="11" spans="1:7" ht="29.1" customHeight="1">
      <c r="A11" s="164" t="s">
        <v>109</v>
      </c>
      <c r="B11" s="165">
        <v>19600</v>
      </c>
      <c r="C11" s="167" t="s">
        <v>110</v>
      </c>
      <c r="E11" s="7"/>
      <c r="F11" s="6"/>
    </row>
    <row r="12" spans="1:7" ht="15.75" thickBot="1">
      <c r="A12" t="s">
        <v>83</v>
      </c>
      <c r="B12">
        <v>7</v>
      </c>
      <c r="C12" s="159"/>
      <c r="E12" s="108" t="s">
        <v>54</v>
      </c>
      <c r="F12" s="109">
        <f>(B17*B8)/((2*B11*B9)-(0.2*B17))</f>
        <v>0.15018759721861846</v>
      </c>
    </row>
    <row r="13" spans="1:7" ht="16.5" thickBot="1">
      <c r="A13" s="120" t="s">
        <v>66</v>
      </c>
      <c r="B13" s="160">
        <f>0.25-0.025</f>
        <v>0.22500000000000001</v>
      </c>
      <c r="C13" s="161">
        <f>B13/F10</f>
        <v>0.71444780091678006</v>
      </c>
      <c r="E13" s="110" t="s">
        <v>55</v>
      </c>
      <c r="F13" s="111">
        <f>F12</f>
        <v>0.15018759721861846</v>
      </c>
    </row>
    <row r="14" spans="1:7" ht="15.75" thickBot="1">
      <c r="A14" s="120" t="s">
        <v>67</v>
      </c>
      <c r="B14" s="162">
        <v>0.15</v>
      </c>
      <c r="C14" s="163">
        <f>B14/F13</f>
        <v>0.99875091404288596</v>
      </c>
      <c r="E14" s="5"/>
      <c r="F14" s="5"/>
    </row>
    <row r="15" spans="1:7">
      <c r="C15" s="40" t="s">
        <v>108</v>
      </c>
      <c r="E15" s="5"/>
      <c r="F15" s="5"/>
    </row>
    <row r="16" spans="1:7" ht="30">
      <c r="A16" s="56" t="s">
        <v>41</v>
      </c>
      <c r="B16" s="123">
        <f>'N2O Pressure Calcs'!H53</f>
        <v>807.70698482306932</v>
      </c>
      <c r="C16" s="150"/>
      <c r="E16" s="5"/>
      <c r="F16" s="5"/>
    </row>
    <row r="17" spans="1:6">
      <c r="A17" s="55" t="s">
        <v>42</v>
      </c>
      <c r="B17" s="125">
        <f>B10*B16</f>
        <v>1615.4139696461386</v>
      </c>
      <c r="C17" s="151"/>
      <c r="E17" s="5"/>
      <c r="F17" s="5"/>
    </row>
    <row r="18" spans="1:6">
      <c r="A18" s="59"/>
      <c r="B18" s="57"/>
      <c r="C18" s="58"/>
      <c r="D18" s="58"/>
      <c r="E18" s="5"/>
      <c r="F18" s="5"/>
    </row>
    <row r="19" spans="1:6" ht="46.5" customHeight="1">
      <c r="A19" s="56" t="s">
        <v>58</v>
      </c>
      <c r="B19" s="124">
        <f>'N2O Pressure Calcs'!J53</f>
        <v>810.73685002846571</v>
      </c>
      <c r="C19" s="152"/>
      <c r="E19" s="5"/>
      <c r="F19" s="5"/>
    </row>
    <row r="20" spans="1:6">
      <c r="E20" s="5"/>
    </row>
    <row r="24" spans="1:6" ht="33.75" customHeight="1">
      <c r="A24" s="52"/>
      <c r="B24" s="21"/>
      <c r="C24" s="21"/>
    </row>
    <row r="25" spans="1:6" ht="15" customHeight="1">
      <c r="A25" s="53"/>
      <c r="B25" s="22"/>
      <c r="C25" s="22"/>
    </row>
    <row r="26" spans="1:6">
      <c r="A26" s="22"/>
      <c r="B26" s="22"/>
      <c r="C26" s="22"/>
    </row>
    <row r="27" spans="1:6">
      <c r="A27" s="51"/>
      <c r="B27" s="22"/>
      <c r="C27" s="22"/>
    </row>
    <row r="28" spans="1:6" ht="15" customHeight="1">
      <c r="A28" s="54"/>
      <c r="B28" s="21"/>
      <c r="C28" s="21"/>
    </row>
    <row r="29" spans="1:6">
      <c r="A29" s="54"/>
      <c r="B29" s="22"/>
      <c r="C29" s="22"/>
    </row>
    <row r="30" spans="1:6">
      <c r="A30" s="54"/>
      <c r="B30" s="21"/>
      <c r="C30" s="21"/>
    </row>
    <row r="31" spans="1:6">
      <c r="A31" s="51"/>
    </row>
  </sheetData>
  <mergeCells count="6">
    <mergeCell ref="A1:G1"/>
    <mergeCell ref="A2:G2"/>
    <mergeCell ref="A3:G3"/>
    <mergeCell ref="A4:F4"/>
    <mergeCell ref="A5:B5"/>
    <mergeCell ref="E5:F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BPV Calcs - T6</vt:lpstr>
      <vt:lpstr>BPV Calcs - T51</vt:lpstr>
      <vt:lpstr>BPV Calcs for No PWHT</vt:lpstr>
      <vt:lpstr>N2O Pressure Calcs</vt:lpstr>
      <vt:lpstr>N2O Ullage Calcs</vt:lpstr>
      <vt:lpstr>Max Mass 4 a set Diptube length</vt:lpstr>
      <vt:lpstr>RT Mounting Bolt Calcs</vt:lpstr>
      <vt:lpstr>Min Yield Strength Allow -Shell</vt:lpstr>
      <vt:lpstr>Min Yield Strength Allow - Head</vt:lpstr>
      <vt:lpstr>'Max Mass 4 a set Diptube length'!_MailAutoSig</vt:lpstr>
      <vt:lpstr>'N2O Ullage Calcs'!_MailAutoSig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2019-09-20T23:36:16Z</dcterms:modified>
</cp:coreProperties>
</file>