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ymnastics on GitHub!\Gymnastics-on-GitHub\Project 3 - MS Excel analysis\"/>
    </mc:Choice>
  </mc:AlternateContent>
  <xr:revisionPtr revIDLastSave="0" documentId="8_{B7276A91-26EF-471E-AD6A-9D9098F5F399}" xr6:coauthVersionLast="47" xr6:coauthVersionMax="47" xr10:uidLastSave="{00000000-0000-0000-0000-000000000000}"/>
  <bookViews>
    <workbookView xWindow="-120" yWindow="-120" windowWidth="29040" windowHeight="15720" firstSheet="1" activeTab="10" xr2:uid="{3D6D86FB-A2A0-B64C-B7F3-2D4BA49ADDA1}"/>
  </bookViews>
  <sheets>
    <sheet name="Bydgoszcz_2022" sheetId="7" r:id="rId1"/>
    <sheet name="Zabrze_2022" sheetId="2" r:id="rId2"/>
    <sheet name="Cracow_2022" sheetId="6" r:id="rId3"/>
    <sheet name="Gdansk_2022" sheetId="3" r:id="rId4"/>
    <sheet name="FX_2022" sheetId="8" r:id="rId5"/>
    <sheet name="PH_2022" sheetId="10" r:id="rId6"/>
    <sheet name="SR_2022" sheetId="11" r:id="rId7"/>
    <sheet name="VT_2022" sheetId="12" r:id="rId8"/>
    <sheet name="PB_2022" sheetId="13" r:id="rId9"/>
    <sheet name="HB_2022" sheetId="14" r:id="rId10"/>
    <sheet name="AA_2022" sheetId="15" r:id="rId11"/>
  </sheets>
  <definedNames>
    <definedName name="_xlcn.WorksheetConnection_GymnasticsinPoland.xlsxfloor_exercise1" hidden="1">FX[]</definedName>
    <definedName name="_xlcn.WorksheetConnection_GymnasticsinPoland.xlsxpommel_horse1" hidden="1">PH[]</definedName>
    <definedName name="ExternalData_1" localSheetId="0" hidden="1">Bydgoszcz_2022!$A$1:$AB$33</definedName>
    <definedName name="ExternalData_1" localSheetId="2" hidden="1">Cracow_2022!$A$1:$AB$40</definedName>
    <definedName name="ExternalData_1" localSheetId="8" hidden="1">PB_2022!$A$1:$Q$44</definedName>
    <definedName name="ExternalData_1" localSheetId="5" hidden="1">PH_2022!$A$1:$Q$44</definedName>
    <definedName name="ExternalData_1" localSheetId="1" hidden="1">Zabrze_2022!$A$1:$AB$38</definedName>
    <definedName name="ExternalData_2" localSheetId="4" hidden="1">FX_2022!$A$1:$Q$47</definedName>
    <definedName name="ExternalData_2" localSheetId="3" hidden="1">Gdansk_2022!$A$1:$AB$34</definedName>
    <definedName name="ExternalData_2" localSheetId="9" hidden="1">HB_2022!$A$1:$Q$38</definedName>
    <definedName name="ExternalData_2" localSheetId="6" hidden="1">SR_2022!$A$1:$Q$50</definedName>
    <definedName name="ExternalData_3" localSheetId="10" hidden="1">AA_2022!$A$1:$CK$53</definedName>
    <definedName name="ExternalData_3" localSheetId="7" hidden="1">VT_2022!$A$1:$Q$47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ommel_horse" name="pommel_horse" connection="WorksheetConnection_Gymnastics-in-Poland.xlsx!pommel_horse"/>
          <x15:modelTable id="floor_exercise" name="floor_exercise" connection="WorksheetConnection_Gymnastics-in-Poland.xlsx!floor_exercis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1" i="15" l="1" a="1"/>
  <c r="A61" i="15" s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H50" i="2" s="1" a="1"/>
  <c r="H50" i="2" s="1"/>
  <c r="I50" i="2" s="1" a="1"/>
  <c r="I50" i="2" s="1"/>
  <c r="AB27" i="2"/>
  <c r="AB28" i="2"/>
  <c r="AB29" i="2"/>
  <c r="AB30" i="2"/>
  <c r="AB31" i="2"/>
  <c r="AB32" i="2"/>
  <c r="AB33" i="2"/>
  <c r="AB34" i="2"/>
  <c r="AB35" i="2"/>
  <c r="AB36" i="2"/>
  <c r="AB37" i="2"/>
  <c r="AB38" i="2"/>
  <c r="AB2" i="2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T44" i="7" s="1" a="1"/>
  <c r="T44" i="7" s="1"/>
  <c r="U44" i="7" s="1" a="1"/>
  <c r="U44" i="7" s="1"/>
  <c r="AB26" i="7"/>
  <c r="AB27" i="7"/>
  <c r="AB28" i="7"/>
  <c r="AB29" i="7"/>
  <c r="AB30" i="7"/>
  <c r="AB31" i="7"/>
  <c r="AB32" i="7"/>
  <c r="AB33" i="7"/>
  <c r="AB2" i="7"/>
  <c r="AA2" i="7"/>
  <c r="Z5" i="3"/>
  <c r="Z7" i="3"/>
  <c r="Z17" i="3"/>
  <c r="Z20" i="3"/>
  <c r="Z30" i="3"/>
  <c r="Z31" i="3"/>
  <c r="Z10" i="3"/>
  <c r="Z11" i="3"/>
  <c r="Z19" i="3"/>
  <c r="Z21" i="3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P44" i="7" s="1"/>
  <c r="AA26" i="7"/>
  <c r="AA27" i="7"/>
  <c r="AA28" i="7"/>
  <c r="AA29" i="7"/>
  <c r="AA30" i="7"/>
  <c r="AA31" i="7"/>
  <c r="AA32" i="7"/>
  <c r="AA33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N44" i="7" s="1"/>
  <c r="Z25" i="7"/>
  <c r="Z26" i="7"/>
  <c r="Z27" i="7"/>
  <c r="Z28" i="7"/>
  <c r="Z29" i="7"/>
  <c r="Z30" i="7"/>
  <c r="Z31" i="7"/>
  <c r="Z32" i="7"/>
  <c r="Z33" i="7"/>
  <c r="Z2" i="7"/>
  <c r="H42" i="7"/>
  <c r="H43" i="7"/>
  <c r="E38" i="7" a="1"/>
  <c r="E38" i="7" s="1"/>
  <c r="C42" i="3" a="1"/>
  <c r="C42" i="3" s="1"/>
  <c r="R2" i="8"/>
  <c r="A52" i="8" a="1"/>
  <c r="A52" i="8" s="1"/>
  <c r="CO12" i="15"/>
  <c r="CO6" i="15"/>
  <c r="CO9" i="15"/>
  <c r="CO4" i="15"/>
  <c r="CO10" i="15"/>
  <c r="CO7" i="15"/>
  <c r="CO13" i="15"/>
  <c r="CO15" i="15"/>
  <c r="CO8" i="15"/>
  <c r="CO17" i="15"/>
  <c r="CO2" i="15"/>
  <c r="CO5" i="15"/>
  <c r="CO11" i="15"/>
  <c r="CO14" i="15"/>
  <c r="CO16" i="15"/>
  <c r="CO18" i="15"/>
  <c r="CO19" i="15"/>
  <c r="CO20" i="15"/>
  <c r="CO21" i="15"/>
  <c r="CO22" i="15"/>
  <c r="CO23" i="15"/>
  <c r="CO24" i="15"/>
  <c r="CO25" i="15"/>
  <c r="CO26" i="15"/>
  <c r="CO27" i="15"/>
  <c r="CO28" i="15"/>
  <c r="CO29" i="15"/>
  <c r="CO30" i="15"/>
  <c r="CO31" i="15"/>
  <c r="CO32" i="15"/>
  <c r="CO33" i="15"/>
  <c r="CO34" i="15"/>
  <c r="CO35" i="15"/>
  <c r="CO36" i="15"/>
  <c r="CO37" i="15"/>
  <c r="CO38" i="15"/>
  <c r="CO39" i="15"/>
  <c r="CO40" i="15"/>
  <c r="CO41" i="15"/>
  <c r="CO42" i="15"/>
  <c r="CO43" i="15"/>
  <c r="CO44" i="15"/>
  <c r="CO45" i="15"/>
  <c r="CO46" i="15"/>
  <c r="CO47" i="15"/>
  <c r="CO48" i="15"/>
  <c r="CO49" i="15"/>
  <c r="CO50" i="15"/>
  <c r="CO51" i="15"/>
  <c r="CO52" i="15"/>
  <c r="CO53" i="15"/>
  <c r="CO3" i="15"/>
  <c r="BS3" i="15"/>
  <c r="BS12" i="15"/>
  <c r="BS6" i="15"/>
  <c r="BS9" i="15"/>
  <c r="BS4" i="15"/>
  <c r="BS10" i="15"/>
  <c r="BS7" i="15"/>
  <c r="BS13" i="15"/>
  <c r="BS15" i="15"/>
  <c r="BS8" i="15"/>
  <c r="BS17" i="15"/>
  <c r="BS2" i="15"/>
  <c r="BS5" i="15"/>
  <c r="BS11" i="15"/>
  <c r="BS14" i="15"/>
  <c r="BS16" i="15"/>
  <c r="BS18" i="15"/>
  <c r="BS19" i="15"/>
  <c r="BS20" i="15"/>
  <c r="BS21" i="15"/>
  <c r="BS22" i="15"/>
  <c r="BS23" i="15"/>
  <c r="BS24" i="15"/>
  <c r="BS25" i="15"/>
  <c r="BS26" i="15"/>
  <c r="BS27" i="15"/>
  <c r="BS28" i="15"/>
  <c r="BS29" i="15"/>
  <c r="BS30" i="15"/>
  <c r="BS31" i="15"/>
  <c r="BS32" i="15"/>
  <c r="BS33" i="15"/>
  <c r="BS34" i="15"/>
  <c r="BS35" i="15"/>
  <c r="BS36" i="15"/>
  <c r="BS37" i="15"/>
  <c r="BS38" i="15"/>
  <c r="BS39" i="15"/>
  <c r="BS40" i="15"/>
  <c r="BS41" i="15"/>
  <c r="BS42" i="15"/>
  <c r="BS43" i="15"/>
  <c r="BS44" i="15"/>
  <c r="BS45" i="15"/>
  <c r="BS46" i="15"/>
  <c r="BS47" i="15"/>
  <c r="BS48" i="15"/>
  <c r="BS49" i="15"/>
  <c r="BS50" i="15"/>
  <c r="BS51" i="15"/>
  <c r="BS52" i="15"/>
  <c r="BS53" i="15"/>
  <c r="AW3" i="15"/>
  <c r="AW12" i="15"/>
  <c r="E12" i="15" s="1"/>
  <c r="AW6" i="15"/>
  <c r="AW9" i="15"/>
  <c r="AW4" i="15"/>
  <c r="AW10" i="15"/>
  <c r="AW7" i="15"/>
  <c r="AW13" i="15"/>
  <c r="E13" i="15" s="1"/>
  <c r="AW15" i="15"/>
  <c r="AW8" i="15"/>
  <c r="AW17" i="15"/>
  <c r="AW2" i="15"/>
  <c r="AW5" i="15"/>
  <c r="AW11" i="15"/>
  <c r="E11" i="15" s="1"/>
  <c r="AW14" i="15"/>
  <c r="AW16" i="15"/>
  <c r="AW18" i="15"/>
  <c r="AW19" i="15"/>
  <c r="AW20" i="15"/>
  <c r="AW21" i="15"/>
  <c r="E21" i="15" s="1"/>
  <c r="CT21" i="15" s="1"/>
  <c r="AW22" i="15"/>
  <c r="AW23" i="15"/>
  <c r="AW24" i="15"/>
  <c r="AW25" i="15"/>
  <c r="AW26" i="15"/>
  <c r="AW27" i="15"/>
  <c r="E27" i="15" s="1"/>
  <c r="CS27" i="15" s="1"/>
  <c r="AW28" i="15"/>
  <c r="AW29" i="15"/>
  <c r="AW30" i="15"/>
  <c r="AW31" i="15"/>
  <c r="AW32" i="15"/>
  <c r="AW33" i="15"/>
  <c r="E33" i="15" s="1"/>
  <c r="CS33" i="15" s="1"/>
  <c r="AW34" i="15"/>
  <c r="AW35" i="15"/>
  <c r="AW36" i="15"/>
  <c r="AW37" i="15"/>
  <c r="AW38" i="15"/>
  <c r="AW39" i="15"/>
  <c r="E39" i="15" s="1"/>
  <c r="CT39" i="15" s="1"/>
  <c r="AW40" i="15"/>
  <c r="AW41" i="15"/>
  <c r="AW42" i="15"/>
  <c r="AW43" i="15"/>
  <c r="AW44" i="15"/>
  <c r="AW45" i="15"/>
  <c r="E45" i="15" s="1"/>
  <c r="CU45" i="15" s="1"/>
  <c r="AW46" i="15"/>
  <c r="AW47" i="15"/>
  <c r="AW48" i="15"/>
  <c r="AW49" i="15"/>
  <c r="AW50" i="15"/>
  <c r="AW51" i="15"/>
  <c r="E51" i="15" s="1"/>
  <c r="CT51" i="15" s="1"/>
  <c r="AW52" i="15"/>
  <c r="AW53" i="15"/>
  <c r="AA3" i="15"/>
  <c r="E3" i="15" s="1"/>
  <c r="AA12" i="15"/>
  <c r="AA6" i="15"/>
  <c r="A68" i="15" s="1" a="1"/>
  <c r="A68" i="15" s="1"/>
  <c r="AA9" i="15"/>
  <c r="E9" i="15" s="1"/>
  <c r="AA4" i="15"/>
  <c r="E4" i="15" s="1"/>
  <c r="AA10" i="15"/>
  <c r="E10" i="15" s="1"/>
  <c r="AA7" i="15"/>
  <c r="E7" i="15" s="1"/>
  <c r="AA13" i="15"/>
  <c r="AA15" i="15"/>
  <c r="E15" i="15" s="1"/>
  <c r="AA8" i="15"/>
  <c r="E8" i="15" s="1"/>
  <c r="AA17" i="15"/>
  <c r="E17" i="15" s="1"/>
  <c r="AA2" i="15"/>
  <c r="B69" i="15" s="1" a="1"/>
  <c r="B69" i="15" s="1"/>
  <c r="AA5" i="15"/>
  <c r="E5" i="15" s="1"/>
  <c r="AA11" i="15"/>
  <c r="AA14" i="15"/>
  <c r="E14" i="15" s="1"/>
  <c r="AA16" i="15"/>
  <c r="E16" i="15" s="1"/>
  <c r="AA18" i="15"/>
  <c r="E18" i="15" s="1"/>
  <c r="AA19" i="15"/>
  <c r="E19" i="15" s="1"/>
  <c r="CS19" i="15" s="1"/>
  <c r="AA20" i="15"/>
  <c r="E20" i="15" s="1"/>
  <c r="CT20" i="15" s="1"/>
  <c r="AA21" i="15"/>
  <c r="AA22" i="15"/>
  <c r="E22" i="15" s="1"/>
  <c r="CT22" i="15" s="1"/>
  <c r="AA23" i="15"/>
  <c r="E23" i="15" s="1"/>
  <c r="CU23" i="15" s="1"/>
  <c r="AA24" i="15"/>
  <c r="E24" i="15" s="1"/>
  <c r="CU24" i="15" s="1"/>
  <c r="AA25" i="15"/>
  <c r="E25" i="15" s="1"/>
  <c r="CU25" i="15" s="1"/>
  <c r="AA26" i="15"/>
  <c r="E26" i="15" s="1"/>
  <c r="CU26" i="15" s="1"/>
  <c r="AA27" i="15"/>
  <c r="AA28" i="15"/>
  <c r="E28" i="15" s="1"/>
  <c r="CU28" i="15" s="1"/>
  <c r="AA29" i="15"/>
  <c r="E29" i="15" s="1"/>
  <c r="CU29" i="15" s="1"/>
  <c r="AA30" i="15"/>
  <c r="E30" i="15" s="1"/>
  <c r="CU30" i="15" s="1"/>
  <c r="AA31" i="15"/>
  <c r="E31" i="15" s="1"/>
  <c r="CU31" i="15" s="1"/>
  <c r="AA32" i="15"/>
  <c r="E32" i="15" s="1"/>
  <c r="CS32" i="15" s="1"/>
  <c r="AA33" i="15"/>
  <c r="AA34" i="15"/>
  <c r="E34" i="15" s="1"/>
  <c r="CS34" i="15" s="1"/>
  <c r="AA35" i="15"/>
  <c r="E35" i="15" s="1"/>
  <c r="CT35" i="15" s="1"/>
  <c r="AA36" i="15"/>
  <c r="E36" i="15" s="1"/>
  <c r="CS36" i="15" s="1"/>
  <c r="AA37" i="15"/>
  <c r="E37" i="15" s="1"/>
  <c r="CQ37" i="15" s="1"/>
  <c r="AA38" i="15"/>
  <c r="E38" i="15" s="1"/>
  <c r="CT38" i="15" s="1"/>
  <c r="AA39" i="15"/>
  <c r="AA40" i="15"/>
  <c r="E40" i="15" s="1"/>
  <c r="CT40" i="15" s="1"/>
  <c r="AA41" i="15"/>
  <c r="E41" i="15" s="1"/>
  <c r="CQ41" i="15" s="1"/>
  <c r="AA42" i="15"/>
  <c r="E42" i="15" s="1"/>
  <c r="CT42" i="15" s="1"/>
  <c r="AA43" i="15"/>
  <c r="E43" i="15" s="1"/>
  <c r="CT43" i="15" s="1"/>
  <c r="AA44" i="15"/>
  <c r="E44" i="15" s="1"/>
  <c r="CT44" i="15" s="1"/>
  <c r="AA45" i="15"/>
  <c r="AA46" i="15"/>
  <c r="E46" i="15" s="1"/>
  <c r="CS46" i="15" s="1"/>
  <c r="AA47" i="15"/>
  <c r="E47" i="15" s="1"/>
  <c r="CQ47" i="15" s="1"/>
  <c r="AA48" i="15"/>
  <c r="E48" i="15" s="1"/>
  <c r="CS48" i="15" s="1"/>
  <c r="AA49" i="15"/>
  <c r="E49" i="15" s="1"/>
  <c r="CT49" i="15" s="1"/>
  <c r="AA50" i="15"/>
  <c r="E50" i="15" s="1"/>
  <c r="CS50" i="15" s="1"/>
  <c r="AA51" i="15"/>
  <c r="AA52" i="15"/>
  <c r="E52" i="15" s="1"/>
  <c r="CU52" i="15" s="1"/>
  <c r="AA53" i="15"/>
  <c r="E53" i="15" s="1"/>
  <c r="CU53" i="15" s="1"/>
  <c r="G2" i="3"/>
  <c r="Z2" i="3" s="1"/>
  <c r="CM6" i="15"/>
  <c r="A56" i="10" a="1"/>
  <c r="A56" i="10" s="1"/>
  <c r="A53" i="8" a="1"/>
  <c r="A53" i="8" s="1"/>
  <c r="G46" i="3" a="1"/>
  <c r="G46" i="3" s="1"/>
  <c r="G45" i="3" a="1"/>
  <c r="G45" i="3" s="1"/>
  <c r="G44" i="3" a="1"/>
  <c r="G44" i="3" s="1"/>
  <c r="G43" i="3" a="1"/>
  <c r="G43" i="3" s="1"/>
  <c r="G42" i="3" a="1"/>
  <c r="G42" i="3" s="1"/>
  <c r="G41" i="3" a="1"/>
  <c r="G41" i="3" s="1"/>
  <c r="E42" i="3" a="1"/>
  <c r="E42" i="3" s="1"/>
  <c r="E46" i="3" a="1"/>
  <c r="E46" i="3" s="1"/>
  <c r="E45" i="3" a="1"/>
  <c r="E45" i="3" s="1"/>
  <c r="E44" i="3" a="1"/>
  <c r="E44" i="3" s="1"/>
  <c r="E43" i="3" a="1"/>
  <c r="E43" i="3" s="1"/>
  <c r="E41" i="3" a="1"/>
  <c r="E41" i="3" s="1"/>
  <c r="C46" i="3" a="1"/>
  <c r="C46" i="3" s="1"/>
  <c r="C45" i="3" a="1"/>
  <c r="C45" i="3" s="1"/>
  <c r="C44" i="3" a="1"/>
  <c r="C44" i="3" s="1"/>
  <c r="C43" i="3" a="1"/>
  <c r="C43" i="3" s="1"/>
  <c r="C41" i="3" a="1"/>
  <c r="C41" i="3" s="1"/>
  <c r="M47" i="6" a="1"/>
  <c r="M47" i="6" s="1"/>
  <c r="G47" i="6" a="1"/>
  <c r="G47" i="6" s="1"/>
  <c r="O51" i="6" a="1"/>
  <c r="O51" i="6" s="1"/>
  <c r="O50" i="6" a="1"/>
  <c r="O50" i="6" s="1"/>
  <c r="O49" i="6" a="1"/>
  <c r="O49" i="6" s="1"/>
  <c r="O48" i="6" a="1"/>
  <c r="O48" i="6" s="1"/>
  <c r="O47" i="6" a="1"/>
  <c r="O47" i="6" s="1"/>
  <c r="O46" i="6" a="1"/>
  <c r="O46" i="6" s="1"/>
  <c r="M51" i="6" a="1"/>
  <c r="M51" i="6" s="1"/>
  <c r="M50" i="6" a="1"/>
  <c r="M50" i="6" s="1"/>
  <c r="M49" i="6" a="1"/>
  <c r="M49" i="6" s="1"/>
  <c r="M48" i="6" a="1"/>
  <c r="M48" i="6" s="1"/>
  <c r="M46" i="6" a="1"/>
  <c r="M46" i="6" s="1"/>
  <c r="Q51" i="6" a="1"/>
  <c r="Q51" i="6" s="1"/>
  <c r="Q50" i="6" a="1"/>
  <c r="Q50" i="6" s="1"/>
  <c r="Q49" i="6" a="1"/>
  <c r="Q49" i="6" s="1"/>
  <c r="Q48" i="6" a="1"/>
  <c r="Q48" i="6" s="1"/>
  <c r="Q47" i="6" a="1"/>
  <c r="Q47" i="6" s="1"/>
  <c r="Q46" i="6" a="1"/>
  <c r="Q46" i="6" s="1"/>
  <c r="E51" i="6" a="1"/>
  <c r="E51" i="6" s="1"/>
  <c r="G51" i="6" a="1"/>
  <c r="G51" i="6" s="1"/>
  <c r="G50" i="6" a="1"/>
  <c r="G50" i="6" s="1"/>
  <c r="G49" i="6" a="1"/>
  <c r="G49" i="6" s="1"/>
  <c r="G48" i="6" a="1"/>
  <c r="G48" i="6" s="1"/>
  <c r="G46" i="6" a="1"/>
  <c r="G46" i="6" s="1"/>
  <c r="E50" i="6" a="1"/>
  <c r="E50" i="6" s="1"/>
  <c r="E49" i="6" a="1"/>
  <c r="E49" i="6" s="1"/>
  <c r="E48" i="6" a="1"/>
  <c r="E48" i="6" s="1"/>
  <c r="E47" i="6" a="1"/>
  <c r="E47" i="6" s="1"/>
  <c r="E46" i="6" a="1"/>
  <c r="E46" i="6" s="1"/>
  <c r="C51" i="6" a="1"/>
  <c r="C51" i="6" s="1"/>
  <c r="C50" i="6" a="1"/>
  <c r="C50" i="6" s="1"/>
  <c r="C49" i="6" a="1"/>
  <c r="C49" i="6" s="1"/>
  <c r="C48" i="6" a="1"/>
  <c r="C48" i="6" s="1"/>
  <c r="C47" i="6" a="1"/>
  <c r="C47" i="6" s="1"/>
  <c r="C46" i="6" a="1"/>
  <c r="C46" i="6" s="1"/>
  <c r="Q43" i="7" a="1"/>
  <c r="Q43" i="7" s="1"/>
  <c r="Q42" i="7" a="1"/>
  <c r="Q42" i="7" s="1"/>
  <c r="Q41" i="7" a="1"/>
  <c r="Q41" i="7" s="1"/>
  <c r="Q40" i="7" a="1"/>
  <c r="Q40" i="7" s="1"/>
  <c r="Q39" i="7" a="1"/>
  <c r="Q39" i="7" s="1"/>
  <c r="Q38" i="7" a="1"/>
  <c r="Q38" i="7" s="1"/>
  <c r="O43" i="7" a="1"/>
  <c r="O43" i="7" s="1"/>
  <c r="O42" i="7" a="1"/>
  <c r="O42" i="7" s="1"/>
  <c r="O41" i="7" a="1"/>
  <c r="O41" i="7" s="1"/>
  <c r="O40" i="7" a="1"/>
  <c r="O40" i="7" s="1"/>
  <c r="O39" i="7" a="1"/>
  <c r="O39" i="7" s="1"/>
  <c r="O38" i="7" a="1"/>
  <c r="O38" i="7" s="1"/>
  <c r="S43" i="7" a="1"/>
  <c r="S43" i="7" s="1"/>
  <c r="S42" i="7" a="1"/>
  <c r="S42" i="7" s="1"/>
  <c r="S41" i="7" a="1"/>
  <c r="S41" i="7" s="1"/>
  <c r="S40" i="7" a="1"/>
  <c r="S40" i="7" s="1"/>
  <c r="S39" i="7" a="1"/>
  <c r="S39" i="7" s="1"/>
  <c r="S38" i="7" a="1"/>
  <c r="S38" i="7" s="1"/>
  <c r="I43" i="7" a="1"/>
  <c r="I43" i="7" s="1"/>
  <c r="I42" i="7" a="1"/>
  <c r="I42" i="7" s="1"/>
  <c r="I41" i="7" a="1"/>
  <c r="I41" i="7" s="1"/>
  <c r="I40" i="7" a="1"/>
  <c r="I40" i="7" s="1"/>
  <c r="I39" i="7" a="1"/>
  <c r="I39" i="7" s="1"/>
  <c r="I38" i="7" a="1"/>
  <c r="I38" i="7" s="1"/>
  <c r="G43" i="7" a="1"/>
  <c r="G43" i="7" s="1"/>
  <c r="G42" i="7" a="1"/>
  <c r="G42" i="7" s="1"/>
  <c r="G41" i="7" a="1"/>
  <c r="G41" i="7" s="1"/>
  <c r="G40" i="7" a="1"/>
  <c r="G40" i="7" s="1"/>
  <c r="G39" i="7" a="1"/>
  <c r="G39" i="7" s="1"/>
  <c r="G38" i="7" a="1"/>
  <c r="G38" i="7" s="1"/>
  <c r="E43" i="7" a="1"/>
  <c r="E43" i="7" s="1"/>
  <c r="E42" i="7" a="1"/>
  <c r="E42" i="7" s="1"/>
  <c r="E41" i="7" a="1"/>
  <c r="E41" i="7" s="1"/>
  <c r="E40" i="7" a="1"/>
  <c r="E40" i="7" s="1"/>
  <c r="E39" i="7" a="1"/>
  <c r="E39" i="7" s="1"/>
  <c r="O44" i="2" a="1"/>
  <c r="O44" i="2" s="1"/>
  <c r="M45" i="2" a="1"/>
  <c r="M45" i="2" s="1"/>
  <c r="M44" i="2" a="1"/>
  <c r="M44" i="2" s="1"/>
  <c r="O49" i="2" a="1"/>
  <c r="O49" i="2" s="1"/>
  <c r="O48" i="2" a="1"/>
  <c r="O48" i="2" s="1"/>
  <c r="O47" i="2" a="1"/>
  <c r="O47" i="2" s="1"/>
  <c r="O46" i="2" a="1"/>
  <c r="O46" i="2" s="1"/>
  <c r="O45" i="2" a="1"/>
  <c r="O45" i="2" s="1"/>
  <c r="M49" i="2" a="1"/>
  <c r="M49" i="2" s="1"/>
  <c r="M48" i="2" a="1"/>
  <c r="M48" i="2" s="1"/>
  <c r="M47" i="2" a="1"/>
  <c r="M47" i="2" s="1"/>
  <c r="M46" i="2" a="1"/>
  <c r="M46" i="2" s="1"/>
  <c r="Q49" i="2" a="1"/>
  <c r="Q49" i="2" s="1"/>
  <c r="Q48" i="2" a="1"/>
  <c r="Q48" i="2" s="1"/>
  <c r="Q47" i="2" a="1"/>
  <c r="Q47" i="2" s="1"/>
  <c r="Q46" i="2" a="1"/>
  <c r="Q46" i="2" s="1"/>
  <c r="Q45" i="2" a="1"/>
  <c r="Q45" i="2" s="1"/>
  <c r="Q44" i="2" a="1"/>
  <c r="Q44" i="2" s="1"/>
  <c r="G49" i="2" a="1"/>
  <c r="G49" i="2" s="1"/>
  <c r="G48" i="2" a="1"/>
  <c r="G48" i="2" s="1"/>
  <c r="G47" i="2" a="1"/>
  <c r="G47" i="2" s="1"/>
  <c r="G46" i="2" a="1"/>
  <c r="G46" i="2" s="1"/>
  <c r="G45" i="2" a="1"/>
  <c r="G45" i="2" s="1"/>
  <c r="G44" i="2" a="1"/>
  <c r="G44" i="2" s="1"/>
  <c r="F49" i="2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D44" i="2"/>
  <c r="F44" i="2"/>
  <c r="C49" i="2" a="1"/>
  <c r="C49" i="2" s="1"/>
  <c r="C48" i="2" a="1"/>
  <c r="C48" i="2" s="1"/>
  <c r="C47" i="2" a="1"/>
  <c r="C47" i="2" s="1"/>
  <c r="C46" i="2" a="1"/>
  <c r="C46" i="2" s="1"/>
  <c r="C45" i="2" a="1"/>
  <c r="C45" i="2" s="1"/>
  <c r="C44" i="2" a="1"/>
  <c r="C44" i="2" s="1"/>
  <c r="B47" i="14" a="1"/>
  <c r="B47" i="14" s="1"/>
  <c r="B46" i="14" a="1"/>
  <c r="B46" i="14" s="1"/>
  <c r="B51" i="14" a="1"/>
  <c r="B51" i="14" s="1"/>
  <c r="B50" i="14" a="1"/>
  <c r="B50" i="14" s="1"/>
  <c r="B43" i="14" a="1"/>
  <c r="B43" i="14" s="1"/>
  <c r="B42" i="14" a="1"/>
  <c r="B42" i="14" s="1"/>
  <c r="A50" i="14" a="1"/>
  <c r="A50" i="14" s="1"/>
  <c r="A51" i="14" a="1"/>
  <c r="A51" i="14" s="1"/>
  <c r="A47" i="14" a="1"/>
  <c r="A47" i="14" s="1"/>
  <c r="A46" i="14" a="1"/>
  <c r="A46" i="14" s="1"/>
  <c r="A42" i="14" a="1"/>
  <c r="A42" i="14" s="1"/>
  <c r="A43" i="14" a="1"/>
  <c r="A43" i="14" s="1"/>
  <c r="C51" i="14" a="1"/>
  <c r="C51" i="14" s="1"/>
  <c r="D51" i="14" s="1" a="1"/>
  <c r="D51" i="14" s="1"/>
  <c r="C50" i="14" a="1"/>
  <c r="C50" i="14" s="1"/>
  <c r="D50" i="14" s="1" a="1"/>
  <c r="D50" i="14" s="1"/>
  <c r="C47" i="14" a="1"/>
  <c r="C47" i="14" s="1"/>
  <c r="D47" i="14" s="1" a="1"/>
  <c r="D47" i="14" s="1"/>
  <c r="C46" i="14" a="1"/>
  <c r="C46" i="14" s="1"/>
  <c r="D46" i="14" s="1" a="1"/>
  <c r="D46" i="14" s="1"/>
  <c r="C43" i="14" a="1"/>
  <c r="C43" i="14" s="1"/>
  <c r="D43" i="14" s="1" a="1"/>
  <c r="D43" i="14" s="1"/>
  <c r="C42" i="14" a="1"/>
  <c r="C42" i="14" s="1"/>
  <c r="D42" i="14" s="1" a="1"/>
  <c r="D42" i="14" s="1"/>
  <c r="D53" i="13" a="1"/>
  <c r="D53" i="13" s="1"/>
  <c r="C48" i="13" a="1"/>
  <c r="C48" i="13" s="1"/>
  <c r="D48" i="13" s="1" a="1"/>
  <c r="D48" i="13" s="1"/>
  <c r="C57" i="13" a="1"/>
  <c r="C57" i="13" s="1"/>
  <c r="D57" i="13" s="1" a="1"/>
  <c r="D57" i="13" s="1"/>
  <c r="C56" i="13" a="1"/>
  <c r="C56" i="13" s="1"/>
  <c r="D56" i="13" s="1" a="1"/>
  <c r="D56" i="13" s="1"/>
  <c r="C53" i="13" a="1"/>
  <c r="C53" i="13" s="1"/>
  <c r="C52" i="13" a="1"/>
  <c r="C52" i="13" s="1"/>
  <c r="D52" i="13" s="1" a="1"/>
  <c r="D52" i="13" s="1"/>
  <c r="C49" i="13" a="1"/>
  <c r="C49" i="13" s="1"/>
  <c r="D49" i="13" s="1" a="1"/>
  <c r="D49" i="13" s="1"/>
  <c r="B57" i="13" a="1"/>
  <c r="B57" i="13" s="1"/>
  <c r="B56" i="13" a="1"/>
  <c r="B56" i="13" s="1"/>
  <c r="B53" i="13" a="1"/>
  <c r="B53" i="13" s="1"/>
  <c r="B52" i="13" a="1"/>
  <c r="B52" i="13" s="1"/>
  <c r="B49" i="13" a="1"/>
  <c r="B49" i="13" s="1"/>
  <c r="B48" i="13" a="1"/>
  <c r="B48" i="13" s="1"/>
  <c r="A56" i="13" a="1"/>
  <c r="A56" i="13" s="1"/>
  <c r="A57" i="13" a="1"/>
  <c r="A57" i="13" s="1"/>
  <c r="A53" i="13" a="1"/>
  <c r="A53" i="13" s="1"/>
  <c r="A52" i="13" a="1"/>
  <c r="A52" i="13" s="1"/>
  <c r="A49" i="13" a="1"/>
  <c r="A49" i="13" s="1"/>
  <c r="A48" i="13" a="1"/>
  <c r="A48" i="13" s="1"/>
  <c r="D60" i="12" a="1"/>
  <c r="D60" i="12" s="1"/>
  <c r="D57" i="12" a="1"/>
  <c r="D57" i="12" s="1"/>
  <c r="C61" i="12" a="1"/>
  <c r="C61" i="12" s="1"/>
  <c r="D61" i="12" s="1" a="1"/>
  <c r="D61" i="12" s="1"/>
  <c r="C60" i="12" a="1"/>
  <c r="C60" i="12" s="1"/>
  <c r="C57" i="12" a="1"/>
  <c r="C57" i="12" s="1"/>
  <c r="C56" i="12" a="1"/>
  <c r="C56" i="12" s="1"/>
  <c r="D56" i="12" s="1" a="1"/>
  <c r="D56" i="12" s="1"/>
  <c r="C53" i="12" a="1"/>
  <c r="C53" i="12" s="1"/>
  <c r="D53" i="12" s="1" a="1"/>
  <c r="D53" i="12" s="1"/>
  <c r="C52" i="12" a="1"/>
  <c r="C52" i="12" s="1"/>
  <c r="D52" i="12" s="1" a="1"/>
  <c r="D52" i="12" s="1"/>
  <c r="B60" i="12" a="1"/>
  <c r="B60" i="12" s="1"/>
  <c r="B56" i="12" a="1"/>
  <c r="B56" i="12" s="1"/>
  <c r="B53" i="12" a="1"/>
  <c r="B53" i="12" s="1"/>
  <c r="B61" i="12" a="1"/>
  <c r="B61" i="12" s="1"/>
  <c r="B57" i="12" a="1"/>
  <c r="B57" i="12" s="1"/>
  <c r="B52" i="12" a="1"/>
  <c r="B52" i="12" s="1"/>
  <c r="A61" i="12" a="1"/>
  <c r="A61" i="12" s="1"/>
  <c r="A60" i="12" a="1"/>
  <c r="A60" i="12" s="1"/>
  <c r="A56" i="12" a="1"/>
  <c r="A56" i="12" s="1"/>
  <c r="A57" i="12" a="1"/>
  <c r="A57" i="12" s="1"/>
  <c r="A53" i="12" a="1"/>
  <c r="A53" i="12" s="1"/>
  <c r="A52" i="12" a="1"/>
  <c r="A52" i="12" s="1"/>
  <c r="C64" i="11" a="1"/>
  <c r="C64" i="11" s="1"/>
  <c r="D64" i="11" s="1" a="1"/>
  <c r="D64" i="11" s="1"/>
  <c r="C63" i="11" a="1"/>
  <c r="C63" i="11" s="1"/>
  <c r="D63" i="11" s="1" a="1"/>
  <c r="D63" i="11" s="1"/>
  <c r="C60" i="11" a="1"/>
  <c r="C60" i="11" s="1"/>
  <c r="D60" i="11" s="1" a="1"/>
  <c r="D60" i="11" s="1"/>
  <c r="C59" i="11" a="1"/>
  <c r="C59" i="11" s="1"/>
  <c r="D59" i="11" s="1" a="1"/>
  <c r="D59" i="11" s="1"/>
  <c r="C56" i="11" a="1"/>
  <c r="C56" i="11" s="1"/>
  <c r="D56" i="11" s="1" a="1"/>
  <c r="D56" i="11" s="1"/>
  <c r="C55" i="11" a="1"/>
  <c r="C55" i="11" s="1"/>
  <c r="D55" i="11" s="1" a="1"/>
  <c r="D55" i="11" s="1"/>
  <c r="B64" i="11" a="1"/>
  <c r="B64" i="11" s="1"/>
  <c r="B63" i="11" a="1"/>
  <c r="B63" i="11" s="1"/>
  <c r="B60" i="11" a="1"/>
  <c r="B60" i="11" s="1"/>
  <c r="B59" i="11" a="1"/>
  <c r="B59" i="11" s="1"/>
  <c r="B56" i="11" a="1"/>
  <c r="B56" i="11" s="1"/>
  <c r="B55" i="11" a="1"/>
  <c r="B55" i="11" s="1"/>
  <c r="A64" i="11" a="1"/>
  <c r="A64" i="11" s="1"/>
  <c r="A63" i="11" a="1"/>
  <c r="A63" i="11" s="1"/>
  <c r="A60" i="11" a="1"/>
  <c r="A60" i="11" s="1"/>
  <c r="A59" i="11" a="1"/>
  <c r="A59" i="11" s="1"/>
  <c r="A56" i="11" a="1"/>
  <c r="A56" i="11" s="1"/>
  <c r="A55" i="11" a="1"/>
  <c r="A55" i="11" s="1"/>
  <c r="C57" i="10" a="1"/>
  <c r="C57" i="10" s="1"/>
  <c r="D57" i="10" s="1" a="1"/>
  <c r="D57" i="10" s="1"/>
  <c r="C56" i="10" a="1"/>
  <c r="C56" i="10" s="1"/>
  <c r="D56" i="10" s="1" a="1"/>
  <c r="D56" i="10" s="1"/>
  <c r="C53" i="10" a="1"/>
  <c r="C53" i="10" s="1"/>
  <c r="D53" i="10" s="1" a="1"/>
  <c r="D53" i="10" s="1"/>
  <c r="C52" i="10" a="1"/>
  <c r="C52" i="10" s="1"/>
  <c r="D52" i="10" s="1" a="1"/>
  <c r="D52" i="10" s="1"/>
  <c r="C49" i="10" a="1"/>
  <c r="C49" i="10" s="1"/>
  <c r="D49" i="10" s="1" a="1"/>
  <c r="D49" i="10" s="1"/>
  <c r="C48" i="10" a="1"/>
  <c r="C48" i="10" s="1"/>
  <c r="D48" i="10" s="1" a="1"/>
  <c r="D48" i="10" s="1"/>
  <c r="B53" i="10" a="1"/>
  <c r="B53" i="10" s="1"/>
  <c r="B56" i="10" a="1"/>
  <c r="B56" i="10" s="1"/>
  <c r="B52" i="10" a="1"/>
  <c r="B52" i="10" s="1"/>
  <c r="B57" i="10" a="1"/>
  <c r="B57" i="10" s="1"/>
  <c r="B49" i="10" a="1"/>
  <c r="B49" i="10" s="1"/>
  <c r="B48" i="10" a="1"/>
  <c r="B48" i="10" s="1"/>
  <c r="B57" i="8" a="1"/>
  <c r="B57" i="8" s="1"/>
  <c r="C53" i="8" a="1"/>
  <c r="C53" i="8" s="1"/>
  <c r="D53" i="8" s="1" a="1"/>
  <c r="D53" i="8" s="1"/>
  <c r="B61" i="8" a="1"/>
  <c r="B61" i="8" s="1"/>
  <c r="B60" i="8" a="1"/>
  <c r="B60" i="8" s="1"/>
  <c r="B56" i="8" a="1"/>
  <c r="B56" i="8" s="1"/>
  <c r="B53" i="8" a="1"/>
  <c r="B53" i="8" s="1"/>
  <c r="B52" i="8" a="1"/>
  <c r="B52" i="8" s="1"/>
  <c r="A53" i="10" a="1"/>
  <c r="A53" i="10" s="1"/>
  <c r="A52" i="10" a="1"/>
  <c r="A52" i="10" s="1"/>
  <c r="A57" i="10" a="1"/>
  <c r="A57" i="10" s="1"/>
  <c r="A49" i="10" a="1"/>
  <c r="A49" i="10" s="1"/>
  <c r="A48" i="10" a="1"/>
  <c r="A48" i="10" s="1"/>
  <c r="C60" i="8" a="1"/>
  <c r="C60" i="8" s="1"/>
  <c r="D60" i="8" s="1" a="1"/>
  <c r="D60" i="8" s="1"/>
  <c r="C61" i="8" a="1"/>
  <c r="C61" i="8" s="1"/>
  <c r="D61" i="8" s="1" a="1"/>
  <c r="D61" i="8" s="1"/>
  <c r="C57" i="8" a="1"/>
  <c r="C57" i="8" s="1"/>
  <c r="D57" i="8" s="1" a="1"/>
  <c r="D57" i="8" s="1"/>
  <c r="C56" i="8" a="1"/>
  <c r="C56" i="8" s="1"/>
  <c r="D56" i="8" s="1" a="1"/>
  <c r="D56" i="8" s="1"/>
  <c r="C52" i="8" a="1"/>
  <c r="C52" i="8" s="1"/>
  <c r="D52" i="8" s="1" a="1"/>
  <c r="D52" i="8" s="1"/>
  <c r="A61" i="8" a="1"/>
  <c r="A61" i="8" s="1"/>
  <c r="A57" i="8" a="1"/>
  <c r="A57" i="8" s="1"/>
  <c r="A60" i="8" a="1"/>
  <c r="A60" i="8" s="1"/>
  <c r="A56" i="8" a="1"/>
  <c r="A56" i="8" s="1"/>
  <c r="R45" i="3" a="1"/>
  <c r="R45" i="3" s="1"/>
  <c r="S45" i="3" s="1" a="1"/>
  <c r="S45" i="3" s="1"/>
  <c r="H41" i="3" a="1"/>
  <c r="H41" i="3" s="1"/>
  <c r="I41" i="3" s="1" a="1"/>
  <c r="I41" i="3" s="1"/>
  <c r="R47" i="3" a="1"/>
  <c r="R47" i="3" s="1"/>
  <c r="S47" i="3" s="1" a="1"/>
  <c r="S47" i="3" s="1"/>
  <c r="R46" i="3" a="1"/>
  <c r="R46" i="3" s="1"/>
  <c r="S46" i="3" s="1" a="1"/>
  <c r="S46" i="3" s="1"/>
  <c r="Q46" i="3" a="1"/>
  <c r="Q46" i="3" s="1"/>
  <c r="P46" i="3"/>
  <c r="O46" i="3" a="1"/>
  <c r="O46" i="3" s="1"/>
  <c r="N46" i="3"/>
  <c r="M46" i="3"/>
  <c r="M46" i="3" a="1"/>
  <c r="L46" i="3"/>
  <c r="Q45" i="3" a="1"/>
  <c r="Q45" i="3" s="1"/>
  <c r="P45" i="3"/>
  <c r="O45" i="3" a="1"/>
  <c r="O45" i="3" s="1"/>
  <c r="N45" i="3"/>
  <c r="M45" i="3" a="1"/>
  <c r="M45" i="3" s="1"/>
  <c r="L45" i="3"/>
  <c r="R44" i="3" a="1"/>
  <c r="R44" i="3" s="1"/>
  <c r="S44" i="3" s="1" a="1"/>
  <c r="S44" i="3" s="1"/>
  <c r="Q44" i="3" a="1"/>
  <c r="Q44" i="3" s="1"/>
  <c r="P44" i="3"/>
  <c r="O44" i="3" a="1"/>
  <c r="O44" i="3" s="1"/>
  <c r="N44" i="3"/>
  <c r="M44" i="3" a="1"/>
  <c r="M44" i="3" s="1"/>
  <c r="L44" i="3"/>
  <c r="R43" i="3" a="1"/>
  <c r="R43" i="3" s="1"/>
  <c r="S43" i="3" s="1" a="1"/>
  <c r="S43" i="3" s="1"/>
  <c r="Q43" i="3" a="1"/>
  <c r="Q43" i="3" s="1"/>
  <c r="P43" i="3"/>
  <c r="O43" i="3" a="1"/>
  <c r="O43" i="3" s="1"/>
  <c r="N43" i="3"/>
  <c r="M43" i="3" a="1"/>
  <c r="M43" i="3" s="1"/>
  <c r="L43" i="3"/>
  <c r="R42" i="3" a="1"/>
  <c r="R42" i="3" s="1"/>
  <c r="S42" i="3" s="1" a="1"/>
  <c r="S42" i="3" s="1"/>
  <c r="Q42" i="3" a="1"/>
  <c r="Q42" i="3" s="1"/>
  <c r="P42" i="3"/>
  <c r="O42" i="3" a="1"/>
  <c r="O42" i="3" s="1"/>
  <c r="N42" i="3"/>
  <c r="M42" i="3" a="1"/>
  <c r="M42" i="3" s="1"/>
  <c r="L42" i="3"/>
  <c r="R41" i="3" a="1"/>
  <c r="R41" i="3" s="1"/>
  <c r="S41" i="3" s="1" a="1"/>
  <c r="S41" i="3" s="1"/>
  <c r="Q41" i="3" a="1"/>
  <c r="Q41" i="3" s="1"/>
  <c r="P41" i="3"/>
  <c r="O41" i="3" a="1"/>
  <c r="O41" i="3" s="1"/>
  <c r="N41" i="3"/>
  <c r="M41" i="3" a="1"/>
  <c r="M41" i="3" s="1"/>
  <c r="L41" i="3"/>
  <c r="H47" i="3" a="1"/>
  <c r="H47" i="3" s="1"/>
  <c r="I47" i="3" s="1" a="1"/>
  <c r="I47" i="3" s="1"/>
  <c r="H46" i="3" a="1"/>
  <c r="H46" i="3" s="1"/>
  <c r="I46" i="3" s="1" a="1"/>
  <c r="I46" i="3" s="1"/>
  <c r="F46" i="3"/>
  <c r="D46" i="3"/>
  <c r="B46" i="3"/>
  <c r="H45" i="3" a="1"/>
  <c r="H45" i="3" s="1"/>
  <c r="I45" i="3" s="1" a="1"/>
  <c r="I45" i="3" s="1"/>
  <c r="F45" i="3"/>
  <c r="D45" i="3"/>
  <c r="B45" i="3"/>
  <c r="H44" i="3" a="1"/>
  <c r="H44" i="3" s="1"/>
  <c r="I44" i="3" s="1" a="1"/>
  <c r="I44" i="3" s="1"/>
  <c r="F44" i="3"/>
  <c r="D44" i="3"/>
  <c r="B44" i="3"/>
  <c r="H43" i="3" a="1"/>
  <c r="H43" i="3" s="1"/>
  <c r="I43" i="3" s="1" a="1"/>
  <c r="I43" i="3" s="1"/>
  <c r="F43" i="3"/>
  <c r="D43" i="3"/>
  <c r="B43" i="3"/>
  <c r="H42" i="3" a="1"/>
  <c r="H42" i="3" s="1"/>
  <c r="I42" i="3" s="1" a="1"/>
  <c r="I42" i="3" s="1"/>
  <c r="F42" i="3"/>
  <c r="D42" i="3"/>
  <c r="B42" i="3"/>
  <c r="F41" i="3"/>
  <c r="D41" i="3"/>
  <c r="B41" i="3"/>
  <c r="G3" i="3"/>
  <c r="Z3" i="3" s="1"/>
  <c r="G4" i="3"/>
  <c r="Z4" i="3" s="1"/>
  <c r="G5" i="3"/>
  <c r="AA5" i="3" s="1"/>
  <c r="G7" i="3"/>
  <c r="AA7" i="3" s="1"/>
  <c r="G8" i="3"/>
  <c r="AA8" i="3" s="1"/>
  <c r="G9" i="3"/>
  <c r="Z9" i="3" s="1"/>
  <c r="G12" i="3"/>
  <c r="Z12" i="3" s="1"/>
  <c r="G15" i="3"/>
  <c r="Z15" i="3" s="1"/>
  <c r="G17" i="3"/>
  <c r="AA17" i="3" s="1"/>
  <c r="G20" i="3"/>
  <c r="AA20" i="3" s="1"/>
  <c r="G23" i="3"/>
  <c r="Z23" i="3" s="1"/>
  <c r="G24" i="3"/>
  <c r="G27" i="3"/>
  <c r="Z27" i="3" s="1"/>
  <c r="G29" i="3"/>
  <c r="Z29" i="3" s="1"/>
  <c r="G30" i="3"/>
  <c r="AA30" i="3" s="1"/>
  <c r="G31" i="3"/>
  <c r="AA31" i="3" s="1"/>
  <c r="G32" i="3"/>
  <c r="AA32" i="3" s="1"/>
  <c r="G33" i="3"/>
  <c r="Z33" i="3" s="1"/>
  <c r="G34" i="3"/>
  <c r="Z34" i="3" s="1"/>
  <c r="G6" i="3"/>
  <c r="G10" i="3"/>
  <c r="AA10" i="3" s="1"/>
  <c r="G11" i="3"/>
  <c r="AA11" i="3" s="1"/>
  <c r="G13" i="3"/>
  <c r="Z13" i="3" s="1"/>
  <c r="G14" i="3"/>
  <c r="Z14" i="3" s="1"/>
  <c r="G16" i="3"/>
  <c r="Z16" i="3" s="1"/>
  <c r="G18" i="3"/>
  <c r="Z18" i="3" s="1"/>
  <c r="G19" i="3"/>
  <c r="AA19" i="3" s="1"/>
  <c r="G21" i="3"/>
  <c r="AA21" i="3" s="1"/>
  <c r="G22" i="3"/>
  <c r="AA22" i="3" s="1"/>
  <c r="G25" i="3"/>
  <c r="Z25" i="3" s="1"/>
  <c r="G26" i="3"/>
  <c r="Z26" i="3" s="1"/>
  <c r="G28" i="3"/>
  <c r="Z28" i="3" s="1"/>
  <c r="G7" i="6"/>
  <c r="AA7" i="6" s="1"/>
  <c r="G11" i="6"/>
  <c r="AA11" i="6" s="1"/>
  <c r="G13" i="6"/>
  <c r="Z13" i="6" s="1"/>
  <c r="G14" i="6"/>
  <c r="AA14" i="6" s="1"/>
  <c r="G15" i="6"/>
  <c r="AA15" i="6" s="1"/>
  <c r="G16" i="6"/>
  <c r="AA16" i="6" s="1"/>
  <c r="G17" i="6"/>
  <c r="Z17" i="6" s="1"/>
  <c r="G20" i="6"/>
  <c r="Z20" i="6" s="1"/>
  <c r="G23" i="6"/>
  <c r="Z23" i="6" s="1"/>
  <c r="G25" i="6"/>
  <c r="AA25" i="6" s="1"/>
  <c r="G26" i="6"/>
  <c r="AA26" i="6" s="1"/>
  <c r="G27" i="6"/>
  <c r="AA27" i="6" s="1"/>
  <c r="G32" i="6"/>
  <c r="AA32" i="6" s="1"/>
  <c r="G35" i="6"/>
  <c r="AA35" i="6" s="1"/>
  <c r="G36" i="6"/>
  <c r="AA36" i="6" s="1"/>
  <c r="G2" i="6"/>
  <c r="AA2" i="6" s="1"/>
  <c r="G3" i="6"/>
  <c r="AA3" i="6" s="1"/>
  <c r="G4" i="6"/>
  <c r="Z4" i="6" s="1"/>
  <c r="G5" i="6"/>
  <c r="Z5" i="6" s="1"/>
  <c r="G6" i="6"/>
  <c r="Z6" i="6" s="1"/>
  <c r="G8" i="6"/>
  <c r="AA8" i="6" s="1"/>
  <c r="G9" i="6"/>
  <c r="AA9" i="6" s="1"/>
  <c r="G10" i="6"/>
  <c r="AA10" i="6" s="1"/>
  <c r="G12" i="6"/>
  <c r="AA12" i="6" s="1"/>
  <c r="G18" i="6"/>
  <c r="AA18" i="6" s="1"/>
  <c r="G19" i="6"/>
  <c r="AA19" i="6" s="1"/>
  <c r="G21" i="6"/>
  <c r="AA21" i="6" s="1"/>
  <c r="G22" i="6"/>
  <c r="AA22" i="6" s="1"/>
  <c r="G24" i="6"/>
  <c r="AA24" i="6" s="1"/>
  <c r="G28" i="6"/>
  <c r="Z28" i="6" s="1"/>
  <c r="G29" i="6"/>
  <c r="Z29" i="6" s="1"/>
  <c r="G30" i="6"/>
  <c r="Z30" i="6" s="1"/>
  <c r="G31" i="6"/>
  <c r="AA31" i="6" s="1"/>
  <c r="G33" i="6"/>
  <c r="AA33" i="6" s="1"/>
  <c r="G34" i="6"/>
  <c r="AA34" i="6" s="1"/>
  <c r="G37" i="6"/>
  <c r="AA37" i="6" s="1"/>
  <c r="G38" i="6"/>
  <c r="AA38" i="6" s="1"/>
  <c r="G39" i="6"/>
  <c r="AA39" i="6" s="1"/>
  <c r="G40" i="6"/>
  <c r="AA40" i="6" s="1"/>
  <c r="G3" i="2"/>
  <c r="AA3" i="2" s="1"/>
  <c r="G2" i="2"/>
  <c r="R52" i="6" a="1"/>
  <c r="R52" i="6" s="1"/>
  <c r="S52" i="6" s="1" a="1"/>
  <c r="S52" i="6" s="1"/>
  <c r="R51" i="6" a="1"/>
  <c r="R51" i="6" s="1"/>
  <c r="S51" i="6" s="1" a="1"/>
  <c r="S51" i="6" s="1"/>
  <c r="P51" i="6"/>
  <c r="N51" i="6"/>
  <c r="R50" i="6" a="1"/>
  <c r="R50" i="6" s="1"/>
  <c r="S50" i="6" s="1" a="1"/>
  <c r="S50" i="6" s="1"/>
  <c r="P50" i="6"/>
  <c r="N50" i="6"/>
  <c r="R49" i="6" a="1"/>
  <c r="R49" i="6" s="1"/>
  <c r="S49" i="6" s="1" a="1"/>
  <c r="S49" i="6" s="1"/>
  <c r="P49" i="6"/>
  <c r="N49" i="6"/>
  <c r="R48" i="6" a="1"/>
  <c r="R48" i="6" s="1"/>
  <c r="S48" i="6" s="1" a="1"/>
  <c r="S48" i="6" s="1"/>
  <c r="P48" i="6"/>
  <c r="N48" i="6"/>
  <c r="R47" i="6" a="1"/>
  <c r="R47" i="6" s="1"/>
  <c r="S47" i="6" s="1" a="1"/>
  <c r="S47" i="6" s="1"/>
  <c r="P47" i="6"/>
  <c r="N47" i="6"/>
  <c r="R46" i="6" a="1"/>
  <c r="R46" i="6" s="1"/>
  <c r="S46" i="6" s="1" a="1"/>
  <c r="S46" i="6" s="1"/>
  <c r="P46" i="6"/>
  <c r="N46" i="6"/>
  <c r="L51" i="6"/>
  <c r="L50" i="6"/>
  <c r="L49" i="6"/>
  <c r="L48" i="6"/>
  <c r="L47" i="6"/>
  <c r="L46" i="6"/>
  <c r="H52" i="6" a="1"/>
  <c r="H52" i="6" s="1"/>
  <c r="I52" i="6" s="1" a="1"/>
  <c r="I52" i="6" s="1"/>
  <c r="H51" i="6" a="1"/>
  <c r="H51" i="6" s="1"/>
  <c r="I51" i="6" s="1" a="1"/>
  <c r="I51" i="6" s="1"/>
  <c r="H50" i="6" a="1"/>
  <c r="H50" i="6" s="1"/>
  <c r="I50" i="6" s="1" a="1"/>
  <c r="I50" i="6" s="1"/>
  <c r="H49" i="6" a="1"/>
  <c r="H49" i="6" s="1"/>
  <c r="I49" i="6" s="1" a="1"/>
  <c r="I49" i="6" s="1"/>
  <c r="H48" i="6" a="1"/>
  <c r="H48" i="6" s="1"/>
  <c r="I48" i="6" s="1" a="1"/>
  <c r="I48" i="6" s="1"/>
  <c r="H47" i="6" a="1"/>
  <c r="H47" i="6" s="1"/>
  <c r="I47" i="6" s="1" a="1"/>
  <c r="I47" i="6" s="1"/>
  <c r="H46" i="6" a="1"/>
  <c r="H46" i="6" s="1"/>
  <c r="I46" i="6" s="1" a="1"/>
  <c r="I46" i="6" s="1"/>
  <c r="D46" i="6"/>
  <c r="F51" i="6"/>
  <c r="F50" i="6"/>
  <c r="F49" i="6"/>
  <c r="F48" i="6"/>
  <c r="F47" i="6"/>
  <c r="F46" i="6"/>
  <c r="D51" i="6"/>
  <c r="D50" i="6"/>
  <c r="D49" i="6"/>
  <c r="D48" i="6"/>
  <c r="D47" i="6"/>
  <c r="B51" i="6"/>
  <c r="B50" i="6"/>
  <c r="B49" i="6"/>
  <c r="B48" i="6"/>
  <c r="B47" i="6"/>
  <c r="B46" i="6"/>
  <c r="U42" i="7" a="1"/>
  <c r="U42" i="7" s="1"/>
  <c r="U41" i="7" a="1"/>
  <c r="U41" i="7" s="1"/>
  <c r="U40" i="7" a="1"/>
  <c r="U40" i="7" s="1"/>
  <c r="J39" i="7" a="1"/>
  <c r="J39" i="7" s="1"/>
  <c r="K39" i="7" s="1" a="1"/>
  <c r="K39" i="7" s="1"/>
  <c r="K40" i="7" a="1"/>
  <c r="K40" i="7" s="1"/>
  <c r="P49" i="2"/>
  <c r="P48" i="2"/>
  <c r="P47" i="2"/>
  <c r="P46" i="2"/>
  <c r="P45" i="2"/>
  <c r="P44" i="2"/>
  <c r="N49" i="2"/>
  <c r="N48" i="2"/>
  <c r="N47" i="2"/>
  <c r="N46" i="2"/>
  <c r="N45" i="2"/>
  <c r="N44" i="2"/>
  <c r="S46" i="2" a="1"/>
  <c r="S46" i="2" s="1"/>
  <c r="S45" i="2" a="1"/>
  <c r="S45" i="2" s="1"/>
  <c r="R49" i="2" a="1"/>
  <c r="R49" i="2" s="1"/>
  <c r="S49" i="2" s="1" a="1"/>
  <c r="S49" i="2" s="1"/>
  <c r="R48" i="2" a="1"/>
  <c r="R48" i="2" s="1"/>
  <c r="S48" i="2" s="1" a="1"/>
  <c r="S48" i="2" s="1"/>
  <c r="R47" i="2" a="1"/>
  <c r="R47" i="2" s="1"/>
  <c r="S47" i="2" s="1" a="1"/>
  <c r="S47" i="2" s="1"/>
  <c r="R46" i="2" a="1"/>
  <c r="R46" i="2" s="1"/>
  <c r="R45" i="2" a="1"/>
  <c r="R45" i="2" s="1"/>
  <c r="R44" i="2" a="1"/>
  <c r="R44" i="2" s="1"/>
  <c r="S44" i="2" s="1" a="1"/>
  <c r="S44" i="2" s="1"/>
  <c r="L49" i="2"/>
  <c r="L48" i="2"/>
  <c r="L47" i="2"/>
  <c r="L46" i="2"/>
  <c r="L45" i="2"/>
  <c r="L44" i="2"/>
  <c r="H49" i="2" a="1"/>
  <c r="H49" i="2" s="1"/>
  <c r="I49" i="2" s="1" a="1"/>
  <c r="I49" i="2" s="1"/>
  <c r="H48" i="2" a="1"/>
  <c r="H48" i="2" s="1"/>
  <c r="I48" i="2" s="1" a="1"/>
  <c r="I48" i="2" s="1"/>
  <c r="H47" i="2" a="1"/>
  <c r="H47" i="2" s="1"/>
  <c r="I47" i="2" s="1" a="1"/>
  <c r="I47" i="2" s="1"/>
  <c r="H46" i="2" a="1"/>
  <c r="H46" i="2" s="1"/>
  <c r="I46" i="2" s="1" a="1"/>
  <c r="I46" i="2" s="1"/>
  <c r="H45" i="2" a="1"/>
  <c r="H45" i="2" s="1"/>
  <c r="I45" i="2" s="1" a="1"/>
  <c r="I45" i="2" s="1"/>
  <c r="H44" i="2" a="1"/>
  <c r="H44" i="2" s="1"/>
  <c r="I44" i="2" s="1" a="1"/>
  <c r="I44" i="2" s="1"/>
  <c r="F48" i="2"/>
  <c r="F47" i="2"/>
  <c r="F46" i="2"/>
  <c r="F45" i="2"/>
  <c r="D49" i="2"/>
  <c r="D48" i="2"/>
  <c r="D47" i="2"/>
  <c r="D46" i="2"/>
  <c r="D45" i="2"/>
  <c r="G4" i="2"/>
  <c r="AA4" i="2" s="1"/>
  <c r="G5" i="2"/>
  <c r="AA5" i="2" s="1"/>
  <c r="G6" i="2"/>
  <c r="AA6" i="2" s="1"/>
  <c r="G7" i="2"/>
  <c r="AA7" i="2" s="1"/>
  <c r="G8" i="2"/>
  <c r="AA8" i="2" s="1"/>
  <c r="G9" i="2"/>
  <c r="AA9" i="2" s="1"/>
  <c r="G10" i="2"/>
  <c r="Z10" i="2" s="1"/>
  <c r="G11" i="2"/>
  <c r="AA11" i="2" s="1"/>
  <c r="G12" i="2"/>
  <c r="AA12" i="2" s="1"/>
  <c r="G13" i="2"/>
  <c r="AA13" i="2" s="1"/>
  <c r="G14" i="2"/>
  <c r="AA14" i="2" s="1"/>
  <c r="G15" i="2"/>
  <c r="AA15" i="2" s="1"/>
  <c r="G16" i="2"/>
  <c r="AA16" i="2" s="1"/>
  <c r="G17" i="2"/>
  <c r="AA17" i="2" s="1"/>
  <c r="G18" i="2"/>
  <c r="AA18" i="2" s="1"/>
  <c r="G19" i="2"/>
  <c r="AA19" i="2" s="1"/>
  <c r="G20" i="2"/>
  <c r="AA20" i="2" s="1"/>
  <c r="G21" i="2"/>
  <c r="AA21" i="2" s="1"/>
  <c r="G22" i="2"/>
  <c r="AA22" i="2" s="1"/>
  <c r="G23" i="2"/>
  <c r="AA23" i="2" s="1"/>
  <c r="G24" i="2"/>
  <c r="AA24" i="2" s="1"/>
  <c r="G25" i="2"/>
  <c r="AA25" i="2" s="1"/>
  <c r="G26" i="2"/>
  <c r="AA26" i="2" s="1"/>
  <c r="G27" i="2"/>
  <c r="AA27" i="2" s="1"/>
  <c r="G28" i="2"/>
  <c r="AA28" i="2" s="1"/>
  <c r="G29" i="2"/>
  <c r="AA29" i="2" s="1"/>
  <c r="G30" i="2"/>
  <c r="AA30" i="2" s="1"/>
  <c r="G31" i="2"/>
  <c r="AA31" i="2" s="1"/>
  <c r="G32" i="2"/>
  <c r="AA32" i="2" s="1"/>
  <c r="G33" i="2"/>
  <c r="AA33" i="2" s="1"/>
  <c r="G34" i="2"/>
  <c r="Z34" i="2" s="1"/>
  <c r="G35" i="2"/>
  <c r="AA35" i="2" s="1"/>
  <c r="G36" i="2"/>
  <c r="AA36" i="2" s="1"/>
  <c r="G37" i="2"/>
  <c r="AA37" i="2" s="1"/>
  <c r="G38" i="2"/>
  <c r="AA38" i="2" s="1"/>
  <c r="G2" i="7"/>
  <c r="B44" i="2"/>
  <c r="B49" i="2"/>
  <c r="B48" i="2"/>
  <c r="B47" i="2"/>
  <c r="B46" i="2"/>
  <c r="B45" i="2"/>
  <c r="T43" i="7" a="1"/>
  <c r="T43" i="7" s="1"/>
  <c r="U43" i="7" s="1" a="1"/>
  <c r="U43" i="7" s="1"/>
  <c r="T42" i="7" a="1"/>
  <c r="T42" i="7" s="1"/>
  <c r="T41" i="7" a="1"/>
  <c r="T41" i="7"/>
  <c r="T40" i="7" a="1"/>
  <c r="T40" i="7" s="1"/>
  <c r="T38" i="7" a="1"/>
  <c r="T38" i="7" s="1"/>
  <c r="U38" i="7" s="1" a="1"/>
  <c r="U38" i="7" s="1"/>
  <c r="T39" i="7" a="1"/>
  <c r="T39" i="7" s="1"/>
  <c r="U39" i="7" s="1" a="1"/>
  <c r="U39" i="7" s="1"/>
  <c r="J38" i="7" a="1"/>
  <c r="J38" i="7" s="1"/>
  <c r="K38" i="7" s="1" a="1"/>
  <c r="K38" i="7" s="1"/>
  <c r="J44" i="7" a="1"/>
  <c r="J44" i="7" s="1"/>
  <c r="K44" i="7" s="1" a="1"/>
  <c r="K44" i="7" s="1"/>
  <c r="J43" i="7" a="1"/>
  <c r="J43" i="7" s="1"/>
  <c r="K43" i="7" s="1" a="1"/>
  <c r="K43" i="7" s="1"/>
  <c r="J42" i="7" a="1"/>
  <c r="J42" i="7" s="1"/>
  <c r="K42" i="7" s="1" a="1"/>
  <c r="K42" i="7" s="1"/>
  <c r="J41" i="7" a="1"/>
  <c r="J41" i="7" s="1"/>
  <c r="K41" i="7" s="1" a="1"/>
  <c r="K41" i="7" s="1"/>
  <c r="J40" i="7" a="1"/>
  <c r="J40" i="7" s="1"/>
  <c r="N38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R44" i="7" s="1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P38" i="7"/>
  <c r="R38" i="7"/>
  <c r="P39" i="7"/>
  <c r="R39" i="7"/>
  <c r="P40" i="7"/>
  <c r="R40" i="7"/>
  <c r="P41" i="7"/>
  <c r="R41" i="7"/>
  <c r="P42" i="7"/>
  <c r="R42" i="7"/>
  <c r="P43" i="7"/>
  <c r="R43" i="7"/>
  <c r="N43" i="7"/>
  <c r="N42" i="7"/>
  <c r="N41" i="7"/>
  <c r="N40" i="7"/>
  <c r="N39" i="7"/>
  <c r="D38" i="7"/>
  <c r="F40" i="7"/>
  <c r="H40" i="7"/>
  <c r="F41" i="7"/>
  <c r="H41" i="7"/>
  <c r="D41" i="7"/>
  <c r="F42" i="7"/>
  <c r="F43" i="7"/>
  <c r="D43" i="7"/>
  <c r="D42" i="7"/>
  <c r="D40" i="7"/>
  <c r="H39" i="7"/>
  <c r="F39" i="7"/>
  <c r="D39" i="7"/>
  <c r="F38" i="7"/>
  <c r="H38" i="7"/>
  <c r="T38" i="14"/>
  <c r="T37" i="14"/>
  <c r="T32" i="14"/>
  <c r="T13" i="14"/>
  <c r="T20" i="14"/>
  <c r="T8" i="14"/>
  <c r="T16" i="14"/>
  <c r="T26" i="14"/>
  <c r="T3" i="14"/>
  <c r="T10" i="14"/>
  <c r="T33" i="14"/>
  <c r="T5" i="14"/>
  <c r="T35" i="14"/>
  <c r="T31" i="14"/>
  <c r="T15" i="14"/>
  <c r="T24" i="14"/>
  <c r="T2" i="14"/>
  <c r="T12" i="14"/>
  <c r="T14" i="14"/>
  <c r="T18" i="14"/>
  <c r="T19" i="14"/>
  <c r="T21" i="14"/>
  <c r="T7" i="14"/>
  <c r="T9" i="14"/>
  <c r="T27" i="14"/>
  <c r="T6" i="14"/>
  <c r="T29" i="14"/>
  <c r="T11" i="14"/>
  <c r="T22" i="14"/>
  <c r="T17" i="14"/>
  <c r="T25" i="14"/>
  <c r="T4" i="14"/>
  <c r="T30" i="14"/>
  <c r="T23" i="14"/>
  <c r="T28" i="14"/>
  <c r="T34" i="14"/>
  <c r="S38" i="14"/>
  <c r="S37" i="14"/>
  <c r="S32" i="14"/>
  <c r="S13" i="14"/>
  <c r="S20" i="14"/>
  <c r="S8" i="14"/>
  <c r="S16" i="14"/>
  <c r="S26" i="14"/>
  <c r="S3" i="14"/>
  <c r="S10" i="14"/>
  <c r="S33" i="14"/>
  <c r="S5" i="14"/>
  <c r="S35" i="14"/>
  <c r="S31" i="14"/>
  <c r="S15" i="14"/>
  <c r="S24" i="14"/>
  <c r="S2" i="14"/>
  <c r="S12" i="14"/>
  <c r="S14" i="14"/>
  <c r="S18" i="14"/>
  <c r="S19" i="14"/>
  <c r="S21" i="14"/>
  <c r="S7" i="14"/>
  <c r="S9" i="14"/>
  <c r="S27" i="14"/>
  <c r="S6" i="14"/>
  <c r="S29" i="14"/>
  <c r="S11" i="14"/>
  <c r="S22" i="14"/>
  <c r="S17" i="14"/>
  <c r="S25" i="14"/>
  <c r="S4" i="14"/>
  <c r="S30" i="14"/>
  <c r="S23" i="14"/>
  <c r="S28" i="14"/>
  <c r="S34" i="14"/>
  <c r="S36" i="14"/>
  <c r="T36" i="14"/>
  <c r="R38" i="14"/>
  <c r="R37" i="14"/>
  <c r="R32" i="14"/>
  <c r="R13" i="14"/>
  <c r="R20" i="14"/>
  <c r="R8" i="14"/>
  <c r="R16" i="14"/>
  <c r="R26" i="14"/>
  <c r="R3" i="14"/>
  <c r="R10" i="14"/>
  <c r="R33" i="14"/>
  <c r="R5" i="14"/>
  <c r="R35" i="14"/>
  <c r="R31" i="14"/>
  <c r="R15" i="14"/>
  <c r="R24" i="14"/>
  <c r="R2" i="14"/>
  <c r="R12" i="14"/>
  <c r="R14" i="14"/>
  <c r="R18" i="14"/>
  <c r="R19" i="14"/>
  <c r="R21" i="14"/>
  <c r="R7" i="14"/>
  <c r="R9" i="14"/>
  <c r="R27" i="14"/>
  <c r="R6" i="14"/>
  <c r="R29" i="14"/>
  <c r="R11" i="14"/>
  <c r="R22" i="14"/>
  <c r="R17" i="14"/>
  <c r="R25" i="14"/>
  <c r="R4" i="14"/>
  <c r="R30" i="14"/>
  <c r="R23" i="14"/>
  <c r="R28" i="14"/>
  <c r="R34" i="14"/>
  <c r="R36" i="14"/>
  <c r="T43" i="13"/>
  <c r="T42" i="13"/>
  <c r="T39" i="13"/>
  <c r="T26" i="13"/>
  <c r="T11" i="13"/>
  <c r="T40" i="13"/>
  <c r="T31" i="13"/>
  <c r="T16" i="13"/>
  <c r="T9" i="13"/>
  <c r="T27" i="13"/>
  <c r="T6" i="13"/>
  <c r="T13" i="13"/>
  <c r="T41" i="13"/>
  <c r="T18" i="13"/>
  <c r="T37" i="13"/>
  <c r="T4" i="13"/>
  <c r="T23" i="13"/>
  <c r="T2" i="13"/>
  <c r="T7" i="13"/>
  <c r="T17" i="13"/>
  <c r="T14" i="13"/>
  <c r="T20" i="13"/>
  <c r="T21" i="13"/>
  <c r="T25" i="13"/>
  <c r="T35" i="13"/>
  <c r="T8" i="13"/>
  <c r="T10" i="13"/>
  <c r="T28" i="13"/>
  <c r="T22" i="13"/>
  <c r="T12" i="13"/>
  <c r="T32" i="13"/>
  <c r="T5" i="13"/>
  <c r="T30" i="13"/>
  <c r="T19" i="13"/>
  <c r="T33" i="13"/>
  <c r="T15" i="13"/>
  <c r="T3" i="13"/>
  <c r="T38" i="13"/>
  <c r="T36" i="13"/>
  <c r="T34" i="13"/>
  <c r="T24" i="13"/>
  <c r="T29" i="13"/>
  <c r="S43" i="13"/>
  <c r="S42" i="13"/>
  <c r="S39" i="13"/>
  <c r="S26" i="13"/>
  <c r="S11" i="13"/>
  <c r="S40" i="13"/>
  <c r="S31" i="13"/>
  <c r="S16" i="13"/>
  <c r="S9" i="13"/>
  <c r="S27" i="13"/>
  <c r="S6" i="13"/>
  <c r="S13" i="13"/>
  <c r="S41" i="13"/>
  <c r="S18" i="13"/>
  <c r="S37" i="13"/>
  <c r="S4" i="13"/>
  <c r="S23" i="13"/>
  <c r="S2" i="13"/>
  <c r="S7" i="13"/>
  <c r="S17" i="13"/>
  <c r="S14" i="13"/>
  <c r="S20" i="13"/>
  <c r="S21" i="13"/>
  <c r="S25" i="13"/>
  <c r="S35" i="13"/>
  <c r="S8" i="13"/>
  <c r="S10" i="13"/>
  <c r="S28" i="13"/>
  <c r="S22" i="13"/>
  <c r="S12" i="13"/>
  <c r="S32" i="13"/>
  <c r="S5" i="13"/>
  <c r="S30" i="13"/>
  <c r="S19" i="13"/>
  <c r="S33" i="13"/>
  <c r="S15" i="13"/>
  <c r="S3" i="13"/>
  <c r="S38" i="13"/>
  <c r="S36" i="13"/>
  <c r="S34" i="13"/>
  <c r="S24" i="13"/>
  <c r="S29" i="13"/>
  <c r="S44" i="13"/>
  <c r="T44" i="13"/>
  <c r="R43" i="13"/>
  <c r="R42" i="13"/>
  <c r="R39" i="13"/>
  <c r="R26" i="13"/>
  <c r="R11" i="13"/>
  <c r="R40" i="13"/>
  <c r="R31" i="13"/>
  <c r="R16" i="13"/>
  <c r="R9" i="13"/>
  <c r="R27" i="13"/>
  <c r="R6" i="13"/>
  <c r="R13" i="13"/>
  <c r="R41" i="13"/>
  <c r="R18" i="13"/>
  <c r="R37" i="13"/>
  <c r="R4" i="13"/>
  <c r="R23" i="13"/>
  <c r="R2" i="13"/>
  <c r="R7" i="13"/>
  <c r="R17" i="13"/>
  <c r="R14" i="13"/>
  <c r="R20" i="13"/>
  <c r="R21" i="13"/>
  <c r="R25" i="13"/>
  <c r="R35" i="13"/>
  <c r="R8" i="13"/>
  <c r="R10" i="13"/>
  <c r="R28" i="13"/>
  <c r="R22" i="13"/>
  <c r="R12" i="13"/>
  <c r="R32" i="13"/>
  <c r="R5" i="13"/>
  <c r="R30" i="13"/>
  <c r="R19" i="13"/>
  <c r="R33" i="13"/>
  <c r="R15" i="13"/>
  <c r="R3" i="13"/>
  <c r="R38" i="13"/>
  <c r="R36" i="13"/>
  <c r="R34" i="13"/>
  <c r="R24" i="13"/>
  <c r="R29" i="13"/>
  <c r="R44" i="13"/>
  <c r="T43" i="12"/>
  <c r="T40" i="12"/>
  <c r="T30" i="12"/>
  <c r="T8" i="12"/>
  <c r="T32" i="12"/>
  <c r="T41" i="12"/>
  <c r="T3" i="12"/>
  <c r="T35" i="12"/>
  <c r="T10" i="12"/>
  <c r="T24" i="12"/>
  <c r="T4" i="12"/>
  <c r="T6" i="12"/>
  <c r="T45" i="12"/>
  <c r="T5" i="12"/>
  <c r="T42" i="12"/>
  <c r="T36" i="12"/>
  <c r="T11" i="12"/>
  <c r="T38" i="12"/>
  <c r="T27" i="12"/>
  <c r="T2" i="12"/>
  <c r="T15" i="12"/>
  <c r="T19" i="12"/>
  <c r="T21" i="12"/>
  <c r="T14" i="12"/>
  <c r="T20" i="12"/>
  <c r="T26" i="12"/>
  <c r="T7" i="12"/>
  <c r="T9" i="12"/>
  <c r="T17" i="12"/>
  <c r="T28" i="12"/>
  <c r="T31" i="12"/>
  <c r="T37" i="12"/>
  <c r="T18" i="12"/>
  <c r="T44" i="12"/>
  <c r="T13" i="12"/>
  <c r="T23" i="12"/>
  <c r="T22" i="12"/>
  <c r="T33" i="12"/>
  <c r="T12" i="12"/>
  <c r="T16" i="12"/>
  <c r="T47" i="12"/>
  <c r="T39" i="12"/>
  <c r="T34" i="12"/>
  <c r="T25" i="12"/>
  <c r="T29" i="12"/>
  <c r="S43" i="12"/>
  <c r="S40" i="12"/>
  <c r="S30" i="12"/>
  <c r="S8" i="12"/>
  <c r="S32" i="12"/>
  <c r="S41" i="12"/>
  <c r="S3" i="12"/>
  <c r="S35" i="12"/>
  <c r="S10" i="12"/>
  <c r="S24" i="12"/>
  <c r="S4" i="12"/>
  <c r="S6" i="12"/>
  <c r="S45" i="12"/>
  <c r="S5" i="12"/>
  <c r="S42" i="12"/>
  <c r="S36" i="12"/>
  <c r="S11" i="12"/>
  <c r="S38" i="12"/>
  <c r="S27" i="12"/>
  <c r="S2" i="12"/>
  <c r="S15" i="12"/>
  <c r="S19" i="12"/>
  <c r="S21" i="12"/>
  <c r="S14" i="12"/>
  <c r="S20" i="12"/>
  <c r="S26" i="12"/>
  <c r="S7" i="12"/>
  <c r="S9" i="12"/>
  <c r="S17" i="12"/>
  <c r="S28" i="12"/>
  <c r="S31" i="12"/>
  <c r="S37" i="12"/>
  <c r="S18" i="12"/>
  <c r="S44" i="12"/>
  <c r="S13" i="12"/>
  <c r="S23" i="12"/>
  <c r="S22" i="12"/>
  <c r="S33" i="12"/>
  <c r="S12" i="12"/>
  <c r="S16" i="12"/>
  <c r="S47" i="12"/>
  <c r="S39" i="12"/>
  <c r="S34" i="12"/>
  <c r="S25" i="12"/>
  <c r="S29" i="12"/>
  <c r="S46" i="12"/>
  <c r="T46" i="12"/>
  <c r="R43" i="12"/>
  <c r="R40" i="12"/>
  <c r="R30" i="12"/>
  <c r="R8" i="12"/>
  <c r="R32" i="12"/>
  <c r="R41" i="12"/>
  <c r="R3" i="12"/>
  <c r="R35" i="12"/>
  <c r="R10" i="12"/>
  <c r="R24" i="12"/>
  <c r="R4" i="12"/>
  <c r="R6" i="12"/>
  <c r="R45" i="12"/>
  <c r="R5" i="12"/>
  <c r="R42" i="12"/>
  <c r="R36" i="12"/>
  <c r="R11" i="12"/>
  <c r="R38" i="12"/>
  <c r="R27" i="12"/>
  <c r="R2" i="12"/>
  <c r="R15" i="12"/>
  <c r="R19" i="12"/>
  <c r="R21" i="12"/>
  <c r="R14" i="12"/>
  <c r="R20" i="12"/>
  <c r="R26" i="12"/>
  <c r="R7" i="12"/>
  <c r="R9" i="12"/>
  <c r="R17" i="12"/>
  <c r="R28" i="12"/>
  <c r="R31" i="12"/>
  <c r="R37" i="12"/>
  <c r="R18" i="12"/>
  <c r="R44" i="12"/>
  <c r="R13" i="12"/>
  <c r="R23" i="12"/>
  <c r="R22" i="12"/>
  <c r="R33" i="12"/>
  <c r="R12" i="12"/>
  <c r="R16" i="12"/>
  <c r="R47" i="12"/>
  <c r="R39" i="12"/>
  <c r="R34" i="12"/>
  <c r="R25" i="12"/>
  <c r="R29" i="12"/>
  <c r="R46" i="12"/>
  <c r="T50" i="11"/>
  <c r="T48" i="11"/>
  <c r="T46" i="11"/>
  <c r="T4" i="11"/>
  <c r="T33" i="11"/>
  <c r="T26" i="11"/>
  <c r="T25" i="11"/>
  <c r="T7" i="11"/>
  <c r="T24" i="11"/>
  <c r="T35" i="11"/>
  <c r="T13" i="11"/>
  <c r="T2" i="11"/>
  <c r="T10" i="11"/>
  <c r="T44" i="11"/>
  <c r="T8" i="11"/>
  <c r="T47" i="11"/>
  <c r="T23" i="11"/>
  <c r="T5" i="11"/>
  <c r="T14" i="11"/>
  <c r="T3" i="11"/>
  <c r="T38" i="11"/>
  <c r="T27" i="11"/>
  <c r="T39" i="11"/>
  <c r="T36" i="11"/>
  <c r="T45" i="11"/>
  <c r="T15" i="11"/>
  <c r="T18" i="11"/>
  <c r="T9" i="11"/>
  <c r="T37" i="11"/>
  <c r="T42" i="11"/>
  <c r="T11" i="11"/>
  <c r="T28" i="11"/>
  <c r="T31" i="11"/>
  <c r="T19" i="11"/>
  <c r="T6" i="11"/>
  <c r="T29" i="11"/>
  <c r="T12" i="11"/>
  <c r="T40" i="11"/>
  <c r="T43" i="11"/>
  <c r="T34" i="11"/>
  <c r="T41" i="11"/>
  <c r="T32" i="11"/>
  <c r="T30" i="11"/>
  <c r="T22" i="11"/>
  <c r="T21" i="11"/>
  <c r="T16" i="11"/>
  <c r="T17" i="11"/>
  <c r="T20" i="11"/>
  <c r="S50" i="11"/>
  <c r="S48" i="11"/>
  <c r="S46" i="11"/>
  <c r="S4" i="11"/>
  <c r="S33" i="11"/>
  <c r="S26" i="11"/>
  <c r="S25" i="11"/>
  <c r="S7" i="11"/>
  <c r="S24" i="11"/>
  <c r="S35" i="11"/>
  <c r="S13" i="11"/>
  <c r="S2" i="11"/>
  <c r="S10" i="11"/>
  <c r="S44" i="11"/>
  <c r="S8" i="11"/>
  <c r="S47" i="11"/>
  <c r="S23" i="11"/>
  <c r="S5" i="11"/>
  <c r="S14" i="11"/>
  <c r="S3" i="11"/>
  <c r="S38" i="11"/>
  <c r="S27" i="11"/>
  <c r="S39" i="11"/>
  <c r="S36" i="11"/>
  <c r="S45" i="11"/>
  <c r="S15" i="11"/>
  <c r="S18" i="11"/>
  <c r="S9" i="11"/>
  <c r="S37" i="11"/>
  <c r="S42" i="11"/>
  <c r="S11" i="11"/>
  <c r="S28" i="11"/>
  <c r="S31" i="11"/>
  <c r="S19" i="11"/>
  <c r="S6" i="11"/>
  <c r="S29" i="11"/>
  <c r="S12" i="11"/>
  <c r="S40" i="11"/>
  <c r="S43" i="11"/>
  <c r="S34" i="11"/>
  <c r="S41" i="11"/>
  <c r="S32" i="11"/>
  <c r="S30" i="11"/>
  <c r="S22" i="11"/>
  <c r="S21" i="11"/>
  <c r="S16" i="11"/>
  <c r="S17" i="11"/>
  <c r="S20" i="11"/>
  <c r="S49" i="11"/>
  <c r="T49" i="11"/>
  <c r="R50" i="11"/>
  <c r="R48" i="11"/>
  <c r="R46" i="11"/>
  <c r="R4" i="11"/>
  <c r="R33" i="11"/>
  <c r="R26" i="11"/>
  <c r="R25" i="11"/>
  <c r="R7" i="11"/>
  <c r="R24" i="11"/>
  <c r="R35" i="11"/>
  <c r="R13" i="11"/>
  <c r="R2" i="11"/>
  <c r="R10" i="11"/>
  <c r="R44" i="11"/>
  <c r="R8" i="11"/>
  <c r="R47" i="11"/>
  <c r="R23" i="11"/>
  <c r="R5" i="11"/>
  <c r="R14" i="11"/>
  <c r="R3" i="11"/>
  <c r="R38" i="11"/>
  <c r="R27" i="11"/>
  <c r="R39" i="11"/>
  <c r="R36" i="11"/>
  <c r="R45" i="11"/>
  <c r="R15" i="11"/>
  <c r="R18" i="11"/>
  <c r="R9" i="11"/>
  <c r="R37" i="11"/>
  <c r="R42" i="11"/>
  <c r="R11" i="11"/>
  <c r="R28" i="11"/>
  <c r="R31" i="11"/>
  <c r="R19" i="11"/>
  <c r="R6" i="11"/>
  <c r="R29" i="11"/>
  <c r="R12" i="11"/>
  <c r="R40" i="11"/>
  <c r="R43" i="11"/>
  <c r="R34" i="11"/>
  <c r="R41" i="11"/>
  <c r="R32" i="11"/>
  <c r="R30" i="11"/>
  <c r="R22" i="11"/>
  <c r="R21" i="11"/>
  <c r="R16" i="11"/>
  <c r="R17" i="11"/>
  <c r="R20" i="11"/>
  <c r="R49" i="11"/>
  <c r="T2" i="10"/>
  <c r="T3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43" i="10"/>
  <c r="T44" i="10"/>
  <c r="T42" i="10"/>
  <c r="T38" i="10"/>
  <c r="T40" i="10"/>
  <c r="T41" i="10"/>
  <c r="T27" i="10"/>
  <c r="T39" i="10"/>
  <c r="T31" i="10"/>
  <c r="T37" i="10"/>
  <c r="T28" i="10"/>
  <c r="T32" i="10"/>
  <c r="T25" i="10"/>
  <c r="T30" i="10"/>
  <c r="T33" i="10"/>
  <c r="T26" i="10"/>
  <c r="T35" i="10"/>
  <c r="T36" i="10"/>
  <c r="T29" i="10"/>
  <c r="T24" i="10"/>
  <c r="T34" i="10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43" i="10"/>
  <c r="S44" i="10"/>
  <c r="S42" i="10"/>
  <c r="S38" i="10"/>
  <c r="S40" i="10"/>
  <c r="S41" i="10"/>
  <c r="S27" i="10"/>
  <c r="S39" i="10"/>
  <c r="S31" i="10"/>
  <c r="S37" i="10"/>
  <c r="S28" i="10"/>
  <c r="S32" i="10"/>
  <c r="S25" i="10"/>
  <c r="S30" i="10"/>
  <c r="S33" i="10"/>
  <c r="S26" i="10"/>
  <c r="S35" i="10"/>
  <c r="S36" i="10"/>
  <c r="S29" i="10"/>
  <c r="S24" i="10"/>
  <c r="S34" i="10"/>
  <c r="S2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43" i="10"/>
  <c r="R44" i="10"/>
  <c r="R42" i="10"/>
  <c r="R38" i="10"/>
  <c r="R40" i="10"/>
  <c r="R41" i="10"/>
  <c r="R27" i="10"/>
  <c r="R39" i="10"/>
  <c r="R31" i="10"/>
  <c r="R37" i="10"/>
  <c r="R28" i="10"/>
  <c r="R32" i="10"/>
  <c r="R25" i="10"/>
  <c r="R30" i="10"/>
  <c r="R33" i="10"/>
  <c r="R26" i="10"/>
  <c r="R35" i="10"/>
  <c r="R36" i="10"/>
  <c r="R29" i="10"/>
  <c r="R24" i="10"/>
  <c r="R34" i="10"/>
  <c r="R2" i="10"/>
  <c r="T2" i="8"/>
  <c r="T4" i="8"/>
  <c r="T3" i="8"/>
  <c r="T13" i="8"/>
  <c r="T9" i="8"/>
  <c r="T7" i="8"/>
  <c r="T18" i="8"/>
  <c r="T11" i="8"/>
  <c r="T17" i="8"/>
  <c r="T6" i="8"/>
  <c r="T8" i="8"/>
  <c r="T5" i="8"/>
  <c r="T10" i="8"/>
  <c r="T16" i="8"/>
  <c r="T12" i="8"/>
  <c r="T20" i="8"/>
  <c r="T22" i="8"/>
  <c r="T19" i="8"/>
  <c r="T14" i="8"/>
  <c r="T21" i="8"/>
  <c r="T15" i="8"/>
  <c r="T23" i="8"/>
  <c r="T27" i="8"/>
  <c r="T28" i="8"/>
  <c r="T24" i="8"/>
  <c r="T29" i="8"/>
  <c r="T30" i="8"/>
  <c r="T34" i="8"/>
  <c r="T31" i="8"/>
  <c r="T32" i="8"/>
  <c r="T25" i="8"/>
  <c r="T26" i="8"/>
  <c r="T33" i="8"/>
  <c r="T35" i="8"/>
  <c r="T41" i="8"/>
  <c r="T36" i="8"/>
  <c r="T42" i="8"/>
  <c r="T44" i="8"/>
  <c r="T38" i="8"/>
  <c r="T40" i="8"/>
  <c r="T39" i="8"/>
  <c r="T45" i="8"/>
  <c r="T37" i="8"/>
  <c r="T46" i="8"/>
  <c r="T43" i="8"/>
  <c r="T47" i="8"/>
  <c r="S2" i="8"/>
  <c r="S4" i="8"/>
  <c r="S3" i="8"/>
  <c r="S13" i="8"/>
  <c r="S9" i="8"/>
  <c r="S7" i="8"/>
  <c r="S18" i="8"/>
  <c r="S11" i="8"/>
  <c r="S17" i="8"/>
  <c r="S6" i="8"/>
  <c r="S8" i="8"/>
  <c r="S5" i="8"/>
  <c r="S10" i="8"/>
  <c r="S16" i="8"/>
  <c r="S12" i="8"/>
  <c r="S20" i="8"/>
  <c r="S22" i="8"/>
  <c r="S19" i="8"/>
  <c r="S14" i="8"/>
  <c r="S21" i="8"/>
  <c r="S15" i="8"/>
  <c r="S23" i="8"/>
  <c r="S27" i="8"/>
  <c r="S28" i="8"/>
  <c r="S24" i="8"/>
  <c r="S29" i="8"/>
  <c r="S30" i="8"/>
  <c r="S34" i="8"/>
  <c r="S31" i="8"/>
  <c r="S32" i="8"/>
  <c r="S25" i="8"/>
  <c r="S26" i="8"/>
  <c r="S33" i="8"/>
  <c r="S35" i="8"/>
  <c r="S41" i="8"/>
  <c r="S36" i="8"/>
  <c r="S42" i="8"/>
  <c r="S44" i="8"/>
  <c r="S38" i="8"/>
  <c r="S40" i="8"/>
  <c r="S39" i="8"/>
  <c r="S45" i="8"/>
  <c r="S37" i="8"/>
  <c r="S46" i="8"/>
  <c r="S43" i="8"/>
  <c r="S47" i="8"/>
  <c r="R4" i="8"/>
  <c r="R3" i="8"/>
  <c r="R13" i="8"/>
  <c r="R9" i="8"/>
  <c r="R7" i="8"/>
  <c r="R18" i="8"/>
  <c r="R11" i="8"/>
  <c r="R17" i="8"/>
  <c r="R6" i="8"/>
  <c r="R8" i="8"/>
  <c r="R5" i="8"/>
  <c r="R10" i="8"/>
  <c r="R16" i="8"/>
  <c r="R12" i="8"/>
  <c r="R20" i="8"/>
  <c r="R22" i="8"/>
  <c r="R19" i="8"/>
  <c r="R14" i="8"/>
  <c r="R21" i="8"/>
  <c r="R15" i="8"/>
  <c r="R23" i="8"/>
  <c r="R27" i="8"/>
  <c r="R28" i="8"/>
  <c r="R24" i="8"/>
  <c r="R29" i="8"/>
  <c r="R30" i="8"/>
  <c r="R34" i="8"/>
  <c r="R31" i="8"/>
  <c r="R32" i="8"/>
  <c r="R25" i="8"/>
  <c r="R26" i="8"/>
  <c r="R33" i="8"/>
  <c r="R35" i="8"/>
  <c r="R41" i="8"/>
  <c r="R36" i="8"/>
  <c r="R42" i="8"/>
  <c r="R44" i="8"/>
  <c r="R38" i="8"/>
  <c r="R40" i="8"/>
  <c r="R39" i="8"/>
  <c r="R45" i="8"/>
  <c r="R37" i="8"/>
  <c r="R46" i="8"/>
  <c r="R43" i="8"/>
  <c r="R47" i="8"/>
  <c r="W37" i="14" a="1"/>
  <c r="W37" i="14" s="1"/>
  <c r="W5" i="14" a="1"/>
  <c r="W5" i="14" s="1"/>
  <c r="W18" i="14" a="1"/>
  <c r="W18" i="14" s="1"/>
  <c r="W19" i="14" a="1"/>
  <c r="W19" i="14" s="1"/>
  <c r="V26" i="14" a="1"/>
  <c r="V26" i="14" s="1"/>
  <c r="U38" i="14" a="1"/>
  <c r="U38" i="14" s="1"/>
  <c r="U3" i="14" a="1"/>
  <c r="U3" i="14" s="1"/>
  <c r="U10" i="14" a="1"/>
  <c r="U10" i="14" s="1"/>
  <c r="U23" i="14" a="1"/>
  <c r="U23" i="14" s="1"/>
  <c r="CM33" i="15"/>
  <c r="CM50" i="15"/>
  <c r="CM30" i="15"/>
  <c r="CM37" i="15"/>
  <c r="CM10" i="15"/>
  <c r="CM38" i="15"/>
  <c r="CM25" i="15"/>
  <c r="CM5" i="15"/>
  <c r="CM45" i="15"/>
  <c r="CM11" i="15"/>
  <c r="CM21" i="15"/>
  <c r="CM2" i="15"/>
  <c r="CM7" i="15"/>
  <c r="CM31" i="15"/>
  <c r="CM19" i="15"/>
  <c r="CM51" i="15"/>
  <c r="CM29" i="15"/>
  <c r="CM52" i="15"/>
  <c r="CM22" i="15"/>
  <c r="CM3" i="15"/>
  <c r="CM15" i="15"/>
  <c r="CM44" i="15"/>
  <c r="CM17" i="15"/>
  <c r="CM47" i="15"/>
  <c r="CM16" i="15"/>
  <c r="CM46" i="15"/>
  <c r="CM20" i="15"/>
  <c r="CM35" i="15"/>
  <c r="CM8" i="15"/>
  <c r="CM13" i="15"/>
  <c r="CM24" i="15"/>
  <c r="CM34" i="15"/>
  <c r="CM42" i="15"/>
  <c r="CM9" i="15"/>
  <c r="CM27" i="15"/>
  <c r="CM4" i="15"/>
  <c r="CM36" i="15"/>
  <c r="CM40" i="15"/>
  <c r="CM18" i="15"/>
  <c r="CM48" i="15"/>
  <c r="CM14" i="15"/>
  <c r="CM49" i="15"/>
  <c r="CM12" i="15"/>
  <c r="CM53" i="15"/>
  <c r="CM43" i="15"/>
  <c r="CM28" i="15"/>
  <c r="CM41" i="15"/>
  <c r="CM26" i="15"/>
  <c r="CM23" i="15"/>
  <c r="CM39" i="15"/>
  <c r="CL33" i="15"/>
  <c r="CL50" i="15"/>
  <c r="CL30" i="15"/>
  <c r="CL37" i="15"/>
  <c r="CL10" i="15"/>
  <c r="CL38" i="15"/>
  <c r="CL25" i="15"/>
  <c r="CL5" i="15"/>
  <c r="CL45" i="15"/>
  <c r="CL11" i="15"/>
  <c r="CL21" i="15"/>
  <c r="CL2" i="15"/>
  <c r="CL7" i="15"/>
  <c r="CL31" i="15"/>
  <c r="CL19" i="15"/>
  <c r="CL51" i="15"/>
  <c r="CL29" i="15"/>
  <c r="CL6" i="15"/>
  <c r="CL52" i="15"/>
  <c r="CL22" i="15"/>
  <c r="CL3" i="15"/>
  <c r="CL15" i="15"/>
  <c r="CL44" i="15"/>
  <c r="CL17" i="15"/>
  <c r="CL47" i="15"/>
  <c r="CL16" i="15"/>
  <c r="CL46" i="15"/>
  <c r="CL20" i="15"/>
  <c r="CL35" i="15"/>
  <c r="CL8" i="15"/>
  <c r="CL13" i="15"/>
  <c r="CL24" i="15"/>
  <c r="CL34" i="15"/>
  <c r="CL42" i="15"/>
  <c r="CL9" i="15"/>
  <c r="CL27" i="15"/>
  <c r="CL4" i="15"/>
  <c r="CL36" i="15"/>
  <c r="CL40" i="15"/>
  <c r="CL18" i="15"/>
  <c r="CL48" i="15"/>
  <c r="CL14" i="15"/>
  <c r="CL49" i="15"/>
  <c r="CL12" i="15"/>
  <c r="CL53" i="15"/>
  <c r="CL43" i="15"/>
  <c r="CL28" i="15"/>
  <c r="CL41" i="15"/>
  <c r="CL26" i="15"/>
  <c r="CL23" i="15"/>
  <c r="CL39" i="15"/>
  <c r="CM32" i="15"/>
  <c r="CL32" i="15"/>
  <c r="BP33" i="15"/>
  <c r="BP50" i="15"/>
  <c r="BP30" i="15"/>
  <c r="BP37" i="15"/>
  <c r="BP10" i="15"/>
  <c r="BP38" i="15"/>
  <c r="BP25" i="15"/>
  <c r="BP5" i="15"/>
  <c r="BP45" i="15"/>
  <c r="BP11" i="15"/>
  <c r="BP21" i="15"/>
  <c r="BP2" i="15"/>
  <c r="BP7" i="15"/>
  <c r="BP31" i="15"/>
  <c r="BP19" i="15"/>
  <c r="BP51" i="15"/>
  <c r="BP29" i="15"/>
  <c r="BP6" i="15"/>
  <c r="BP52" i="15"/>
  <c r="BP22" i="15"/>
  <c r="BP3" i="15"/>
  <c r="BP15" i="15"/>
  <c r="BP44" i="15"/>
  <c r="BP17" i="15"/>
  <c r="BP47" i="15"/>
  <c r="BP16" i="15"/>
  <c r="BP46" i="15"/>
  <c r="BP20" i="15"/>
  <c r="BP35" i="15"/>
  <c r="BP8" i="15"/>
  <c r="BP13" i="15"/>
  <c r="BP24" i="15"/>
  <c r="BP34" i="15"/>
  <c r="BP42" i="15"/>
  <c r="BP9" i="15"/>
  <c r="BP27" i="15"/>
  <c r="BP4" i="15"/>
  <c r="BP36" i="15"/>
  <c r="BP40" i="15"/>
  <c r="BP18" i="15"/>
  <c r="BP48" i="15"/>
  <c r="BP14" i="15"/>
  <c r="BP49" i="15"/>
  <c r="BP12" i="15"/>
  <c r="BP53" i="15"/>
  <c r="BP43" i="15"/>
  <c r="BP28" i="15"/>
  <c r="BP41" i="15"/>
  <c r="BP26" i="15"/>
  <c r="BP23" i="15"/>
  <c r="BP39" i="15"/>
  <c r="BQ33" i="15"/>
  <c r="BQ50" i="15"/>
  <c r="BQ30" i="15"/>
  <c r="BQ37" i="15"/>
  <c r="BQ10" i="15"/>
  <c r="BQ38" i="15"/>
  <c r="BQ25" i="15"/>
  <c r="BQ5" i="15"/>
  <c r="BQ45" i="15"/>
  <c r="BQ11" i="15"/>
  <c r="BQ21" i="15"/>
  <c r="BQ2" i="15"/>
  <c r="BQ7" i="15"/>
  <c r="BQ31" i="15"/>
  <c r="BQ19" i="15"/>
  <c r="BQ51" i="15"/>
  <c r="BQ29" i="15"/>
  <c r="BQ6" i="15"/>
  <c r="BQ52" i="15"/>
  <c r="BQ22" i="15"/>
  <c r="BQ3" i="15"/>
  <c r="BQ15" i="15"/>
  <c r="BQ44" i="15"/>
  <c r="BQ17" i="15"/>
  <c r="BQ47" i="15"/>
  <c r="BQ16" i="15"/>
  <c r="BQ46" i="15"/>
  <c r="BQ20" i="15"/>
  <c r="BQ35" i="15"/>
  <c r="BQ8" i="15"/>
  <c r="BQ13" i="15"/>
  <c r="BQ24" i="15"/>
  <c r="BQ34" i="15"/>
  <c r="BQ42" i="15"/>
  <c r="BQ9" i="15"/>
  <c r="BQ27" i="15"/>
  <c r="BQ4" i="15"/>
  <c r="BQ36" i="15"/>
  <c r="BQ40" i="15"/>
  <c r="BQ18" i="15"/>
  <c r="BQ48" i="15"/>
  <c r="BQ14" i="15"/>
  <c r="BQ49" i="15"/>
  <c r="BQ12" i="15"/>
  <c r="BQ53" i="15"/>
  <c r="BQ43" i="15"/>
  <c r="BQ28" i="15"/>
  <c r="BQ41" i="15"/>
  <c r="BQ26" i="15"/>
  <c r="BQ23" i="15"/>
  <c r="BQ39" i="15"/>
  <c r="BQ32" i="15"/>
  <c r="BP32" i="15"/>
  <c r="AT32" i="15"/>
  <c r="AU33" i="15"/>
  <c r="AU50" i="15"/>
  <c r="AU30" i="15"/>
  <c r="AU37" i="15"/>
  <c r="AU10" i="15"/>
  <c r="AU38" i="15"/>
  <c r="AU25" i="15"/>
  <c r="AU5" i="15"/>
  <c r="AU45" i="15"/>
  <c r="AU11" i="15"/>
  <c r="AU21" i="15"/>
  <c r="AU2" i="15"/>
  <c r="AU7" i="15"/>
  <c r="AU31" i="15"/>
  <c r="AU19" i="15"/>
  <c r="AU51" i="15"/>
  <c r="AU29" i="15"/>
  <c r="AU6" i="15"/>
  <c r="AU52" i="15"/>
  <c r="AU22" i="15"/>
  <c r="AU3" i="15"/>
  <c r="AU15" i="15"/>
  <c r="AU44" i="15"/>
  <c r="AU17" i="15"/>
  <c r="AU47" i="15"/>
  <c r="AU16" i="15"/>
  <c r="AU46" i="15"/>
  <c r="AU20" i="15"/>
  <c r="AU35" i="15"/>
  <c r="AU8" i="15"/>
  <c r="AU13" i="15"/>
  <c r="AU24" i="15"/>
  <c r="AU34" i="15"/>
  <c r="AU42" i="15"/>
  <c r="AU9" i="15"/>
  <c r="AU27" i="15"/>
  <c r="AU4" i="15"/>
  <c r="AU36" i="15"/>
  <c r="AU40" i="15"/>
  <c r="AU18" i="15"/>
  <c r="AU48" i="15"/>
  <c r="AU14" i="15"/>
  <c r="AU49" i="15"/>
  <c r="AU12" i="15"/>
  <c r="AU53" i="15"/>
  <c r="AU43" i="15"/>
  <c r="AU28" i="15"/>
  <c r="AU41" i="15"/>
  <c r="AU26" i="15"/>
  <c r="AU23" i="15"/>
  <c r="AU39" i="15"/>
  <c r="AT33" i="15"/>
  <c r="AT50" i="15"/>
  <c r="AT30" i="15"/>
  <c r="AT37" i="15"/>
  <c r="AT10" i="15"/>
  <c r="AT38" i="15"/>
  <c r="AT25" i="15"/>
  <c r="AT5" i="15"/>
  <c r="AT45" i="15"/>
  <c r="AT11" i="15"/>
  <c r="AT21" i="15"/>
  <c r="AT2" i="15"/>
  <c r="AT7" i="15"/>
  <c r="AT31" i="15"/>
  <c r="AT19" i="15"/>
  <c r="AT51" i="15"/>
  <c r="AT29" i="15"/>
  <c r="AT6" i="15"/>
  <c r="AT52" i="15"/>
  <c r="AT22" i="15"/>
  <c r="AT3" i="15"/>
  <c r="AT15" i="15"/>
  <c r="AT44" i="15"/>
  <c r="AT17" i="15"/>
  <c r="AT47" i="15"/>
  <c r="AT16" i="15"/>
  <c r="AT46" i="15"/>
  <c r="AT20" i="15"/>
  <c r="AT35" i="15"/>
  <c r="AT8" i="15"/>
  <c r="AT13" i="15"/>
  <c r="AT24" i="15"/>
  <c r="AT34" i="15"/>
  <c r="AT42" i="15"/>
  <c r="AT9" i="15"/>
  <c r="AT27" i="15"/>
  <c r="AT4" i="15"/>
  <c r="AT36" i="15"/>
  <c r="AT40" i="15"/>
  <c r="AT18" i="15"/>
  <c r="AT48" i="15"/>
  <c r="AT14" i="15"/>
  <c r="AT49" i="15"/>
  <c r="AT12" i="15"/>
  <c r="AT53" i="15"/>
  <c r="AT43" i="15"/>
  <c r="AT28" i="15"/>
  <c r="AT41" i="15"/>
  <c r="AT26" i="15"/>
  <c r="AT23" i="15"/>
  <c r="AT39" i="15"/>
  <c r="AU32" i="15"/>
  <c r="Y33" i="15"/>
  <c r="Y50" i="15"/>
  <c r="Y30" i="15"/>
  <c r="Y37" i="15"/>
  <c r="Y10" i="15"/>
  <c r="Y38" i="15"/>
  <c r="Y25" i="15"/>
  <c r="Y5" i="15"/>
  <c r="Y45" i="15"/>
  <c r="Y11" i="15"/>
  <c r="Y21" i="15"/>
  <c r="Y2" i="15"/>
  <c r="B65" i="15" s="1" a="1"/>
  <c r="B65" i="15" s="1"/>
  <c r="Y7" i="15"/>
  <c r="Y31" i="15"/>
  <c r="Y19" i="15"/>
  <c r="Y51" i="15"/>
  <c r="Y29" i="15"/>
  <c r="Y6" i="15"/>
  <c r="Y52" i="15"/>
  <c r="Y22" i="15"/>
  <c r="Y3" i="15"/>
  <c r="Y15" i="15"/>
  <c r="Y44" i="15"/>
  <c r="Y17" i="15"/>
  <c r="Y47" i="15"/>
  <c r="Y16" i="15"/>
  <c r="Y46" i="15"/>
  <c r="Y20" i="15"/>
  <c r="Y35" i="15"/>
  <c r="Y8" i="15"/>
  <c r="Y13" i="15"/>
  <c r="Y24" i="15"/>
  <c r="Y34" i="15"/>
  <c r="Y42" i="15"/>
  <c r="Y9" i="15"/>
  <c r="Y27" i="15"/>
  <c r="Y4" i="15"/>
  <c r="Y36" i="15"/>
  <c r="Y40" i="15"/>
  <c r="Y18" i="15"/>
  <c r="Y48" i="15"/>
  <c r="Y14" i="15"/>
  <c r="Y49" i="15"/>
  <c r="Y12" i="15"/>
  <c r="Y53" i="15"/>
  <c r="Y43" i="15"/>
  <c r="Y28" i="15"/>
  <c r="Y41" i="15"/>
  <c r="Y26" i="15"/>
  <c r="Y23" i="15"/>
  <c r="Y39" i="15"/>
  <c r="X33" i="15"/>
  <c r="X50" i="15"/>
  <c r="X30" i="15"/>
  <c r="X37" i="15"/>
  <c r="X10" i="15"/>
  <c r="X38" i="15"/>
  <c r="X25" i="15"/>
  <c r="X5" i="15"/>
  <c r="X45" i="15"/>
  <c r="X11" i="15"/>
  <c r="X21" i="15"/>
  <c r="X2" i="15"/>
  <c r="X7" i="15"/>
  <c r="X31" i="15"/>
  <c r="X19" i="15"/>
  <c r="X51" i="15"/>
  <c r="X29" i="15"/>
  <c r="X6" i="15"/>
  <c r="X52" i="15"/>
  <c r="X22" i="15"/>
  <c r="X3" i="15"/>
  <c r="X15" i="15"/>
  <c r="X44" i="15"/>
  <c r="X17" i="15"/>
  <c r="X47" i="15"/>
  <c r="X16" i="15"/>
  <c r="X46" i="15"/>
  <c r="X20" i="15"/>
  <c r="X35" i="15"/>
  <c r="X8" i="15"/>
  <c r="X13" i="15"/>
  <c r="X24" i="15"/>
  <c r="X34" i="15"/>
  <c r="X42" i="15"/>
  <c r="X9" i="15"/>
  <c r="C60" i="15" s="1" a="1"/>
  <c r="C60" i="15" s="1"/>
  <c r="X27" i="15"/>
  <c r="X4" i="15"/>
  <c r="X36" i="15"/>
  <c r="X40" i="15"/>
  <c r="X18" i="15"/>
  <c r="X48" i="15"/>
  <c r="X14" i="15"/>
  <c r="X49" i="15"/>
  <c r="X12" i="15"/>
  <c r="X53" i="15"/>
  <c r="X43" i="15"/>
  <c r="X28" i="15"/>
  <c r="X41" i="15"/>
  <c r="X26" i="15"/>
  <c r="X23" i="15"/>
  <c r="X39" i="15"/>
  <c r="Y32" i="15"/>
  <c r="X32" i="15"/>
  <c r="E38" i="14"/>
  <c r="W38" i="14" s="1" a="1"/>
  <c r="W38" i="14" s="1"/>
  <c r="E37" i="14"/>
  <c r="V37" i="14" s="1" a="1"/>
  <c r="V37" i="14" s="1"/>
  <c r="E32" i="14"/>
  <c r="U32" i="14" s="1" a="1"/>
  <c r="U32" i="14" s="1"/>
  <c r="E13" i="14"/>
  <c r="U13" i="14" s="1" a="1"/>
  <c r="U13" i="14" s="1"/>
  <c r="E20" i="14"/>
  <c r="V20" i="14" s="1" a="1"/>
  <c r="V20" i="14" s="1"/>
  <c r="E8" i="14"/>
  <c r="V8" i="14" s="1" a="1"/>
  <c r="V8" i="14" s="1"/>
  <c r="E16" i="14"/>
  <c r="U16" i="14" s="1" a="1"/>
  <c r="U16" i="14" s="1"/>
  <c r="E26" i="14"/>
  <c r="W26" i="14" s="1" a="1"/>
  <c r="W26" i="14" s="1"/>
  <c r="E3" i="14"/>
  <c r="W3" i="14" s="1" a="1"/>
  <c r="W3" i="14" s="1"/>
  <c r="E10" i="14"/>
  <c r="W10" i="14" s="1" a="1"/>
  <c r="W10" i="14" s="1"/>
  <c r="E33" i="14"/>
  <c r="V33" i="14" s="1" a="1"/>
  <c r="V33" i="14" s="1"/>
  <c r="E5" i="14"/>
  <c r="U5" i="14" s="1" a="1"/>
  <c r="U5" i="14" s="1"/>
  <c r="E35" i="14"/>
  <c r="U35" i="14" s="1" a="1"/>
  <c r="U35" i="14" s="1"/>
  <c r="E31" i="14"/>
  <c r="U31" i="14" s="1" a="1"/>
  <c r="U31" i="14" s="1"/>
  <c r="E15" i="14"/>
  <c r="W15" i="14" s="1" a="1"/>
  <c r="W15" i="14" s="1"/>
  <c r="E24" i="14"/>
  <c r="V24" i="14" s="1" a="1"/>
  <c r="V24" i="14" s="1"/>
  <c r="E2" i="14"/>
  <c r="V2" i="14" s="1" a="1"/>
  <c r="V2" i="14" s="1"/>
  <c r="E12" i="14"/>
  <c r="V12" i="14" s="1" a="1"/>
  <c r="V12" i="14" s="1"/>
  <c r="E14" i="14"/>
  <c r="W14" i="14" s="1" a="1"/>
  <c r="W14" i="14" s="1"/>
  <c r="E18" i="14"/>
  <c r="V18" i="14" s="1" a="1"/>
  <c r="V18" i="14" s="1"/>
  <c r="E19" i="14"/>
  <c r="U19" i="14" s="1" a="1"/>
  <c r="U19" i="14" s="1"/>
  <c r="E21" i="14"/>
  <c r="U21" i="14" s="1" a="1"/>
  <c r="U21" i="14" s="1"/>
  <c r="E7" i="14"/>
  <c r="V7" i="14" s="1" a="1"/>
  <c r="V7" i="14" s="1"/>
  <c r="E9" i="14"/>
  <c r="V9" i="14" s="1" a="1"/>
  <c r="V9" i="14" s="1"/>
  <c r="E27" i="14"/>
  <c r="V27" i="14" s="1" a="1"/>
  <c r="V27" i="14" s="1"/>
  <c r="E6" i="14"/>
  <c r="W6" i="14" s="1" a="1"/>
  <c r="W6" i="14" s="1"/>
  <c r="E29" i="14"/>
  <c r="W29" i="14" s="1" a="1"/>
  <c r="W29" i="14" s="1"/>
  <c r="E11" i="14"/>
  <c r="W11" i="14" s="1" a="1"/>
  <c r="W11" i="14" s="1"/>
  <c r="E22" i="14"/>
  <c r="U22" i="14" s="1" a="1"/>
  <c r="U22" i="14" s="1"/>
  <c r="E17" i="14"/>
  <c r="V17" i="14" s="1" a="1"/>
  <c r="V17" i="14" s="1"/>
  <c r="E25" i="14"/>
  <c r="V25" i="14" s="1" a="1"/>
  <c r="V25" i="14" s="1"/>
  <c r="E4" i="14"/>
  <c r="V4" i="14" s="1" a="1"/>
  <c r="V4" i="14" s="1"/>
  <c r="E30" i="14"/>
  <c r="W30" i="14" s="1" a="1"/>
  <c r="W30" i="14" s="1"/>
  <c r="E23" i="14"/>
  <c r="V23" i="14" s="1" a="1"/>
  <c r="V23" i="14" s="1"/>
  <c r="E28" i="14"/>
  <c r="V28" i="14" s="1" a="1"/>
  <c r="V28" i="14" s="1"/>
  <c r="E34" i="14"/>
  <c r="U34" i="14" s="1" a="1"/>
  <c r="U34" i="14" s="1"/>
  <c r="E36" i="14"/>
  <c r="V36" i="14" s="1" a="1"/>
  <c r="V36" i="14" s="1"/>
  <c r="E43" i="13"/>
  <c r="U43" i="13" s="1" a="1"/>
  <c r="U43" i="13" s="1"/>
  <c r="E42" i="13"/>
  <c r="U42" i="13" s="1" a="1"/>
  <c r="U42" i="13" s="1"/>
  <c r="E39" i="13"/>
  <c r="V39" i="13" s="1" a="1"/>
  <c r="V39" i="13" s="1"/>
  <c r="E26" i="13"/>
  <c r="V26" i="13" s="1" a="1"/>
  <c r="V26" i="13" s="1"/>
  <c r="E11" i="13"/>
  <c r="V11" i="13" s="1" a="1"/>
  <c r="V11" i="13" s="1"/>
  <c r="E40" i="13"/>
  <c r="V40" i="13" s="1" a="1"/>
  <c r="V40" i="13" s="1"/>
  <c r="E31" i="13"/>
  <c r="W31" i="13" s="1" a="1"/>
  <c r="W31" i="13" s="1"/>
  <c r="E16" i="13"/>
  <c r="W16" i="13" s="1" a="1"/>
  <c r="W16" i="13" s="1"/>
  <c r="E9" i="13"/>
  <c r="W9" i="13" s="1" a="1"/>
  <c r="W9" i="13" s="1"/>
  <c r="E27" i="13"/>
  <c r="W27" i="13" s="1" a="1"/>
  <c r="W27" i="13" s="1"/>
  <c r="E6" i="13"/>
  <c r="U6" i="13" s="1" a="1"/>
  <c r="U6" i="13" s="1"/>
  <c r="E13" i="13"/>
  <c r="U13" i="13" s="1" a="1"/>
  <c r="U13" i="13" s="1"/>
  <c r="E41" i="13"/>
  <c r="U41" i="13" s="1" a="1"/>
  <c r="U41" i="13" s="1"/>
  <c r="E18" i="13"/>
  <c r="V18" i="13" s="1" a="1"/>
  <c r="V18" i="13" s="1"/>
  <c r="E37" i="13"/>
  <c r="V37" i="13" s="1" a="1"/>
  <c r="V37" i="13" s="1"/>
  <c r="E4" i="13"/>
  <c r="W4" i="13" s="1" a="1"/>
  <c r="W4" i="13" s="1"/>
  <c r="E23" i="13"/>
  <c r="W23" i="13" s="1" a="1"/>
  <c r="W23" i="13" s="1"/>
  <c r="E2" i="13"/>
  <c r="W2" i="13" s="1" a="1"/>
  <c r="W2" i="13" s="1"/>
  <c r="E7" i="13"/>
  <c r="W7" i="13" s="1" a="1"/>
  <c r="W7" i="13" s="1"/>
  <c r="E17" i="13"/>
  <c r="U17" i="13" s="1" a="1"/>
  <c r="U17" i="13" s="1"/>
  <c r="E14" i="13"/>
  <c r="U14" i="13" s="1" a="1"/>
  <c r="U14" i="13" s="1"/>
  <c r="E20" i="13"/>
  <c r="U20" i="13" s="1" a="1"/>
  <c r="U20" i="13" s="1"/>
  <c r="E21" i="13"/>
  <c r="V21" i="13" s="1" a="1"/>
  <c r="V21" i="13" s="1"/>
  <c r="E25" i="13"/>
  <c r="V25" i="13" s="1" a="1"/>
  <c r="V25" i="13" s="1"/>
  <c r="E35" i="13"/>
  <c r="V35" i="13" s="1" a="1"/>
  <c r="V35" i="13" s="1"/>
  <c r="E8" i="13"/>
  <c r="W8" i="13" s="1" a="1"/>
  <c r="W8" i="13" s="1"/>
  <c r="E10" i="13"/>
  <c r="W10" i="13" s="1" a="1"/>
  <c r="W10" i="13" s="1"/>
  <c r="E28" i="13"/>
  <c r="W28" i="13" s="1" a="1"/>
  <c r="W28" i="13" s="1"/>
  <c r="E22" i="13"/>
  <c r="W22" i="13" s="1" a="1"/>
  <c r="W22" i="13" s="1"/>
  <c r="E12" i="13"/>
  <c r="W12" i="13" s="1" a="1"/>
  <c r="W12" i="13" s="1"/>
  <c r="E32" i="13"/>
  <c r="U32" i="13" s="1" a="1"/>
  <c r="U32" i="13" s="1"/>
  <c r="E5" i="13"/>
  <c r="U5" i="13" s="1" a="1"/>
  <c r="U5" i="13" s="1"/>
  <c r="E30" i="13"/>
  <c r="V30" i="13" s="1" a="1"/>
  <c r="V30" i="13" s="1"/>
  <c r="E19" i="13"/>
  <c r="V19" i="13" s="1" a="1"/>
  <c r="V19" i="13" s="1"/>
  <c r="E33" i="13"/>
  <c r="V33" i="13" s="1" a="1"/>
  <c r="V33" i="13" s="1"/>
  <c r="E15" i="13"/>
  <c r="W15" i="13" s="1" a="1"/>
  <c r="W15" i="13" s="1"/>
  <c r="E3" i="13"/>
  <c r="W3" i="13" s="1" a="1"/>
  <c r="W3" i="13" s="1"/>
  <c r="E38" i="13"/>
  <c r="W38" i="13" s="1" a="1"/>
  <c r="W38" i="13" s="1"/>
  <c r="E36" i="13"/>
  <c r="W36" i="13" s="1" a="1"/>
  <c r="W36" i="13" s="1"/>
  <c r="E34" i="13"/>
  <c r="U34" i="13" s="1" a="1"/>
  <c r="U34" i="13" s="1"/>
  <c r="E24" i="13"/>
  <c r="U24" i="13" s="1" a="1"/>
  <c r="U24" i="13" s="1"/>
  <c r="E29" i="13"/>
  <c r="V29" i="13" s="1" a="1"/>
  <c r="V29" i="13" s="1"/>
  <c r="E44" i="13"/>
  <c r="V44" i="13" s="1" a="1"/>
  <c r="V44" i="13" s="1"/>
  <c r="E46" i="12"/>
  <c r="V46" i="12" s="1" a="1"/>
  <c r="V46" i="12" s="1"/>
  <c r="E43" i="12"/>
  <c r="U43" i="12" s="1" a="1"/>
  <c r="U43" i="12" s="1"/>
  <c r="E40" i="12"/>
  <c r="U40" i="12" s="1" a="1"/>
  <c r="U40" i="12" s="1"/>
  <c r="E30" i="12"/>
  <c r="V30" i="12" s="1" a="1"/>
  <c r="V30" i="12" s="1"/>
  <c r="E8" i="12"/>
  <c r="V8" i="12" s="1" a="1"/>
  <c r="V8" i="12" s="1"/>
  <c r="E32" i="12"/>
  <c r="V32" i="12" s="1" a="1"/>
  <c r="V32" i="12" s="1"/>
  <c r="E41" i="12"/>
  <c r="W41" i="12" s="1" a="1"/>
  <c r="W41" i="12" s="1"/>
  <c r="E3" i="12"/>
  <c r="W3" i="12" s="1" a="1"/>
  <c r="W3" i="12" s="1"/>
  <c r="E35" i="12"/>
  <c r="W35" i="12" s="1" a="1"/>
  <c r="W35" i="12" s="1"/>
  <c r="E10" i="12"/>
  <c r="W10" i="12" s="1" a="1"/>
  <c r="W10" i="12" s="1"/>
  <c r="E24" i="12"/>
  <c r="U24" i="12" s="1" a="1"/>
  <c r="U24" i="12" s="1"/>
  <c r="E4" i="12"/>
  <c r="U4" i="12" s="1" a="1"/>
  <c r="U4" i="12" s="1"/>
  <c r="E6" i="12"/>
  <c r="U6" i="12" s="1" a="1"/>
  <c r="U6" i="12" s="1"/>
  <c r="E45" i="12"/>
  <c r="U45" i="12" s="1" a="1"/>
  <c r="U45" i="12" s="1"/>
  <c r="E5" i="12"/>
  <c r="U5" i="12" s="1" a="1"/>
  <c r="U5" i="12" s="1"/>
  <c r="E42" i="12"/>
  <c r="V42" i="12" s="1" a="1"/>
  <c r="V42" i="12" s="1"/>
  <c r="E36" i="12"/>
  <c r="V36" i="12" s="1" a="1"/>
  <c r="V36" i="12" s="1"/>
  <c r="E11" i="12"/>
  <c r="V11" i="12" s="1" a="1"/>
  <c r="V11" i="12" s="1"/>
  <c r="E38" i="12"/>
  <c r="W38" i="12" s="1" a="1"/>
  <c r="W38" i="12" s="1"/>
  <c r="E27" i="12"/>
  <c r="W27" i="12" s="1" a="1"/>
  <c r="W27" i="12" s="1"/>
  <c r="E2" i="12"/>
  <c r="W2" i="12" s="1" a="1"/>
  <c r="W2" i="12" s="1"/>
  <c r="E15" i="12"/>
  <c r="W15" i="12" s="1" a="1"/>
  <c r="W15" i="12" s="1"/>
  <c r="E19" i="12"/>
  <c r="U19" i="12" s="1" a="1"/>
  <c r="U19" i="12" s="1"/>
  <c r="E21" i="12"/>
  <c r="U21" i="12" s="1" a="1"/>
  <c r="U21" i="12" s="1"/>
  <c r="E14" i="12"/>
  <c r="U14" i="12" s="1" a="1"/>
  <c r="U14" i="12" s="1"/>
  <c r="E20" i="12"/>
  <c r="U20" i="12" s="1" a="1"/>
  <c r="U20" i="12" s="1"/>
  <c r="E26" i="12"/>
  <c r="V26" i="12" s="1" a="1"/>
  <c r="V26" i="12" s="1"/>
  <c r="E7" i="12"/>
  <c r="V7" i="12" s="1" a="1"/>
  <c r="V7" i="12" s="1"/>
  <c r="E9" i="12"/>
  <c r="V9" i="12" s="1" a="1"/>
  <c r="V9" i="12" s="1"/>
  <c r="E17" i="12"/>
  <c r="W17" i="12" s="1" a="1"/>
  <c r="W17" i="12" s="1"/>
  <c r="E28" i="12"/>
  <c r="W28" i="12" s="1" a="1"/>
  <c r="W28" i="12" s="1"/>
  <c r="E31" i="12"/>
  <c r="W31" i="12" s="1" a="1"/>
  <c r="W31" i="12" s="1"/>
  <c r="E37" i="12"/>
  <c r="W37" i="12" s="1" a="1"/>
  <c r="W37" i="12" s="1"/>
  <c r="E18" i="12"/>
  <c r="U18" i="12" s="1" a="1"/>
  <c r="U18" i="12" s="1"/>
  <c r="E44" i="12"/>
  <c r="U44" i="12" s="1" a="1"/>
  <c r="U44" i="12" s="1"/>
  <c r="E13" i="12"/>
  <c r="U13" i="12" s="1" a="1"/>
  <c r="U13" i="12" s="1"/>
  <c r="E23" i="12"/>
  <c r="U23" i="12" s="1" a="1"/>
  <c r="U23" i="12" s="1"/>
  <c r="E22" i="12"/>
  <c r="V22" i="12" s="1" a="1"/>
  <c r="V22" i="12" s="1"/>
  <c r="E33" i="12"/>
  <c r="V33" i="12" s="1" a="1"/>
  <c r="V33" i="12" s="1"/>
  <c r="E12" i="12"/>
  <c r="V12" i="12" s="1" a="1"/>
  <c r="V12" i="12" s="1"/>
  <c r="E16" i="12"/>
  <c r="W16" i="12" s="1" a="1"/>
  <c r="W16" i="12" s="1"/>
  <c r="E47" i="12"/>
  <c r="W47" i="12" s="1" a="1"/>
  <c r="W47" i="12" s="1"/>
  <c r="E39" i="12"/>
  <c r="W39" i="12" s="1" a="1"/>
  <c r="W39" i="12" s="1"/>
  <c r="E34" i="12"/>
  <c r="U34" i="12" s="1" a="1"/>
  <c r="U34" i="12" s="1"/>
  <c r="E25" i="12"/>
  <c r="U25" i="12" s="1" a="1"/>
  <c r="U25" i="12" s="1"/>
  <c r="E29" i="12"/>
  <c r="U29" i="12" s="1" a="1"/>
  <c r="U29" i="12" s="1"/>
  <c r="E49" i="11"/>
  <c r="U49" i="11" s="1" a="1"/>
  <c r="U49" i="11" s="1"/>
  <c r="E50" i="11"/>
  <c r="W50" i="11" s="1" a="1"/>
  <c r="W50" i="11" s="1"/>
  <c r="E48" i="11"/>
  <c r="W48" i="11" s="1" a="1"/>
  <c r="W48" i="11" s="1"/>
  <c r="E46" i="11"/>
  <c r="W46" i="11" s="1" a="1"/>
  <c r="W46" i="11" s="1"/>
  <c r="E4" i="11"/>
  <c r="U4" i="11" s="1" a="1"/>
  <c r="U4" i="11" s="1"/>
  <c r="E33" i="11"/>
  <c r="U33" i="11" s="1" a="1"/>
  <c r="U33" i="11" s="1"/>
  <c r="E26" i="11"/>
  <c r="U26" i="11" s="1" a="1"/>
  <c r="U26" i="11" s="1"/>
  <c r="E25" i="11"/>
  <c r="U25" i="11" s="1" a="1"/>
  <c r="U25" i="11" s="1"/>
  <c r="E7" i="11"/>
  <c r="U7" i="11" s="1" a="1"/>
  <c r="U7" i="11" s="1"/>
  <c r="E24" i="11"/>
  <c r="V24" i="11" s="1" a="1"/>
  <c r="V24" i="11" s="1"/>
  <c r="E35" i="11"/>
  <c r="V35" i="11" s="1" a="1"/>
  <c r="V35" i="11" s="1"/>
  <c r="E13" i="11"/>
  <c r="V13" i="11" s="1" a="1"/>
  <c r="V13" i="11" s="1"/>
  <c r="E2" i="11"/>
  <c r="V2" i="11" s="1" a="1"/>
  <c r="V2" i="11" s="1"/>
  <c r="E10" i="11"/>
  <c r="W10" i="11" s="1" a="1"/>
  <c r="W10" i="11" s="1"/>
  <c r="E44" i="11"/>
  <c r="W44" i="11" s="1" a="1"/>
  <c r="W44" i="11" s="1"/>
  <c r="E8" i="11"/>
  <c r="W8" i="11" s="1" a="1"/>
  <c r="W8" i="11" s="1"/>
  <c r="E47" i="11"/>
  <c r="U47" i="11" s="1" a="1"/>
  <c r="U47" i="11" s="1"/>
  <c r="E23" i="11"/>
  <c r="U23" i="11" s="1" a="1"/>
  <c r="U23" i="11" s="1"/>
  <c r="E5" i="11"/>
  <c r="U5" i="11" s="1" a="1"/>
  <c r="U5" i="11" s="1"/>
  <c r="E14" i="11"/>
  <c r="U14" i="11" s="1" a="1"/>
  <c r="U14" i="11" s="1"/>
  <c r="E3" i="11"/>
  <c r="V3" i="11" s="1" a="1"/>
  <c r="V3" i="11" s="1"/>
  <c r="E38" i="11"/>
  <c r="V38" i="11" s="1" a="1"/>
  <c r="V38" i="11" s="1"/>
  <c r="E27" i="11"/>
  <c r="V27" i="11" s="1" a="1"/>
  <c r="V27" i="11" s="1"/>
  <c r="E39" i="11"/>
  <c r="V39" i="11" s="1" a="1"/>
  <c r="V39" i="11" s="1"/>
  <c r="E36" i="11"/>
  <c r="W36" i="11" s="1" a="1"/>
  <c r="W36" i="11" s="1"/>
  <c r="E45" i="11"/>
  <c r="W45" i="11" s="1" a="1"/>
  <c r="W45" i="11" s="1"/>
  <c r="E15" i="11"/>
  <c r="U15" i="11" s="1" a="1"/>
  <c r="U15" i="11" s="1"/>
  <c r="E18" i="11"/>
  <c r="U18" i="11" s="1" a="1"/>
  <c r="U18" i="11" s="1"/>
  <c r="E9" i="11"/>
  <c r="U9" i="11" s="1" a="1"/>
  <c r="U9" i="11" s="1"/>
  <c r="E37" i="11"/>
  <c r="U37" i="11" s="1" a="1"/>
  <c r="U37" i="11" s="1"/>
  <c r="E42" i="11"/>
  <c r="U42" i="11" s="1" a="1"/>
  <c r="U42" i="11" s="1"/>
  <c r="E11" i="11"/>
  <c r="V11" i="11" s="1" a="1"/>
  <c r="V11" i="11" s="1"/>
  <c r="E28" i="11"/>
  <c r="V28" i="11" s="1" a="1"/>
  <c r="V28" i="11" s="1"/>
  <c r="E31" i="11"/>
  <c r="V31" i="11" s="1" a="1"/>
  <c r="V31" i="11" s="1"/>
  <c r="E19" i="11"/>
  <c r="V19" i="11" s="1" a="1"/>
  <c r="V19" i="11" s="1"/>
  <c r="E6" i="11"/>
  <c r="W6" i="11" s="1" a="1"/>
  <c r="W6" i="11" s="1"/>
  <c r="E29" i="11"/>
  <c r="W29" i="11" s="1" a="1"/>
  <c r="W29" i="11" s="1"/>
  <c r="E12" i="11"/>
  <c r="W12" i="11" s="1" a="1"/>
  <c r="W12" i="11" s="1"/>
  <c r="E40" i="11"/>
  <c r="U40" i="11" s="1" a="1"/>
  <c r="U40" i="11" s="1"/>
  <c r="E43" i="11"/>
  <c r="U43" i="11" s="1" a="1"/>
  <c r="U43" i="11" s="1"/>
  <c r="E34" i="11"/>
  <c r="U34" i="11" s="1" a="1"/>
  <c r="U34" i="11" s="1"/>
  <c r="E41" i="11"/>
  <c r="U41" i="11" s="1" a="1"/>
  <c r="U41" i="11" s="1"/>
  <c r="E32" i="11"/>
  <c r="U32" i="11" s="1" a="1"/>
  <c r="U32" i="11" s="1"/>
  <c r="E30" i="11"/>
  <c r="V30" i="11" s="1" a="1"/>
  <c r="V30" i="11" s="1"/>
  <c r="E22" i="11"/>
  <c r="V22" i="11" s="1" a="1"/>
  <c r="V22" i="11" s="1"/>
  <c r="E21" i="11"/>
  <c r="V21" i="11" s="1" a="1"/>
  <c r="V21" i="11" s="1"/>
  <c r="E16" i="11"/>
  <c r="W16" i="11" s="1" a="1"/>
  <c r="W16" i="11" s="1"/>
  <c r="E17" i="11"/>
  <c r="W17" i="11" s="1" a="1"/>
  <c r="W17" i="11" s="1"/>
  <c r="E20" i="11"/>
  <c r="W20" i="11" s="1" a="1"/>
  <c r="W20" i="11" s="1"/>
  <c r="E44" i="10"/>
  <c r="U44" i="10" s="1" a="1"/>
  <c r="U44" i="10" s="1"/>
  <c r="E42" i="10"/>
  <c r="U42" i="10" s="1" a="1"/>
  <c r="U42" i="10" s="1"/>
  <c r="E38" i="10"/>
  <c r="U38" i="10" s="1" a="1"/>
  <c r="U38" i="10" s="1"/>
  <c r="E10" i="10"/>
  <c r="W10" i="10" s="1" a="1"/>
  <c r="W10" i="10" s="1"/>
  <c r="E40" i="10"/>
  <c r="V40" i="10" s="1" a="1"/>
  <c r="V40" i="10" s="1"/>
  <c r="E41" i="10"/>
  <c r="U41" i="10" s="1" a="1"/>
  <c r="U41" i="10" s="1"/>
  <c r="E8" i="10"/>
  <c r="W8" i="10" s="1" a="1"/>
  <c r="W8" i="10" s="1"/>
  <c r="E15" i="10"/>
  <c r="U15" i="10" s="1" a="1"/>
  <c r="U15" i="10" s="1"/>
  <c r="E27" i="10"/>
  <c r="W27" i="10" s="1" a="1"/>
  <c r="W27" i="10" s="1"/>
  <c r="E5" i="10"/>
  <c r="V5" i="10" s="1" a="1"/>
  <c r="V5" i="10" s="1"/>
  <c r="E17" i="10"/>
  <c r="V17" i="10" s="1" a="1"/>
  <c r="V17" i="10" s="1"/>
  <c r="E39" i="10"/>
  <c r="W39" i="10" s="1" a="1"/>
  <c r="W39" i="10" s="1"/>
  <c r="E31" i="10"/>
  <c r="W31" i="10" s="1" a="1"/>
  <c r="W31" i="10" s="1"/>
  <c r="E37" i="10"/>
  <c r="W37" i="10" s="1" a="1"/>
  <c r="W37" i="10" s="1"/>
  <c r="E11" i="10"/>
  <c r="V11" i="10" s="1" a="1"/>
  <c r="V11" i="10" s="1"/>
  <c r="E28" i="10"/>
  <c r="U28" i="10" s="1" a="1"/>
  <c r="U28" i="10" s="1"/>
  <c r="E9" i="10"/>
  <c r="W9" i="10" s="1" a="1"/>
  <c r="W9" i="10" s="1"/>
  <c r="E12" i="10"/>
  <c r="V12" i="10" s="1" a="1"/>
  <c r="V12" i="10" s="1"/>
  <c r="E32" i="10"/>
  <c r="U32" i="10" s="1" a="1"/>
  <c r="U32" i="10" s="1"/>
  <c r="E21" i="10"/>
  <c r="W21" i="10" s="1" a="1"/>
  <c r="W21" i="10" s="1"/>
  <c r="E20" i="10"/>
  <c r="W20" i="10" s="1" a="1"/>
  <c r="W20" i="10" s="1"/>
  <c r="E16" i="10"/>
  <c r="V16" i="10" s="1" a="1"/>
  <c r="V16" i="10" s="1"/>
  <c r="E18" i="10"/>
  <c r="V18" i="10" s="1" a="1"/>
  <c r="V18" i="10" s="1"/>
  <c r="E25" i="10"/>
  <c r="V25" i="10" s="1" a="1"/>
  <c r="V25" i="10" s="1"/>
  <c r="E22" i="10"/>
  <c r="W22" i="10" s="1" a="1"/>
  <c r="W22" i="10" s="1"/>
  <c r="E19" i="10"/>
  <c r="U19" i="10" s="1" a="1"/>
  <c r="U19" i="10" s="1"/>
  <c r="E4" i="10"/>
  <c r="V4" i="10" s="1" a="1"/>
  <c r="V4" i="10" s="1"/>
  <c r="E30" i="10"/>
  <c r="V30" i="10" s="1" a="1"/>
  <c r="V30" i="10" s="1"/>
  <c r="E6" i="10"/>
  <c r="V6" i="10" s="1" a="1"/>
  <c r="V6" i="10" s="1"/>
  <c r="E7" i="10"/>
  <c r="V7" i="10" s="1" a="1"/>
  <c r="V7" i="10" s="1"/>
  <c r="E33" i="10"/>
  <c r="U33" i="10" s="1" a="1"/>
  <c r="U33" i="10" s="1"/>
  <c r="E13" i="10"/>
  <c r="U13" i="10" s="1" a="1"/>
  <c r="U13" i="10" s="1"/>
  <c r="E3" i="10"/>
  <c r="U3" i="10" s="1" a="1"/>
  <c r="U3" i="10" s="1"/>
  <c r="E26" i="10"/>
  <c r="W26" i="10" s="1" a="1"/>
  <c r="W26" i="10" s="1"/>
  <c r="E23" i="10"/>
  <c r="W23" i="10" s="1" a="1"/>
  <c r="W23" i="10" s="1"/>
  <c r="E35" i="10"/>
  <c r="W35" i="10" s="1" a="1"/>
  <c r="W35" i="10" s="1"/>
  <c r="E14" i="10"/>
  <c r="U14" i="10" s="1" a="1"/>
  <c r="U14" i="10" s="1"/>
  <c r="E2" i="10"/>
  <c r="U2" i="10" s="1" a="1"/>
  <c r="U2" i="10" s="1"/>
  <c r="E36" i="10"/>
  <c r="U36" i="10" s="1" a="1"/>
  <c r="U36" i="10" s="1"/>
  <c r="E29" i="10"/>
  <c r="U29" i="10" s="1" a="1"/>
  <c r="U29" i="10" s="1"/>
  <c r="E24" i="10"/>
  <c r="V24" i="10" s="1" a="1"/>
  <c r="V24" i="10" s="1"/>
  <c r="E34" i="10"/>
  <c r="V34" i="10" s="1" a="1"/>
  <c r="V34" i="10" s="1"/>
  <c r="E43" i="10"/>
  <c r="V43" i="10" s="1" a="1"/>
  <c r="V43" i="10" s="1"/>
  <c r="E39" i="8"/>
  <c r="W39" i="8" s="1" a="1"/>
  <c r="W39" i="8" s="1"/>
  <c r="E40" i="8"/>
  <c r="W40" i="8" s="1" a="1"/>
  <c r="W40" i="8" s="1"/>
  <c r="E38" i="8"/>
  <c r="W38" i="8" s="1" a="1"/>
  <c r="W38" i="8" s="1"/>
  <c r="E36" i="8"/>
  <c r="V36" i="8" s="1" a="1"/>
  <c r="V36" i="8" s="1"/>
  <c r="E9" i="8"/>
  <c r="W9" i="8" s="1" a="1"/>
  <c r="W9" i="8" s="1"/>
  <c r="E14" i="8"/>
  <c r="U14" i="8" s="1" a="1"/>
  <c r="U14" i="8" s="1"/>
  <c r="E5" i="8"/>
  <c r="V5" i="8" s="1" a="1"/>
  <c r="V5" i="8" s="1"/>
  <c r="E8" i="8"/>
  <c r="V8" i="8" s="1" a="1"/>
  <c r="V8" i="8" s="1"/>
  <c r="E7" i="8"/>
  <c r="W7" i="8" s="1" a="1"/>
  <c r="W7" i="8" s="1"/>
  <c r="E27" i="8"/>
  <c r="V27" i="8" s="1" a="1"/>
  <c r="V27" i="8" s="1"/>
  <c r="E3" i="8"/>
  <c r="W3" i="8" s="1" a="1"/>
  <c r="W3" i="8" s="1"/>
  <c r="E4" i="8"/>
  <c r="V4" i="8" s="1" a="1"/>
  <c r="V4" i="8" s="1"/>
  <c r="E37" i="8"/>
  <c r="U37" i="8" s="1" a="1"/>
  <c r="U37" i="8" s="1"/>
  <c r="E10" i="8"/>
  <c r="V10" i="8" s="1" a="1"/>
  <c r="V10" i="8" s="1"/>
  <c r="E45" i="8"/>
  <c r="W45" i="8" s="1" a="1"/>
  <c r="W45" i="8" s="1"/>
  <c r="E35" i="8"/>
  <c r="U35" i="8" s="1" a="1"/>
  <c r="U35" i="8" s="1"/>
  <c r="E18" i="8"/>
  <c r="U18" i="8" s="1" a="1"/>
  <c r="U18" i="8" s="1"/>
  <c r="E44" i="8"/>
  <c r="V44" i="8" s="1" a="1"/>
  <c r="V44" i="8" s="1"/>
  <c r="E30" i="8"/>
  <c r="W30" i="8" s="1" a="1"/>
  <c r="W30" i="8" s="1"/>
  <c r="E2" i="8"/>
  <c r="W2" i="8" s="1" a="1"/>
  <c r="W2" i="8" s="1"/>
  <c r="E20" i="8"/>
  <c r="W20" i="8" s="1" a="1"/>
  <c r="W20" i="8" s="1"/>
  <c r="E19" i="8"/>
  <c r="W19" i="8" s="1" a="1"/>
  <c r="W19" i="8" s="1"/>
  <c r="E47" i="8"/>
  <c r="U47" i="8" s="1" a="1"/>
  <c r="U47" i="8" s="1"/>
  <c r="E16" i="8"/>
  <c r="V16" i="8" s="1" a="1"/>
  <c r="V16" i="8" s="1"/>
  <c r="E46" i="8"/>
  <c r="U46" i="8" s="1" a="1"/>
  <c r="U46" i="8" s="1"/>
  <c r="E24" i="8"/>
  <c r="V24" i="8" s="1" a="1"/>
  <c r="V24" i="8" s="1"/>
  <c r="E15" i="8"/>
  <c r="U15" i="8" s="1" a="1"/>
  <c r="U15" i="8" s="1"/>
  <c r="E6" i="8"/>
  <c r="U6" i="8" s="1" a="1"/>
  <c r="U6" i="8" s="1"/>
  <c r="E22" i="8"/>
  <c r="W22" i="8" s="1" a="1"/>
  <c r="W22" i="8" s="1"/>
  <c r="E25" i="8"/>
  <c r="U25" i="8" s="1" a="1"/>
  <c r="U25" i="8" s="1"/>
  <c r="E11" i="8"/>
  <c r="U11" i="8" s="1" a="1"/>
  <c r="U11" i="8" s="1"/>
  <c r="E33" i="8"/>
  <c r="U33" i="8" s="1" a="1"/>
  <c r="U33" i="8" s="1"/>
  <c r="E17" i="8"/>
  <c r="U17" i="8" s="1" a="1"/>
  <c r="U17" i="8" s="1"/>
  <c r="E43" i="8"/>
  <c r="U43" i="8" s="1" a="1"/>
  <c r="U43" i="8" s="1"/>
  <c r="E12" i="8"/>
  <c r="W12" i="8" s="1" a="1"/>
  <c r="W12" i="8" s="1"/>
  <c r="E29" i="8"/>
  <c r="V29" i="8" s="1" a="1"/>
  <c r="V29" i="8" s="1"/>
  <c r="E23" i="8"/>
  <c r="U23" i="8" s="1" a="1"/>
  <c r="U23" i="8" s="1"/>
  <c r="E26" i="8"/>
  <c r="U26" i="8" s="1" a="1"/>
  <c r="U26" i="8" s="1"/>
  <c r="E21" i="8"/>
  <c r="U21" i="8" s="1" a="1"/>
  <c r="U21" i="8" s="1"/>
  <c r="E34" i="8"/>
  <c r="W34" i="8" s="1" a="1"/>
  <c r="W34" i="8" s="1"/>
  <c r="E13" i="8"/>
  <c r="W13" i="8" s="1" a="1"/>
  <c r="W13" i="8" s="1"/>
  <c r="E42" i="8"/>
  <c r="V42" i="8" s="1" a="1"/>
  <c r="V42" i="8" s="1"/>
  <c r="E41" i="8"/>
  <c r="V41" i="8" s="1" a="1"/>
  <c r="V41" i="8" s="1"/>
  <c r="E32" i="8"/>
  <c r="W32" i="8" s="1" a="1"/>
  <c r="W32" i="8" s="1"/>
  <c r="E28" i="8"/>
  <c r="V28" i="8" s="1" a="1"/>
  <c r="V28" i="8" s="1"/>
  <c r="E31" i="8"/>
  <c r="W31" i="8" s="1" a="1"/>
  <c r="W31" i="8" s="1"/>
  <c r="CN33" i="15"/>
  <c r="CN50" i="15"/>
  <c r="CN30" i="15"/>
  <c r="CN37" i="15"/>
  <c r="CN10" i="15"/>
  <c r="CN38" i="15"/>
  <c r="CN25" i="15"/>
  <c r="CN5" i="15"/>
  <c r="CN45" i="15"/>
  <c r="CN11" i="15"/>
  <c r="CN21" i="15"/>
  <c r="CN2" i="15"/>
  <c r="CN7" i="15"/>
  <c r="CN31" i="15"/>
  <c r="CN19" i="15"/>
  <c r="CN51" i="15"/>
  <c r="CN29" i="15"/>
  <c r="CN6" i="15"/>
  <c r="CN52" i="15"/>
  <c r="CN22" i="15"/>
  <c r="CN3" i="15"/>
  <c r="CN15" i="15"/>
  <c r="CN44" i="15"/>
  <c r="CN17" i="15"/>
  <c r="CN47" i="15"/>
  <c r="CN16" i="15"/>
  <c r="CN46" i="15"/>
  <c r="CN20" i="15"/>
  <c r="CN35" i="15"/>
  <c r="CN8" i="15"/>
  <c r="CN13" i="15"/>
  <c r="CN24" i="15"/>
  <c r="CN34" i="15"/>
  <c r="CN42" i="15"/>
  <c r="CN9" i="15"/>
  <c r="CN27" i="15"/>
  <c r="CN4" i="15"/>
  <c r="CN36" i="15"/>
  <c r="CN40" i="15"/>
  <c r="CN18" i="15"/>
  <c r="CN48" i="15"/>
  <c r="CN14" i="15"/>
  <c r="CN49" i="15"/>
  <c r="CN12" i="15"/>
  <c r="CN53" i="15"/>
  <c r="CN43" i="15"/>
  <c r="CN28" i="15"/>
  <c r="CN41" i="15"/>
  <c r="CN26" i="15"/>
  <c r="CN23" i="15"/>
  <c r="CN39" i="15"/>
  <c r="CN32" i="15"/>
  <c r="BR3" i="15"/>
  <c r="BR33" i="15"/>
  <c r="BR50" i="15"/>
  <c r="BR30" i="15"/>
  <c r="BR37" i="15"/>
  <c r="BR10" i="15"/>
  <c r="BR38" i="15"/>
  <c r="BR25" i="15"/>
  <c r="BR5" i="15"/>
  <c r="BR45" i="15"/>
  <c r="BR11" i="15"/>
  <c r="BR21" i="15"/>
  <c r="BR2" i="15"/>
  <c r="BR7" i="15"/>
  <c r="BR31" i="15"/>
  <c r="BR19" i="15"/>
  <c r="BR51" i="15"/>
  <c r="BR29" i="15"/>
  <c r="BR6" i="15"/>
  <c r="BR52" i="15"/>
  <c r="BR22" i="15"/>
  <c r="BR15" i="15"/>
  <c r="BR44" i="15"/>
  <c r="BR17" i="15"/>
  <c r="BR47" i="15"/>
  <c r="BR16" i="15"/>
  <c r="BR46" i="15"/>
  <c r="BR20" i="15"/>
  <c r="BR35" i="15"/>
  <c r="BR8" i="15"/>
  <c r="BR13" i="15"/>
  <c r="BR24" i="15"/>
  <c r="BR34" i="15"/>
  <c r="BR42" i="15"/>
  <c r="BR9" i="15"/>
  <c r="BR27" i="15"/>
  <c r="BR4" i="15"/>
  <c r="BR36" i="15"/>
  <c r="BR40" i="15"/>
  <c r="BR18" i="15"/>
  <c r="BR48" i="15"/>
  <c r="BR14" i="15"/>
  <c r="BR49" i="15"/>
  <c r="BR12" i="15"/>
  <c r="BR53" i="15"/>
  <c r="BR43" i="15"/>
  <c r="BR28" i="15"/>
  <c r="BR41" i="15"/>
  <c r="BR26" i="15"/>
  <c r="BR23" i="15"/>
  <c r="BR39" i="15"/>
  <c r="BR32" i="15"/>
  <c r="AV26" i="15"/>
  <c r="AV33" i="15"/>
  <c r="AV50" i="15"/>
  <c r="AV30" i="15"/>
  <c r="AV37" i="15"/>
  <c r="AV10" i="15"/>
  <c r="AV38" i="15"/>
  <c r="AV25" i="15"/>
  <c r="AV5" i="15"/>
  <c r="AV45" i="15"/>
  <c r="AV11" i="15"/>
  <c r="AV21" i="15"/>
  <c r="AV2" i="15"/>
  <c r="AV7" i="15"/>
  <c r="AV31" i="15"/>
  <c r="AV19" i="15"/>
  <c r="AV51" i="15"/>
  <c r="AV29" i="15"/>
  <c r="AV6" i="15"/>
  <c r="AV52" i="15"/>
  <c r="AV22" i="15"/>
  <c r="AV3" i="15"/>
  <c r="AV15" i="15"/>
  <c r="AV44" i="15"/>
  <c r="AV17" i="15"/>
  <c r="AV47" i="15"/>
  <c r="AV16" i="15"/>
  <c r="AV46" i="15"/>
  <c r="AV20" i="15"/>
  <c r="AV35" i="15"/>
  <c r="AV8" i="15"/>
  <c r="AV13" i="15"/>
  <c r="AV24" i="15"/>
  <c r="AV34" i="15"/>
  <c r="AV42" i="15"/>
  <c r="AV9" i="15"/>
  <c r="AV27" i="15"/>
  <c r="AV4" i="15"/>
  <c r="AV36" i="15"/>
  <c r="AV40" i="15"/>
  <c r="AV18" i="15"/>
  <c r="AV48" i="15"/>
  <c r="AV14" i="15"/>
  <c r="AV49" i="15"/>
  <c r="AV12" i="15"/>
  <c r="AV53" i="15"/>
  <c r="AV43" i="15"/>
  <c r="AV28" i="15"/>
  <c r="AV41" i="15"/>
  <c r="AV23" i="15"/>
  <c r="AV39" i="15"/>
  <c r="AV32" i="15"/>
  <c r="Z33" i="15"/>
  <c r="Z50" i="15"/>
  <c r="Z30" i="15"/>
  <c r="Z37" i="15"/>
  <c r="Z10" i="15"/>
  <c r="Z38" i="15"/>
  <c r="Z25" i="15"/>
  <c r="Z5" i="15"/>
  <c r="Z45" i="15"/>
  <c r="Z11" i="15"/>
  <c r="Z21" i="15"/>
  <c r="Z2" i="15"/>
  <c r="Z7" i="15"/>
  <c r="Z31" i="15"/>
  <c r="Z19" i="15"/>
  <c r="Z51" i="15"/>
  <c r="Z29" i="15"/>
  <c r="Z6" i="15"/>
  <c r="Z52" i="15"/>
  <c r="Z22" i="15"/>
  <c r="Z3" i="15"/>
  <c r="Z15" i="15"/>
  <c r="Z44" i="15"/>
  <c r="Z17" i="15"/>
  <c r="Z47" i="15"/>
  <c r="Z16" i="15"/>
  <c r="Z46" i="15"/>
  <c r="Z20" i="15"/>
  <c r="Z35" i="15"/>
  <c r="Z8" i="15"/>
  <c r="Z13" i="15"/>
  <c r="Z24" i="15"/>
  <c r="Z34" i="15"/>
  <c r="Z42" i="15"/>
  <c r="Z9" i="15"/>
  <c r="Z27" i="15"/>
  <c r="Z4" i="15"/>
  <c r="Z36" i="15"/>
  <c r="Z40" i="15"/>
  <c r="Z18" i="15"/>
  <c r="Z48" i="15"/>
  <c r="Z14" i="15"/>
  <c r="Z49" i="15"/>
  <c r="Z12" i="15"/>
  <c r="Z53" i="15"/>
  <c r="Z43" i="15"/>
  <c r="Z28" i="15"/>
  <c r="Z41" i="15"/>
  <c r="Z26" i="15"/>
  <c r="Z23" i="15"/>
  <c r="Z39" i="15"/>
  <c r="Z32" i="15"/>
  <c r="CQ3" i="15" l="1"/>
  <c r="CP3" i="15"/>
  <c r="A64" i="15" a="1"/>
  <c r="A64" i="15" s="1"/>
  <c r="A65" i="15" a="1"/>
  <c r="A65" i="15" s="1"/>
  <c r="E6" i="15"/>
  <c r="A69" i="15" a="1"/>
  <c r="A69" i="15" s="1"/>
  <c r="A60" i="15" a="1"/>
  <c r="A60" i="15" s="1"/>
  <c r="E2" i="15"/>
  <c r="B60" i="15" a="1"/>
  <c r="B60" i="15" s="1"/>
  <c r="B61" i="15" a="1"/>
  <c r="B61" i="15" s="1"/>
  <c r="B64" i="15" a="1"/>
  <c r="B64" i="15" s="1"/>
  <c r="B68" i="15" a="1"/>
  <c r="B68" i="15" s="1"/>
  <c r="W18" i="10" a="1"/>
  <c r="W18" i="10" s="1"/>
  <c r="V13" i="10" a="1"/>
  <c r="V13" i="10" s="1"/>
  <c r="P47" i="3"/>
  <c r="F47" i="3"/>
  <c r="Z22" i="3"/>
  <c r="Z32" i="3"/>
  <c r="Z8" i="3"/>
  <c r="L47" i="3" s="1"/>
  <c r="AA18" i="3"/>
  <c r="AA29" i="3"/>
  <c r="AA4" i="3"/>
  <c r="AA16" i="3"/>
  <c r="AA27" i="3"/>
  <c r="AA3" i="3"/>
  <c r="AA14" i="3"/>
  <c r="AA24" i="3"/>
  <c r="AA13" i="3"/>
  <c r="D47" i="3" s="1"/>
  <c r="AA23" i="3"/>
  <c r="Z24" i="3"/>
  <c r="AA2" i="3"/>
  <c r="AA28" i="3"/>
  <c r="AA6" i="3"/>
  <c r="AA15" i="3"/>
  <c r="B47" i="3"/>
  <c r="AA26" i="3"/>
  <c r="AA34" i="3"/>
  <c r="AA12" i="3"/>
  <c r="AA25" i="3"/>
  <c r="AA33" i="3"/>
  <c r="AA9" i="3"/>
  <c r="Q47" i="3" a="1"/>
  <c r="Q47" i="3" s="1"/>
  <c r="Z6" i="3"/>
  <c r="Z16" i="6"/>
  <c r="Z15" i="6"/>
  <c r="AA30" i="6"/>
  <c r="AA29" i="6"/>
  <c r="AA6" i="6"/>
  <c r="AA5" i="6"/>
  <c r="AA23" i="6"/>
  <c r="Z7" i="6"/>
  <c r="AA20" i="6"/>
  <c r="Z24" i="6"/>
  <c r="Z3" i="6"/>
  <c r="Z2" i="6"/>
  <c r="M52" i="6" s="1" a="1"/>
  <c r="M52" i="6" s="1"/>
  <c r="Z22" i="6"/>
  <c r="Z40" i="6"/>
  <c r="Z21" i="6"/>
  <c r="Z14" i="6"/>
  <c r="AA28" i="6"/>
  <c r="AA4" i="6"/>
  <c r="O52" i="6" s="1" a="1"/>
  <c r="O52" i="6" s="1"/>
  <c r="AA17" i="6"/>
  <c r="E52" i="6" s="1" a="1"/>
  <c r="E52" i="6" s="1"/>
  <c r="Z39" i="6"/>
  <c r="Z19" i="6"/>
  <c r="Z36" i="6"/>
  <c r="G52" i="6" a="1"/>
  <c r="G52" i="6" s="1"/>
  <c r="Z38" i="6"/>
  <c r="Z18" i="6"/>
  <c r="Z35" i="6"/>
  <c r="Z11" i="6"/>
  <c r="Z37" i="6"/>
  <c r="Z12" i="6"/>
  <c r="Z32" i="6"/>
  <c r="Z34" i="6"/>
  <c r="Z10" i="6"/>
  <c r="Z27" i="6"/>
  <c r="AA13" i="6"/>
  <c r="D52" i="6" s="1"/>
  <c r="Z33" i="6"/>
  <c r="Z9" i="6"/>
  <c r="Z26" i="6"/>
  <c r="F52" i="6"/>
  <c r="Z31" i="6"/>
  <c r="Z8" i="6"/>
  <c r="Z25" i="6"/>
  <c r="P52" i="6"/>
  <c r="D50" i="2"/>
  <c r="Z22" i="2"/>
  <c r="AA34" i="2"/>
  <c r="AA10" i="2"/>
  <c r="Q50" i="2" a="1"/>
  <c r="Q50" i="2" s="1"/>
  <c r="Z33" i="2"/>
  <c r="Z21" i="2"/>
  <c r="Z9" i="2"/>
  <c r="R50" i="2" a="1"/>
  <c r="R50" i="2" s="1"/>
  <c r="S50" i="2" s="1" a="1"/>
  <c r="S50" i="2" s="1"/>
  <c r="Z32" i="2"/>
  <c r="Z20" i="2"/>
  <c r="Z8" i="2"/>
  <c r="L50" i="2" s="1"/>
  <c r="Z31" i="2"/>
  <c r="Z19" i="2"/>
  <c r="Z7" i="2"/>
  <c r="Z30" i="2"/>
  <c r="Z18" i="2"/>
  <c r="Z6" i="2"/>
  <c r="Z29" i="2"/>
  <c r="Z17" i="2"/>
  <c r="Z5" i="2"/>
  <c r="M50" i="2" s="1" a="1"/>
  <c r="M50" i="2" s="1"/>
  <c r="Z2" i="2"/>
  <c r="Z28" i="2"/>
  <c r="C50" i="2" s="1" a="1"/>
  <c r="C50" i="2" s="1"/>
  <c r="Z16" i="2"/>
  <c r="Z4" i="2"/>
  <c r="AA2" i="2"/>
  <c r="Z27" i="2"/>
  <c r="Z15" i="2"/>
  <c r="Z3" i="2"/>
  <c r="Z38" i="2"/>
  <c r="Z26" i="2"/>
  <c r="Z14" i="2"/>
  <c r="Z37" i="2"/>
  <c r="Z25" i="2"/>
  <c r="Z13" i="2"/>
  <c r="Z36" i="2"/>
  <c r="Z24" i="2"/>
  <c r="Z12" i="2"/>
  <c r="Z35" i="2"/>
  <c r="Z23" i="2"/>
  <c r="Z11" i="2"/>
  <c r="O47" i="3" a="1"/>
  <c r="O47" i="3" s="1"/>
  <c r="C47" i="3" a="1"/>
  <c r="C47" i="3" s="1"/>
  <c r="F50" i="2"/>
  <c r="Q44" i="7" a="1"/>
  <c r="Q44" i="7" s="1"/>
  <c r="D44" i="7"/>
  <c r="G47" i="3" a="1"/>
  <c r="G47" i="3" s="1"/>
  <c r="M47" i="3" a="1"/>
  <c r="M47" i="3" s="1"/>
  <c r="Q52" i="6" a="1"/>
  <c r="Q52" i="6" s="1"/>
  <c r="C52" i="6" a="1"/>
  <c r="C52" i="6" s="1"/>
  <c r="P50" i="2"/>
  <c r="G50" i="2" a="1"/>
  <c r="G50" i="2" s="1"/>
  <c r="E50" i="2" a="1"/>
  <c r="E50" i="2" s="1"/>
  <c r="O50" i="2" a="1"/>
  <c r="O50" i="2" s="1"/>
  <c r="G44" i="7" a="1"/>
  <c r="G44" i="7" s="1"/>
  <c r="I44" i="7" a="1"/>
  <c r="I44" i="7" s="1"/>
  <c r="S44" i="7" a="1"/>
  <c r="S44" i="7" s="1"/>
  <c r="O44" i="7" a="1"/>
  <c r="O44" i="7" s="1"/>
  <c r="H44" i="7"/>
  <c r="F44" i="7"/>
  <c r="E44" i="7" a="1"/>
  <c r="E44" i="7" s="1"/>
  <c r="U25" i="14" a="1"/>
  <c r="U25" i="14" s="1"/>
  <c r="V31" i="14" a="1"/>
  <c r="V31" i="14" s="1"/>
  <c r="W33" i="14" a="1"/>
  <c r="W33" i="14" s="1"/>
  <c r="U17" i="14" a="1"/>
  <c r="U17" i="14" s="1"/>
  <c r="W8" i="14" a="1"/>
  <c r="W8" i="14" s="1"/>
  <c r="U20" i="14" a="1"/>
  <c r="U20" i="14" s="1"/>
  <c r="U11" i="14" a="1"/>
  <c r="U11" i="14" s="1"/>
  <c r="V13" i="14" a="1"/>
  <c r="V13" i="14" s="1"/>
  <c r="W32" i="14" a="1"/>
  <c r="W32" i="14" s="1"/>
  <c r="W24" i="14" a="1"/>
  <c r="W24" i="14" s="1"/>
  <c r="U29" i="14" a="1"/>
  <c r="U29" i="14" s="1"/>
  <c r="W28" i="14" a="1"/>
  <c r="W28" i="14" s="1"/>
  <c r="U9" i="14" a="1"/>
  <c r="U9" i="14" s="1"/>
  <c r="W23" i="14" a="1"/>
  <c r="W23" i="14" s="1"/>
  <c r="U7" i="14" a="1"/>
  <c r="U7" i="14" s="1"/>
  <c r="W4" i="14" a="1"/>
  <c r="W4" i="14" s="1"/>
  <c r="W2" i="14" a="1"/>
  <c r="W2" i="14" s="1"/>
  <c r="U14" i="14" a="1"/>
  <c r="U14" i="14" s="1"/>
  <c r="W27" i="14" a="1"/>
  <c r="W27" i="14" s="1"/>
  <c r="U15" i="14" a="1"/>
  <c r="U15" i="14" s="1"/>
  <c r="U2" i="12" a="1"/>
  <c r="U2" i="12" s="1"/>
  <c r="U4" i="10" a="1"/>
  <c r="U4" i="10" s="1"/>
  <c r="V14" i="10" a="1"/>
  <c r="V14" i="10" s="1"/>
  <c r="W17" i="10" a="1"/>
  <c r="W17" i="10" s="1"/>
  <c r="U2" i="8" a="1"/>
  <c r="U2" i="8" s="1"/>
  <c r="V2" i="8" a="1"/>
  <c r="V2" i="8" s="1"/>
  <c r="CR9" i="15"/>
  <c r="C68" i="15" a="1"/>
  <c r="C68" i="15" s="1"/>
  <c r="D68" i="15" s="1" a="1"/>
  <c r="D68" i="15" s="1"/>
  <c r="CS4" i="15"/>
  <c r="CP18" i="15"/>
  <c r="CS18" i="15"/>
  <c r="CT5" i="15"/>
  <c r="CQ50" i="15"/>
  <c r="CQ46" i="15"/>
  <c r="CT37" i="15"/>
  <c r="CT15" i="15"/>
  <c r="CT16" i="15"/>
  <c r="CP31" i="15"/>
  <c r="CT47" i="15"/>
  <c r="CT17" i="15"/>
  <c r="CP26" i="15"/>
  <c r="CT8" i="15"/>
  <c r="CQ15" i="15"/>
  <c r="CS13" i="15"/>
  <c r="CQ36" i="15"/>
  <c r="CS7" i="15"/>
  <c r="CS10" i="15"/>
  <c r="CQ13" i="15"/>
  <c r="CU3" i="15"/>
  <c r="CU18" i="15"/>
  <c r="CU4" i="15"/>
  <c r="CS3" i="15"/>
  <c r="CU14" i="15"/>
  <c r="CU9" i="15"/>
  <c r="CS31" i="15"/>
  <c r="CU6" i="15"/>
  <c r="CU11" i="15"/>
  <c r="CS26" i="15"/>
  <c r="CU2" i="15"/>
  <c r="CU12" i="15"/>
  <c r="CT41" i="15"/>
  <c r="CP4" i="15"/>
  <c r="CR49" i="15"/>
  <c r="CR22" i="15"/>
  <c r="CR5" i="15"/>
  <c r="CU44" i="15"/>
  <c r="CU49" i="15"/>
  <c r="CU22" i="15"/>
  <c r="CU5" i="15"/>
  <c r="CP53" i="15"/>
  <c r="CP30" i="15"/>
  <c r="CP25" i="15"/>
  <c r="CP14" i="15"/>
  <c r="CP9" i="15"/>
  <c r="CQ33" i="15"/>
  <c r="CQ27" i="15"/>
  <c r="CQ34" i="15"/>
  <c r="CQ7" i="15"/>
  <c r="CR43" i="15"/>
  <c r="CR40" i="15"/>
  <c r="CR21" i="15"/>
  <c r="CR16" i="15"/>
  <c r="CS53" i="15"/>
  <c r="CS30" i="15"/>
  <c r="CS25" i="15"/>
  <c r="CS14" i="15"/>
  <c r="CS9" i="15"/>
  <c r="CT50" i="15"/>
  <c r="CT36" i="15"/>
  <c r="CT46" i="15"/>
  <c r="CT13" i="15"/>
  <c r="CU43" i="15"/>
  <c r="CU40" i="15"/>
  <c r="CU21" i="15"/>
  <c r="CU16" i="15"/>
  <c r="CP52" i="15"/>
  <c r="CP29" i="15"/>
  <c r="CP24" i="15"/>
  <c r="CP11" i="15"/>
  <c r="CP6" i="15"/>
  <c r="CQ32" i="15"/>
  <c r="CQ48" i="15"/>
  <c r="CQ19" i="15"/>
  <c r="CQ10" i="15"/>
  <c r="CR42" i="15"/>
  <c r="CR39" i="15"/>
  <c r="CR20" i="15"/>
  <c r="CR17" i="15"/>
  <c r="CS52" i="15"/>
  <c r="CS29" i="15"/>
  <c r="CS24" i="15"/>
  <c r="CS11" i="15"/>
  <c r="CS6" i="15"/>
  <c r="CT33" i="15"/>
  <c r="CT27" i="15"/>
  <c r="CT34" i="15"/>
  <c r="CT7" i="15"/>
  <c r="CU42" i="15"/>
  <c r="CU39" i="15"/>
  <c r="CU20" i="15"/>
  <c r="CU17" i="15"/>
  <c r="CP45" i="15"/>
  <c r="CP28" i="15"/>
  <c r="CP23" i="15"/>
  <c r="CP2" i="15"/>
  <c r="CP12" i="15"/>
  <c r="CQ31" i="15"/>
  <c r="CQ26" i="15"/>
  <c r="CQ18" i="15"/>
  <c r="CQ4" i="15"/>
  <c r="CR51" i="15"/>
  <c r="CR38" i="15"/>
  <c r="CR35" i="15"/>
  <c r="CR8" i="15"/>
  <c r="CS45" i="15"/>
  <c r="CS28" i="15"/>
  <c r="CS23" i="15"/>
  <c r="CS2" i="15"/>
  <c r="CS12" i="15"/>
  <c r="CT32" i="15"/>
  <c r="CT48" i="15"/>
  <c r="CT19" i="15"/>
  <c r="CT10" i="15"/>
  <c r="CU51" i="15"/>
  <c r="CU38" i="15"/>
  <c r="CU35" i="15"/>
  <c r="CU8" i="15"/>
  <c r="CP44" i="15"/>
  <c r="CP49" i="15"/>
  <c r="CP22" i="15"/>
  <c r="CP5" i="15"/>
  <c r="CQ53" i="15"/>
  <c r="CQ30" i="15"/>
  <c r="CQ25" i="15"/>
  <c r="CQ14" i="15"/>
  <c r="CQ9" i="15"/>
  <c r="CR41" i="15"/>
  <c r="CR37" i="15"/>
  <c r="CR47" i="15"/>
  <c r="CR15" i="15"/>
  <c r="CS44" i="15"/>
  <c r="CS49" i="15"/>
  <c r="CS22" i="15"/>
  <c r="CS5" i="15"/>
  <c r="CT3" i="15"/>
  <c r="CT31" i="15"/>
  <c r="CT26" i="15"/>
  <c r="CT18" i="15"/>
  <c r="CT4" i="15"/>
  <c r="CU41" i="15"/>
  <c r="CU37" i="15"/>
  <c r="CU47" i="15"/>
  <c r="CU15" i="15"/>
  <c r="CP43" i="15"/>
  <c r="CP40" i="15"/>
  <c r="CP21" i="15"/>
  <c r="CP16" i="15"/>
  <c r="CQ52" i="15"/>
  <c r="CQ29" i="15"/>
  <c r="CQ24" i="15"/>
  <c r="CQ11" i="15"/>
  <c r="CQ6" i="15"/>
  <c r="CR50" i="15"/>
  <c r="CR36" i="15"/>
  <c r="CR46" i="15"/>
  <c r="CR13" i="15"/>
  <c r="CS43" i="15"/>
  <c r="CS40" i="15"/>
  <c r="CS21" i="15"/>
  <c r="CS16" i="15"/>
  <c r="CT53" i="15"/>
  <c r="CT30" i="15"/>
  <c r="CT25" i="15"/>
  <c r="CT14" i="15"/>
  <c r="CT9" i="15"/>
  <c r="CU50" i="15"/>
  <c r="CU36" i="15"/>
  <c r="CU46" i="15"/>
  <c r="CU13" i="15"/>
  <c r="CR44" i="15"/>
  <c r="CP42" i="15"/>
  <c r="CP39" i="15"/>
  <c r="CP20" i="15"/>
  <c r="CP17" i="15"/>
  <c r="CQ45" i="15"/>
  <c r="CQ28" i="15"/>
  <c r="CQ23" i="15"/>
  <c r="CQ2" i="15"/>
  <c r="CQ12" i="15"/>
  <c r="CR33" i="15"/>
  <c r="CR27" i="15"/>
  <c r="CR34" i="15"/>
  <c r="CR7" i="15"/>
  <c r="CS42" i="15"/>
  <c r="CS39" i="15"/>
  <c r="CS20" i="15"/>
  <c r="CS17" i="15"/>
  <c r="CT52" i="15"/>
  <c r="CT29" i="15"/>
  <c r="CT24" i="15"/>
  <c r="CT11" i="15"/>
  <c r="CT6" i="15"/>
  <c r="CU33" i="15"/>
  <c r="CU27" i="15"/>
  <c r="CU34" i="15"/>
  <c r="CU7" i="15"/>
  <c r="C65" i="15" a="1"/>
  <c r="C65" i="15" s="1"/>
  <c r="D65" i="15" s="1" a="1"/>
  <c r="D65" i="15" s="1"/>
  <c r="CP51" i="15"/>
  <c r="CP38" i="15"/>
  <c r="CP35" i="15"/>
  <c r="CP8" i="15"/>
  <c r="CQ44" i="15"/>
  <c r="CQ49" i="15"/>
  <c r="CQ22" i="15"/>
  <c r="CQ5" i="15"/>
  <c r="CR32" i="15"/>
  <c r="CR48" i="15"/>
  <c r="CR19" i="15"/>
  <c r="CR10" i="15"/>
  <c r="CS51" i="15"/>
  <c r="CS38" i="15"/>
  <c r="CS35" i="15"/>
  <c r="CS8" i="15"/>
  <c r="CT45" i="15"/>
  <c r="CT28" i="15"/>
  <c r="CT23" i="15"/>
  <c r="CT2" i="15"/>
  <c r="CT12" i="15"/>
  <c r="CU32" i="15"/>
  <c r="CU48" i="15"/>
  <c r="CU19" i="15"/>
  <c r="CU10" i="15"/>
  <c r="CP41" i="15"/>
  <c r="CP37" i="15"/>
  <c r="CP47" i="15"/>
  <c r="CP15" i="15"/>
  <c r="CQ43" i="15"/>
  <c r="CQ40" i="15"/>
  <c r="CQ21" i="15"/>
  <c r="CQ16" i="15"/>
  <c r="CR3" i="15"/>
  <c r="CR31" i="15"/>
  <c r="CR26" i="15"/>
  <c r="CR18" i="15"/>
  <c r="CR4" i="15"/>
  <c r="CS41" i="15"/>
  <c r="CS37" i="15"/>
  <c r="CS47" i="15"/>
  <c r="CS15" i="15"/>
  <c r="CP50" i="15"/>
  <c r="CP36" i="15"/>
  <c r="CP46" i="15"/>
  <c r="CP13" i="15"/>
  <c r="CQ42" i="15"/>
  <c r="CQ39" i="15"/>
  <c r="CQ20" i="15"/>
  <c r="CQ17" i="15"/>
  <c r="CR53" i="15"/>
  <c r="CR30" i="15"/>
  <c r="CR25" i="15"/>
  <c r="CR14" i="15"/>
  <c r="CP33" i="15"/>
  <c r="CP27" i="15"/>
  <c r="CP34" i="15"/>
  <c r="CP7" i="15"/>
  <c r="CQ51" i="15"/>
  <c r="CQ38" i="15"/>
  <c r="CQ35" i="15"/>
  <c r="CQ8" i="15"/>
  <c r="CR52" i="15"/>
  <c r="CR29" i="15"/>
  <c r="CR24" i="15"/>
  <c r="CR11" i="15"/>
  <c r="CR6" i="15"/>
  <c r="CP32" i="15"/>
  <c r="CP48" i="15"/>
  <c r="CP19" i="15"/>
  <c r="CP10" i="15"/>
  <c r="CR45" i="15"/>
  <c r="CR28" i="15"/>
  <c r="CR23" i="15"/>
  <c r="CR2" i="15"/>
  <c r="CR12" i="15"/>
  <c r="E47" i="3" a="1"/>
  <c r="E47" i="3" s="1"/>
  <c r="C64" i="15" a="1"/>
  <c r="C64" i="15" s="1"/>
  <c r="D64" i="15" s="1" a="1"/>
  <c r="D64" i="15" s="1"/>
  <c r="C61" i="15" a="1"/>
  <c r="C61" i="15" s="1"/>
  <c r="D61" i="15" s="1" a="1"/>
  <c r="D61" i="15" s="1"/>
  <c r="D60" i="15" a="1"/>
  <c r="D60" i="15" s="1"/>
  <c r="C69" i="15" a="1"/>
  <c r="C69" i="15" s="1"/>
  <c r="D69" i="15" s="1" a="1"/>
  <c r="D69" i="15" s="1"/>
  <c r="V5" i="11" a="1"/>
  <c r="V5" i="11" s="1"/>
  <c r="N50" i="2"/>
  <c r="V26" i="10" a="1"/>
  <c r="V26" i="10" s="1"/>
  <c r="V8" i="10" a="1"/>
  <c r="V8" i="10" s="1"/>
  <c r="W12" i="10" a="1"/>
  <c r="W12" i="10" s="1"/>
  <c r="U31" i="10" a="1"/>
  <c r="U31" i="10" s="1"/>
  <c r="V33" i="10" a="1"/>
  <c r="V33" i="10" s="1"/>
  <c r="W2" i="10" a="1"/>
  <c r="W2" i="10" s="1"/>
  <c r="W11" i="10" a="1"/>
  <c r="W11" i="10" s="1"/>
  <c r="U39" i="10" a="1"/>
  <c r="U39" i="10" s="1"/>
  <c r="V28" i="10" a="1"/>
  <c r="V28" i="10" s="1"/>
  <c r="W34" i="10" a="1"/>
  <c r="W34" i="10" s="1"/>
  <c r="W6" i="10" a="1"/>
  <c r="W6" i="10" s="1"/>
  <c r="U30" i="10" a="1"/>
  <c r="U30" i="10" s="1"/>
  <c r="U40" i="10" a="1"/>
  <c r="U40" i="10" s="1"/>
  <c r="W5" i="10" a="1"/>
  <c r="W5" i="10" s="1"/>
  <c r="U23" i="10" a="1"/>
  <c r="U23" i="10" s="1"/>
  <c r="U21" i="10" a="1"/>
  <c r="U21" i="10" s="1"/>
  <c r="V41" i="10" a="1"/>
  <c r="V41" i="10" s="1"/>
  <c r="U17" i="10" a="1"/>
  <c r="U17" i="10" s="1"/>
  <c r="V42" i="10" a="1"/>
  <c r="V42" i="10" s="1"/>
  <c r="W30" i="10" a="1"/>
  <c r="W30" i="10" s="1"/>
  <c r="U34" i="10" a="1"/>
  <c r="U34" i="10" s="1"/>
  <c r="U16" i="10" a="1"/>
  <c r="U16" i="10" s="1"/>
  <c r="V44" i="10" a="1"/>
  <c r="V44" i="10" s="1"/>
  <c r="W41" i="10" a="1"/>
  <c r="W41" i="10" s="1"/>
  <c r="U24" i="10" a="1"/>
  <c r="U24" i="10" s="1"/>
  <c r="U11" i="10" a="1"/>
  <c r="U11" i="10" s="1"/>
  <c r="V20" i="10" a="1"/>
  <c r="V20" i="10" s="1"/>
  <c r="W40" i="10" a="1"/>
  <c r="W40" i="10" s="1"/>
  <c r="U5" i="10" a="1"/>
  <c r="U5" i="10" s="1"/>
  <c r="V19" i="10" a="1"/>
  <c r="V19" i="10" s="1"/>
  <c r="W43" i="10" a="1"/>
  <c r="W43" i="10" s="1"/>
  <c r="U37" i="10" a="1"/>
  <c r="U37" i="10" s="1"/>
  <c r="U43" i="10" a="1"/>
  <c r="U43" i="10" s="1"/>
  <c r="U12" i="10" a="1"/>
  <c r="U12" i="10" s="1"/>
  <c r="V29" i="10" a="1"/>
  <c r="V29" i="10" s="1"/>
  <c r="V32" i="10" a="1"/>
  <c r="V32" i="10" s="1"/>
  <c r="V38" i="10" a="1"/>
  <c r="V38" i="10" s="1"/>
  <c r="V15" i="10" a="1"/>
  <c r="V15" i="10" s="1"/>
  <c r="V3" i="10" a="1"/>
  <c r="V3" i="10" s="1"/>
  <c r="W33" i="10" a="1"/>
  <c r="W33" i="10" s="1"/>
  <c r="W19" i="10" a="1"/>
  <c r="W19" i="10" s="1"/>
  <c r="W7" i="10" a="1"/>
  <c r="W7" i="10" s="1"/>
  <c r="U35" i="10" a="1"/>
  <c r="U35" i="10" s="1"/>
  <c r="U9" i="10" a="1"/>
  <c r="U9" i="10" s="1"/>
  <c r="V37" i="10" a="1"/>
  <c r="V37" i="10" s="1"/>
  <c r="W24" i="10" a="1"/>
  <c r="W24" i="10" s="1"/>
  <c r="W25" i="10" a="1"/>
  <c r="W25" i="10" s="1"/>
  <c r="W16" i="10" a="1"/>
  <c r="W16" i="10" s="1"/>
  <c r="W4" i="10" a="1"/>
  <c r="W4" i="10" s="1"/>
  <c r="U10" i="10" a="1"/>
  <c r="U10" i="10" s="1"/>
  <c r="U26" i="10" a="1"/>
  <c r="U26" i="10" s="1"/>
  <c r="U27" i="10" a="1"/>
  <c r="U27" i="10" s="1"/>
  <c r="U20" i="10" a="1"/>
  <c r="U20" i="10" s="1"/>
  <c r="U8" i="10" a="1"/>
  <c r="U8" i="10" s="1"/>
  <c r="V23" i="10" a="1"/>
  <c r="V23" i="10" s="1"/>
  <c r="W29" i="10" a="1"/>
  <c r="W29" i="10" s="1"/>
  <c r="W32" i="10" a="1"/>
  <c r="W32" i="10" s="1"/>
  <c r="W38" i="10" a="1"/>
  <c r="W38" i="10" s="1"/>
  <c r="W15" i="10" a="1"/>
  <c r="W15" i="10" s="1"/>
  <c r="W3" i="10" a="1"/>
  <c r="W3" i="10" s="1"/>
  <c r="U22" i="10" a="1"/>
  <c r="U22" i="10" s="1"/>
  <c r="U7" i="10" a="1"/>
  <c r="U7" i="10" s="1"/>
  <c r="V31" i="10" a="1"/>
  <c r="V31" i="10" s="1"/>
  <c r="V22" i="10" a="1"/>
  <c r="V22" i="10" s="1"/>
  <c r="V10" i="10" a="1"/>
  <c r="V10" i="10" s="1"/>
  <c r="W28" i="10" a="1"/>
  <c r="W28" i="10" s="1"/>
  <c r="W42" i="10" a="1"/>
  <c r="W42" i="10" s="1"/>
  <c r="W14" i="10" a="1"/>
  <c r="W14" i="10" s="1"/>
  <c r="V36" i="10" a="1"/>
  <c r="V36" i="10" s="1"/>
  <c r="V2" i="10" a="1"/>
  <c r="V2" i="10" s="1"/>
  <c r="U18" i="10" a="1"/>
  <c r="U18" i="10" s="1"/>
  <c r="U6" i="10" a="1"/>
  <c r="U6" i="10" s="1"/>
  <c r="V35" i="10" a="1"/>
  <c r="V35" i="10" s="1"/>
  <c r="V39" i="10" a="1"/>
  <c r="V39" i="10" s="1"/>
  <c r="V21" i="10" a="1"/>
  <c r="V21" i="10" s="1"/>
  <c r="V9" i="10" a="1"/>
  <c r="V9" i="10" s="1"/>
  <c r="W36" i="10" a="1"/>
  <c r="W36" i="10" s="1"/>
  <c r="W44" i="10" a="1"/>
  <c r="W44" i="10" s="1"/>
  <c r="W13" i="10" a="1"/>
  <c r="W13" i="10" s="1"/>
  <c r="V27" i="10" a="1"/>
  <c r="V27" i="10" s="1"/>
  <c r="U25" i="10" a="1"/>
  <c r="U25" i="10" s="1"/>
  <c r="U39" i="12" a="1"/>
  <c r="U39" i="12" s="1"/>
  <c r="U37" i="12" a="1"/>
  <c r="U37" i="12" s="1"/>
  <c r="U15" i="12" a="1"/>
  <c r="U15" i="12" s="1"/>
  <c r="U10" i="12" a="1"/>
  <c r="U10" i="12" s="1"/>
  <c r="V20" i="12" a="1"/>
  <c r="V20" i="12" s="1"/>
  <c r="V5" i="12" a="1"/>
  <c r="V5" i="12" s="1"/>
  <c r="V40" i="12" a="1"/>
  <c r="V40" i="12" s="1"/>
  <c r="W12" i="12" a="1"/>
  <c r="W12" i="12" s="1"/>
  <c r="W9" i="12" a="1"/>
  <c r="W9" i="12" s="1"/>
  <c r="W11" i="12" a="1"/>
  <c r="W11" i="12" s="1"/>
  <c r="W32" i="12" a="1"/>
  <c r="W32" i="12" s="1"/>
  <c r="U47" i="12" a="1"/>
  <c r="U47" i="12" s="1"/>
  <c r="U31" i="12" a="1"/>
  <c r="U31" i="12" s="1"/>
  <c r="U35" i="12" a="1"/>
  <c r="U35" i="12" s="1"/>
  <c r="V29" i="12" a="1"/>
  <c r="V29" i="12" s="1"/>
  <c r="V23" i="12" a="1"/>
  <c r="V23" i="12" s="1"/>
  <c r="V14" i="12" a="1"/>
  <c r="V14" i="12" s="1"/>
  <c r="V45" i="12" a="1"/>
  <c r="V45" i="12" s="1"/>
  <c r="W33" i="12" a="1"/>
  <c r="W33" i="12" s="1"/>
  <c r="W7" i="12" a="1"/>
  <c r="W7" i="12" s="1"/>
  <c r="W36" i="12" a="1"/>
  <c r="W36" i="12" s="1"/>
  <c r="W8" i="12" a="1"/>
  <c r="W8" i="12" s="1"/>
  <c r="U16" i="12" a="1"/>
  <c r="U16" i="12" s="1"/>
  <c r="U28" i="12" a="1"/>
  <c r="U28" i="12" s="1"/>
  <c r="U27" i="12" a="1"/>
  <c r="U27" i="12" s="1"/>
  <c r="U3" i="12" a="1"/>
  <c r="U3" i="12" s="1"/>
  <c r="V25" i="12" a="1"/>
  <c r="V25" i="12" s="1"/>
  <c r="V13" i="12" a="1"/>
  <c r="V13" i="12" s="1"/>
  <c r="V21" i="12" a="1"/>
  <c r="V21" i="12" s="1"/>
  <c r="V6" i="12" a="1"/>
  <c r="V6" i="12" s="1"/>
  <c r="V43" i="12" a="1"/>
  <c r="V43" i="12" s="1"/>
  <c r="W22" i="12" a="1"/>
  <c r="W22" i="12" s="1"/>
  <c r="W26" i="12" a="1"/>
  <c r="W26" i="12" s="1"/>
  <c r="W42" i="12" a="1"/>
  <c r="W42" i="12" s="1"/>
  <c r="W30" i="12" a="1"/>
  <c r="W30" i="12" s="1"/>
  <c r="U17" i="12" a="1"/>
  <c r="U17" i="12" s="1"/>
  <c r="U38" i="12" a="1"/>
  <c r="U38" i="12" s="1"/>
  <c r="U41" i="12" a="1"/>
  <c r="U41" i="12" s="1"/>
  <c r="V44" i="12" a="1"/>
  <c r="V44" i="12" s="1"/>
  <c r="V19" i="12" a="1"/>
  <c r="V19" i="12" s="1"/>
  <c r="V4" i="12" a="1"/>
  <c r="V4" i="12" s="1"/>
  <c r="W20" i="12" a="1"/>
  <c r="W20" i="12" s="1"/>
  <c r="W5" i="12" a="1"/>
  <c r="W5" i="12" s="1"/>
  <c r="W40" i="12" a="1"/>
  <c r="W40" i="12" s="1"/>
  <c r="U12" i="12" a="1"/>
  <c r="U12" i="12" s="1"/>
  <c r="U9" i="12" a="1"/>
  <c r="U9" i="12" s="1"/>
  <c r="U11" i="12" a="1"/>
  <c r="U11" i="12" s="1"/>
  <c r="U32" i="12" a="1"/>
  <c r="U32" i="12" s="1"/>
  <c r="V34" i="12" a="1"/>
  <c r="V34" i="12" s="1"/>
  <c r="V18" i="12" a="1"/>
  <c r="V18" i="12" s="1"/>
  <c r="V24" i="12" a="1"/>
  <c r="V24" i="12" s="1"/>
  <c r="W29" i="12" a="1"/>
  <c r="W29" i="12" s="1"/>
  <c r="W23" i="12" a="1"/>
  <c r="W23" i="12" s="1"/>
  <c r="W14" i="12" a="1"/>
  <c r="W14" i="12" s="1"/>
  <c r="W45" i="12" a="1"/>
  <c r="W45" i="12" s="1"/>
  <c r="U33" i="12" a="1"/>
  <c r="U33" i="12" s="1"/>
  <c r="U7" i="12" a="1"/>
  <c r="U7" i="12" s="1"/>
  <c r="U36" i="12" a="1"/>
  <c r="U36" i="12" s="1"/>
  <c r="U8" i="12" a="1"/>
  <c r="U8" i="12" s="1"/>
  <c r="V39" i="12" a="1"/>
  <c r="V39" i="12" s="1"/>
  <c r="V37" i="12" a="1"/>
  <c r="V37" i="12" s="1"/>
  <c r="V15" i="12" a="1"/>
  <c r="V15" i="12" s="1"/>
  <c r="V10" i="12" a="1"/>
  <c r="V10" i="12" s="1"/>
  <c r="W25" i="12" a="1"/>
  <c r="W25" i="12" s="1"/>
  <c r="W13" i="12" a="1"/>
  <c r="W13" i="12" s="1"/>
  <c r="W21" i="12" a="1"/>
  <c r="W21" i="12" s="1"/>
  <c r="W6" i="12" a="1"/>
  <c r="W6" i="12" s="1"/>
  <c r="W43" i="12" a="1"/>
  <c r="W43" i="12" s="1"/>
  <c r="U46" i="12" a="1"/>
  <c r="U46" i="12" s="1"/>
  <c r="U22" i="12" a="1"/>
  <c r="U22" i="12" s="1"/>
  <c r="U26" i="12" a="1"/>
  <c r="U26" i="12" s="1"/>
  <c r="U42" i="12" a="1"/>
  <c r="U42" i="12" s="1"/>
  <c r="U30" i="12" a="1"/>
  <c r="U30" i="12" s="1"/>
  <c r="V47" i="12" a="1"/>
  <c r="V47" i="12" s="1"/>
  <c r="V31" i="12" a="1"/>
  <c r="V31" i="12" s="1"/>
  <c r="V2" i="12" a="1"/>
  <c r="V2" i="12" s="1"/>
  <c r="V35" i="12" a="1"/>
  <c r="V35" i="12" s="1"/>
  <c r="W44" i="12" a="1"/>
  <c r="W44" i="12" s="1"/>
  <c r="W19" i="12" a="1"/>
  <c r="W19" i="12" s="1"/>
  <c r="W4" i="12" a="1"/>
  <c r="W4" i="12" s="1"/>
  <c r="V16" i="12" a="1"/>
  <c r="V16" i="12" s="1"/>
  <c r="V28" i="12" a="1"/>
  <c r="V28" i="12" s="1"/>
  <c r="V27" i="12" a="1"/>
  <c r="V27" i="12" s="1"/>
  <c r="V3" i="12" a="1"/>
  <c r="V3" i="12" s="1"/>
  <c r="W34" i="12" a="1"/>
  <c r="W34" i="12" s="1"/>
  <c r="W18" i="12" a="1"/>
  <c r="W18" i="12" s="1"/>
  <c r="W24" i="12" a="1"/>
  <c r="W24" i="12" s="1"/>
  <c r="V17" i="12" a="1"/>
  <c r="V17" i="12" s="1"/>
  <c r="V38" i="12" a="1"/>
  <c r="V38" i="12" s="1"/>
  <c r="V41" i="12" a="1"/>
  <c r="V41" i="12" s="1"/>
  <c r="W46" i="12" a="1"/>
  <c r="W46" i="12" s="1"/>
  <c r="U36" i="13" a="1"/>
  <c r="U36" i="13" s="1"/>
  <c r="U12" i="13" a="1"/>
  <c r="U12" i="13" s="1"/>
  <c r="U27" i="13" a="1"/>
  <c r="U27" i="13" s="1"/>
  <c r="V24" i="13" a="1"/>
  <c r="V24" i="13" s="1"/>
  <c r="V20" i="13" a="1"/>
  <c r="V20" i="13" s="1"/>
  <c r="V41" i="13" a="1"/>
  <c r="V41" i="13" s="1"/>
  <c r="V42" i="13" a="1"/>
  <c r="V42" i="13" s="1"/>
  <c r="W33" i="13" a="1"/>
  <c r="W33" i="13" s="1"/>
  <c r="W35" i="13" a="1"/>
  <c r="W35" i="13" s="1"/>
  <c r="W37" i="13" a="1"/>
  <c r="W37" i="13" s="1"/>
  <c r="W40" i="13" a="1"/>
  <c r="W40" i="13" s="1"/>
  <c r="U38" i="13" a="1"/>
  <c r="U38" i="13" s="1"/>
  <c r="U7" i="13" a="1"/>
  <c r="U7" i="13" s="1"/>
  <c r="U9" i="13" a="1"/>
  <c r="U9" i="13" s="1"/>
  <c r="V34" i="13" a="1"/>
  <c r="V34" i="13" s="1"/>
  <c r="V5" i="13" a="1"/>
  <c r="V5" i="13" s="1"/>
  <c r="V14" i="13" a="1"/>
  <c r="V14" i="13" s="1"/>
  <c r="V13" i="13" a="1"/>
  <c r="V13" i="13" s="1"/>
  <c r="V43" i="13" a="1"/>
  <c r="V43" i="13" s="1"/>
  <c r="W19" i="13" a="1"/>
  <c r="W19" i="13" s="1"/>
  <c r="W25" i="13" a="1"/>
  <c r="W25" i="13" s="1"/>
  <c r="W11" i="13" a="1"/>
  <c r="W11" i="13" s="1"/>
  <c r="U22" i="13" a="1"/>
  <c r="U22" i="13" s="1"/>
  <c r="U2" i="13" a="1"/>
  <c r="U2" i="13" s="1"/>
  <c r="V32" i="13" a="1"/>
  <c r="V32" i="13" s="1"/>
  <c r="V17" i="13" a="1"/>
  <c r="V17" i="13" s="1"/>
  <c r="V6" i="13" a="1"/>
  <c r="V6" i="13" s="1"/>
  <c r="W29" i="13" a="1"/>
  <c r="W29" i="13" s="1"/>
  <c r="W30" i="13" a="1"/>
  <c r="W30" i="13" s="1"/>
  <c r="W21" i="13" a="1"/>
  <c r="W21" i="13" s="1"/>
  <c r="W26" i="13" a="1"/>
  <c r="W26" i="13" s="1"/>
  <c r="U3" i="13" a="1"/>
  <c r="U3" i="13" s="1"/>
  <c r="U28" i="13" a="1"/>
  <c r="U28" i="13" s="1"/>
  <c r="U23" i="13" a="1"/>
  <c r="U23" i="13" s="1"/>
  <c r="U16" i="13" a="1"/>
  <c r="U16" i="13" s="1"/>
  <c r="V36" i="13" a="1"/>
  <c r="V36" i="13" s="1"/>
  <c r="V12" i="13" a="1"/>
  <c r="V12" i="13" s="1"/>
  <c r="V27" i="13" a="1"/>
  <c r="V27" i="13" s="1"/>
  <c r="W24" i="13" a="1"/>
  <c r="W24" i="13" s="1"/>
  <c r="W20" i="13" a="1"/>
  <c r="W20" i="13" s="1"/>
  <c r="W18" i="13" a="1"/>
  <c r="W18" i="13" s="1"/>
  <c r="W39" i="13" a="1"/>
  <c r="W39" i="13" s="1"/>
  <c r="U10" i="13" a="1"/>
  <c r="U10" i="13" s="1"/>
  <c r="U31" i="13" a="1"/>
  <c r="U31" i="13" s="1"/>
  <c r="V38" i="13" a="1"/>
  <c r="V38" i="13" s="1"/>
  <c r="V7" i="13" a="1"/>
  <c r="V7" i="13" s="1"/>
  <c r="V9" i="13" a="1"/>
  <c r="V9" i="13" s="1"/>
  <c r="W34" i="13" a="1"/>
  <c r="W34" i="13" s="1"/>
  <c r="W5" i="13" a="1"/>
  <c r="W5" i="13" s="1"/>
  <c r="W14" i="13" a="1"/>
  <c r="W14" i="13" s="1"/>
  <c r="W41" i="13" a="1"/>
  <c r="W41" i="13" s="1"/>
  <c r="W42" i="13" a="1"/>
  <c r="W42" i="13" s="1"/>
  <c r="U44" i="13" a="1"/>
  <c r="U44" i="13" s="1"/>
  <c r="U15" i="13" a="1"/>
  <c r="U15" i="13" s="1"/>
  <c r="U8" i="13" a="1"/>
  <c r="U8" i="13" s="1"/>
  <c r="U4" i="13" a="1"/>
  <c r="U4" i="13" s="1"/>
  <c r="U40" i="13" a="1"/>
  <c r="U40" i="13" s="1"/>
  <c r="V22" i="13" a="1"/>
  <c r="V22" i="13" s="1"/>
  <c r="V2" i="13" a="1"/>
  <c r="V2" i="13" s="1"/>
  <c r="W32" i="13" a="1"/>
  <c r="W32" i="13" s="1"/>
  <c r="W17" i="13" a="1"/>
  <c r="W17" i="13" s="1"/>
  <c r="W13" i="13" a="1"/>
  <c r="W13" i="13" s="1"/>
  <c r="W43" i="13" a="1"/>
  <c r="W43" i="13" s="1"/>
  <c r="W44" i="13" a="1"/>
  <c r="W44" i="13" s="1"/>
  <c r="U33" i="13" a="1"/>
  <c r="U33" i="13" s="1"/>
  <c r="U35" i="13" a="1"/>
  <c r="U35" i="13" s="1"/>
  <c r="U37" i="13" a="1"/>
  <c r="U37" i="13" s="1"/>
  <c r="U11" i="13" a="1"/>
  <c r="U11" i="13" s="1"/>
  <c r="V3" i="13" a="1"/>
  <c r="V3" i="13" s="1"/>
  <c r="V28" i="13" a="1"/>
  <c r="V28" i="13" s="1"/>
  <c r="V23" i="13" a="1"/>
  <c r="V23" i="13" s="1"/>
  <c r="V16" i="13" a="1"/>
  <c r="V16" i="13" s="1"/>
  <c r="W6" i="13" a="1"/>
  <c r="W6" i="13" s="1"/>
  <c r="U19" i="13" a="1"/>
  <c r="U19" i="13" s="1"/>
  <c r="U25" i="13" a="1"/>
  <c r="U25" i="13" s="1"/>
  <c r="U26" i="13" a="1"/>
  <c r="U26" i="13" s="1"/>
  <c r="V10" i="13" a="1"/>
  <c r="V10" i="13" s="1"/>
  <c r="V31" i="13" a="1"/>
  <c r="V31" i="13" s="1"/>
  <c r="U29" i="13" a="1"/>
  <c r="U29" i="13" s="1"/>
  <c r="U30" i="13" a="1"/>
  <c r="U30" i="13" s="1"/>
  <c r="U21" i="13" a="1"/>
  <c r="U21" i="13" s="1"/>
  <c r="U18" i="13" a="1"/>
  <c r="U18" i="13" s="1"/>
  <c r="U39" i="13" a="1"/>
  <c r="U39" i="13" s="1"/>
  <c r="V15" i="13" a="1"/>
  <c r="V15" i="13" s="1"/>
  <c r="V8" i="13" a="1"/>
  <c r="V8" i="13" s="1"/>
  <c r="V4" i="13" a="1"/>
  <c r="V4" i="13" s="1"/>
  <c r="V16" i="14" a="1"/>
  <c r="V16" i="14" s="1"/>
  <c r="U28" i="14" a="1"/>
  <c r="U28" i="14" s="1"/>
  <c r="U18" i="14" a="1"/>
  <c r="U18" i="14" s="1"/>
  <c r="U33" i="14" a="1"/>
  <c r="U33" i="14" s="1"/>
  <c r="U37" i="14" a="1"/>
  <c r="U37" i="14" s="1"/>
  <c r="V15" i="14" a="1"/>
  <c r="V15" i="14" s="1"/>
  <c r="W12" i="14" a="1"/>
  <c r="W12" i="14" s="1"/>
  <c r="W16" i="14" a="1"/>
  <c r="W16" i="14" s="1"/>
  <c r="V22" i="14" a="1"/>
  <c r="V22" i="14" s="1"/>
  <c r="U30" i="14" a="1"/>
  <c r="U30" i="14" s="1"/>
  <c r="U6" i="14" a="1"/>
  <c r="U6" i="14" s="1"/>
  <c r="U26" i="14" a="1"/>
  <c r="U26" i="14" s="1"/>
  <c r="V19" i="14" a="1"/>
  <c r="V19" i="14" s="1"/>
  <c r="V5" i="14" a="1"/>
  <c r="V5" i="14" s="1"/>
  <c r="V32" i="14" a="1"/>
  <c r="V32" i="14" s="1"/>
  <c r="W25" i="14" a="1"/>
  <c r="W25" i="14" s="1"/>
  <c r="W9" i="14" a="1"/>
  <c r="W9" i="14" s="1"/>
  <c r="W20" i="14" a="1"/>
  <c r="W20" i="14" s="1"/>
  <c r="V21" i="14" a="1"/>
  <c r="V21" i="14" s="1"/>
  <c r="U12" i="14" a="1"/>
  <c r="U12" i="14" s="1"/>
  <c r="V11" i="14" a="1"/>
  <c r="V11" i="14" s="1"/>
  <c r="W17" i="14" a="1"/>
  <c r="W17" i="14" s="1"/>
  <c r="W7" i="14" a="1"/>
  <c r="W7" i="14" s="1"/>
  <c r="U2" i="14" a="1"/>
  <c r="U2" i="14" s="1"/>
  <c r="V29" i="14" a="1"/>
  <c r="V29" i="14" s="1"/>
  <c r="V10" i="14" a="1"/>
  <c r="V10" i="14" s="1"/>
  <c r="V38" i="14" a="1"/>
  <c r="V38" i="14" s="1"/>
  <c r="W31" i="14" a="1"/>
  <c r="W31" i="14" s="1"/>
  <c r="W13" i="14" a="1"/>
  <c r="W13" i="14" s="1"/>
  <c r="V34" i="14" a="1"/>
  <c r="V34" i="14" s="1"/>
  <c r="V35" i="14" a="1"/>
  <c r="V35" i="14" s="1"/>
  <c r="U4" i="14" a="1"/>
  <c r="U4" i="14" s="1"/>
  <c r="U27" i="14" a="1"/>
  <c r="U27" i="14" s="1"/>
  <c r="U24" i="14" a="1"/>
  <c r="U24" i="14" s="1"/>
  <c r="U8" i="14" a="1"/>
  <c r="U8" i="14" s="1"/>
  <c r="V30" i="14" a="1"/>
  <c r="V30" i="14" s="1"/>
  <c r="V6" i="14" a="1"/>
  <c r="V6" i="14" s="1"/>
  <c r="V14" i="14" a="1"/>
  <c r="V14" i="14" s="1"/>
  <c r="V3" i="14" a="1"/>
  <c r="V3" i="14" s="1"/>
  <c r="W34" i="14" a="1"/>
  <c r="W34" i="14" s="1"/>
  <c r="W22" i="14" a="1"/>
  <c r="W22" i="14" s="1"/>
  <c r="W21" i="14" a="1"/>
  <c r="W21" i="14" s="1"/>
  <c r="W35" i="14" a="1"/>
  <c r="W35" i="14" s="1"/>
  <c r="W36" i="14" a="1"/>
  <c r="W36" i="14" s="1"/>
  <c r="U36" i="14" a="1"/>
  <c r="U36" i="14" s="1"/>
  <c r="V7" i="11" a="1"/>
  <c r="V7" i="11" s="1"/>
  <c r="V26" i="11" a="1"/>
  <c r="V26" i="11" s="1"/>
  <c r="W21" i="11" a="1"/>
  <c r="W21" i="11" s="1"/>
  <c r="W30" i="11" a="1"/>
  <c r="W30" i="11" s="1"/>
  <c r="W19" i="11" a="1"/>
  <c r="W19" i="11" s="1"/>
  <c r="W28" i="11" a="1"/>
  <c r="W28" i="11" s="1"/>
  <c r="V32" i="11" a="1"/>
  <c r="V32" i="11" s="1"/>
  <c r="W39" i="11" a="1"/>
  <c r="W39" i="11" s="1"/>
  <c r="V34" i="11" a="1"/>
  <c r="V34" i="11" s="1"/>
  <c r="W38" i="11" a="1"/>
  <c r="W38" i="11" s="1"/>
  <c r="V42" i="11" a="1"/>
  <c r="V42" i="11" s="1"/>
  <c r="W2" i="11" a="1"/>
  <c r="W2" i="11" s="1"/>
  <c r="V9" i="11" a="1"/>
  <c r="V9" i="11" s="1"/>
  <c r="W35" i="11" a="1"/>
  <c r="W35" i="11" s="1"/>
  <c r="V14" i="11" a="1"/>
  <c r="V14" i="11" s="1"/>
  <c r="U20" i="11" a="1"/>
  <c r="U20" i="11" s="1"/>
  <c r="U12" i="11" a="1"/>
  <c r="U12" i="11" s="1"/>
  <c r="U45" i="11" a="1"/>
  <c r="U45" i="11" s="1"/>
  <c r="U8" i="11" a="1"/>
  <c r="U8" i="11" s="1"/>
  <c r="U46" i="11" a="1"/>
  <c r="U46" i="11" s="1"/>
  <c r="U17" i="11" a="1"/>
  <c r="U17" i="11" s="1"/>
  <c r="U29" i="11" a="1"/>
  <c r="U29" i="11" s="1"/>
  <c r="U36" i="11" a="1"/>
  <c r="U36" i="11" s="1"/>
  <c r="U44" i="11" a="1"/>
  <c r="U44" i="11" s="1"/>
  <c r="U48" i="11" a="1"/>
  <c r="U48" i="11" s="1"/>
  <c r="V41" i="11" a="1"/>
  <c r="V41" i="11" s="1"/>
  <c r="V37" i="11" a="1"/>
  <c r="V37" i="11" s="1"/>
  <c r="V25" i="11" a="1"/>
  <c r="V25" i="11" s="1"/>
  <c r="W22" i="11" a="1"/>
  <c r="W22" i="11" s="1"/>
  <c r="W31" i="11" a="1"/>
  <c r="W31" i="11" s="1"/>
  <c r="W27" i="11" a="1"/>
  <c r="W27" i="11" s="1"/>
  <c r="W13" i="11" a="1"/>
  <c r="W13" i="11" s="1"/>
  <c r="U16" i="11" a="1"/>
  <c r="U16" i="11" s="1"/>
  <c r="U10" i="11" a="1"/>
  <c r="U10" i="11" s="1"/>
  <c r="U21" i="11" a="1"/>
  <c r="U21" i="11" s="1"/>
  <c r="U19" i="11" a="1"/>
  <c r="U19" i="11" s="1"/>
  <c r="U39" i="11" a="1"/>
  <c r="U39" i="11" s="1"/>
  <c r="U2" i="11" a="1"/>
  <c r="U2" i="11" s="1"/>
  <c r="W49" i="11" a="1"/>
  <c r="W49" i="11" s="1"/>
  <c r="V43" i="11" a="1"/>
  <c r="V43" i="11" s="1"/>
  <c r="V18" i="11" a="1"/>
  <c r="V18" i="11" s="1"/>
  <c r="V23" i="11" a="1"/>
  <c r="V23" i="11" s="1"/>
  <c r="V33" i="11" a="1"/>
  <c r="V33" i="11" s="1"/>
  <c r="W11" i="11" a="1"/>
  <c r="W11" i="11" s="1"/>
  <c r="W3" i="11" a="1"/>
  <c r="W3" i="11" s="1"/>
  <c r="W24" i="11" a="1"/>
  <c r="W24" i="11" s="1"/>
  <c r="U22" i="11" a="1"/>
  <c r="U22" i="11" s="1"/>
  <c r="U31" i="11" a="1"/>
  <c r="U31" i="11" s="1"/>
  <c r="U27" i="11" a="1"/>
  <c r="U27" i="11" s="1"/>
  <c r="U13" i="11" a="1"/>
  <c r="U13" i="11" s="1"/>
  <c r="V49" i="11" a="1"/>
  <c r="V49" i="11" s="1"/>
  <c r="V40" i="11" a="1"/>
  <c r="V40" i="11" s="1"/>
  <c r="V15" i="11" a="1"/>
  <c r="V15" i="11" s="1"/>
  <c r="V47" i="11" a="1"/>
  <c r="V47" i="11" s="1"/>
  <c r="V4" i="11" a="1"/>
  <c r="V4" i="11" s="1"/>
  <c r="W32" i="11" a="1"/>
  <c r="W32" i="11" s="1"/>
  <c r="W42" i="11" a="1"/>
  <c r="W42" i="11" s="1"/>
  <c r="W14" i="11" a="1"/>
  <c r="W14" i="11" s="1"/>
  <c r="W7" i="11" a="1"/>
  <c r="W7" i="11" s="1"/>
  <c r="U30" i="11" a="1"/>
  <c r="U30" i="11" s="1"/>
  <c r="U28" i="11" a="1"/>
  <c r="U28" i="11" s="1"/>
  <c r="U38" i="11" a="1"/>
  <c r="U38" i="11" s="1"/>
  <c r="U35" i="11" a="1"/>
  <c r="U35" i="11" s="1"/>
  <c r="V20" i="11" a="1"/>
  <c r="V20" i="11" s="1"/>
  <c r="V12" i="11" a="1"/>
  <c r="V12" i="11" s="1"/>
  <c r="V45" i="11" a="1"/>
  <c r="V45" i="11" s="1"/>
  <c r="V8" i="11" a="1"/>
  <c r="V8" i="11" s="1"/>
  <c r="V46" i="11" a="1"/>
  <c r="V46" i="11" s="1"/>
  <c r="W41" i="11" a="1"/>
  <c r="W41" i="11" s="1"/>
  <c r="W37" i="11" a="1"/>
  <c r="W37" i="11" s="1"/>
  <c r="W25" i="11" a="1"/>
  <c r="W25" i="11" s="1"/>
  <c r="U11" i="11" a="1"/>
  <c r="U11" i="11" s="1"/>
  <c r="U3" i="11" a="1"/>
  <c r="U3" i="11" s="1"/>
  <c r="U24" i="11" a="1"/>
  <c r="U24" i="11" s="1"/>
  <c r="V17" i="11" a="1"/>
  <c r="V17" i="11" s="1"/>
  <c r="V29" i="11" a="1"/>
  <c r="V29" i="11" s="1"/>
  <c r="V36" i="11" a="1"/>
  <c r="V36" i="11" s="1"/>
  <c r="V44" i="11" a="1"/>
  <c r="V44" i="11" s="1"/>
  <c r="V48" i="11" a="1"/>
  <c r="V48" i="11" s="1"/>
  <c r="W34" i="11" a="1"/>
  <c r="W34" i="11" s="1"/>
  <c r="W9" i="11" a="1"/>
  <c r="W9" i="11" s="1"/>
  <c r="W5" i="11" a="1"/>
  <c r="W5" i="11" s="1"/>
  <c r="W26" i="11" a="1"/>
  <c r="W26" i="11" s="1"/>
  <c r="V16" i="11" a="1"/>
  <c r="V16" i="11" s="1"/>
  <c r="V6" i="11" a="1"/>
  <c r="V6" i="11" s="1"/>
  <c r="V10" i="11" a="1"/>
  <c r="V10" i="11" s="1"/>
  <c r="V50" i="11" a="1"/>
  <c r="V50" i="11" s="1"/>
  <c r="W43" i="11" a="1"/>
  <c r="W43" i="11" s="1"/>
  <c r="W18" i="11" a="1"/>
  <c r="W18" i="11" s="1"/>
  <c r="W23" i="11" a="1"/>
  <c r="W23" i="11" s="1"/>
  <c r="W33" i="11" a="1"/>
  <c r="W33" i="11" s="1"/>
  <c r="U6" i="11" a="1"/>
  <c r="U6" i="11" s="1"/>
  <c r="W40" i="11" a="1"/>
  <c r="W40" i="11" s="1"/>
  <c r="W15" i="11" a="1"/>
  <c r="W15" i="11" s="1"/>
  <c r="W47" i="11" a="1"/>
  <c r="W47" i="11" s="1"/>
  <c r="W4" i="11" a="1"/>
  <c r="W4" i="11" s="1"/>
  <c r="U50" i="11" a="1"/>
  <c r="U50" i="11" s="1"/>
  <c r="U45" i="8" a="1"/>
  <c r="U45" i="8" s="1"/>
  <c r="U32" i="8" a="1"/>
  <c r="U32" i="8" s="1"/>
  <c r="U19" i="8" a="1"/>
  <c r="U19" i="8" s="1"/>
  <c r="U7" i="8" a="1"/>
  <c r="U7" i="8" s="1"/>
  <c r="V47" i="8" a="1"/>
  <c r="V47" i="8" s="1"/>
  <c r="V35" i="8" a="1"/>
  <c r="V35" i="8" s="1"/>
  <c r="V23" i="8" a="1"/>
  <c r="V23" i="8" s="1"/>
  <c r="V6" i="8" a="1"/>
  <c r="V6" i="8" s="1"/>
  <c r="W44" i="8" a="1"/>
  <c r="W44" i="8" s="1"/>
  <c r="W29" i="8" a="1"/>
  <c r="W29" i="8" s="1"/>
  <c r="W16" i="8" a="1"/>
  <c r="W16" i="8" s="1"/>
  <c r="W4" i="8" a="1"/>
  <c r="W4" i="8" s="1"/>
  <c r="U39" i="8" a="1"/>
  <c r="U39" i="8" s="1"/>
  <c r="U31" i="8" a="1"/>
  <c r="U31" i="8" s="1"/>
  <c r="U22" i="8" a="1"/>
  <c r="U22" i="8" s="1"/>
  <c r="U9" i="8" a="1"/>
  <c r="U9" i="8" s="1"/>
  <c r="V43" i="8" a="1"/>
  <c r="V43" i="8" s="1"/>
  <c r="V33" i="8" a="1"/>
  <c r="V33" i="8" s="1"/>
  <c r="V15" i="8" a="1"/>
  <c r="V15" i="8" s="1"/>
  <c r="V17" i="8" a="1"/>
  <c r="V17" i="8" s="1"/>
  <c r="W42" i="8" a="1"/>
  <c r="W42" i="8" s="1"/>
  <c r="W24" i="8" a="1"/>
  <c r="W24" i="8" s="1"/>
  <c r="W10" i="8" a="1"/>
  <c r="W10" i="8" s="1"/>
  <c r="U40" i="8" a="1"/>
  <c r="U40" i="8" s="1"/>
  <c r="U34" i="8" a="1"/>
  <c r="U34" i="8" s="1"/>
  <c r="U20" i="8" a="1"/>
  <c r="U20" i="8" s="1"/>
  <c r="U13" i="8" a="1"/>
  <c r="U13" i="8" s="1"/>
  <c r="V46" i="8" a="1"/>
  <c r="V46" i="8" s="1"/>
  <c r="V26" i="8" a="1"/>
  <c r="V26" i="8" s="1"/>
  <c r="V21" i="8" a="1"/>
  <c r="V21" i="8" s="1"/>
  <c r="V11" i="8" a="1"/>
  <c r="V11" i="8" s="1"/>
  <c r="W36" i="8" a="1"/>
  <c r="W36" i="8" s="1"/>
  <c r="W28" i="8" a="1"/>
  <c r="W28" i="8" s="1"/>
  <c r="W5" i="8" a="1"/>
  <c r="W5" i="8" s="1"/>
  <c r="U38" i="8" a="1"/>
  <c r="U38" i="8" s="1"/>
  <c r="U30" i="8" a="1"/>
  <c r="U30" i="8" s="1"/>
  <c r="U12" i="8" a="1"/>
  <c r="U12" i="8" s="1"/>
  <c r="U3" i="8" a="1"/>
  <c r="U3" i="8" s="1"/>
  <c r="V37" i="8" a="1"/>
  <c r="V37" i="8" s="1"/>
  <c r="V25" i="8" a="1"/>
  <c r="V25" i="8" s="1"/>
  <c r="V14" i="8" a="1"/>
  <c r="V14" i="8" s="1"/>
  <c r="V18" i="8" a="1"/>
  <c r="V18" i="8" s="1"/>
  <c r="W41" i="8" a="1"/>
  <c r="W41" i="8" s="1"/>
  <c r="W27" i="8" a="1"/>
  <c r="W27" i="8" s="1"/>
  <c r="W8" i="8" a="1"/>
  <c r="W8" i="8" s="1"/>
  <c r="U44" i="8" a="1"/>
  <c r="U44" i="8" s="1"/>
  <c r="U29" i="8" a="1"/>
  <c r="U29" i="8" s="1"/>
  <c r="U16" i="8" a="1"/>
  <c r="U16" i="8" s="1"/>
  <c r="U4" i="8" a="1"/>
  <c r="U4" i="8" s="1"/>
  <c r="V45" i="8" a="1"/>
  <c r="V45" i="8" s="1"/>
  <c r="V32" i="8" a="1"/>
  <c r="V32" i="8" s="1"/>
  <c r="V19" i="8" a="1"/>
  <c r="V19" i="8" s="1"/>
  <c r="V7" i="8" a="1"/>
  <c r="V7" i="8" s="1"/>
  <c r="W47" i="8" a="1"/>
  <c r="W47" i="8" s="1"/>
  <c r="W35" i="8" a="1"/>
  <c r="W35" i="8" s="1"/>
  <c r="W23" i="8" a="1"/>
  <c r="W23" i="8" s="1"/>
  <c r="W6" i="8" a="1"/>
  <c r="W6" i="8" s="1"/>
  <c r="U42" i="8" a="1"/>
  <c r="U42" i="8" s="1"/>
  <c r="U24" i="8" a="1"/>
  <c r="U24" i="8" s="1"/>
  <c r="U10" i="8" a="1"/>
  <c r="U10" i="8" s="1"/>
  <c r="V39" i="8" a="1"/>
  <c r="V39" i="8" s="1"/>
  <c r="V31" i="8" a="1"/>
  <c r="V31" i="8" s="1"/>
  <c r="V22" i="8" a="1"/>
  <c r="V22" i="8" s="1"/>
  <c r="V9" i="8" a="1"/>
  <c r="V9" i="8" s="1"/>
  <c r="W43" i="8" a="1"/>
  <c r="W43" i="8" s="1"/>
  <c r="W33" i="8" a="1"/>
  <c r="W33" i="8" s="1"/>
  <c r="W15" i="8" a="1"/>
  <c r="W15" i="8" s="1"/>
  <c r="W17" i="8" a="1"/>
  <c r="W17" i="8" s="1"/>
  <c r="U36" i="8" a="1"/>
  <c r="U36" i="8" s="1"/>
  <c r="U28" i="8" a="1"/>
  <c r="U28" i="8" s="1"/>
  <c r="U5" i="8" a="1"/>
  <c r="U5" i="8" s="1"/>
  <c r="V40" i="8" a="1"/>
  <c r="V40" i="8" s="1"/>
  <c r="V34" i="8" a="1"/>
  <c r="V34" i="8" s="1"/>
  <c r="V20" i="8" a="1"/>
  <c r="V20" i="8" s="1"/>
  <c r="V13" i="8" a="1"/>
  <c r="V13" i="8" s="1"/>
  <c r="W46" i="8" a="1"/>
  <c r="W46" i="8" s="1"/>
  <c r="W26" i="8" a="1"/>
  <c r="W26" i="8" s="1"/>
  <c r="W21" i="8" a="1"/>
  <c r="W21" i="8" s="1"/>
  <c r="W11" i="8" a="1"/>
  <c r="W11" i="8" s="1"/>
  <c r="U41" i="8" a="1"/>
  <c r="U41" i="8" s="1"/>
  <c r="U27" i="8" a="1"/>
  <c r="U27" i="8" s="1"/>
  <c r="U8" i="8" a="1"/>
  <c r="U8" i="8" s="1"/>
  <c r="V38" i="8" a="1"/>
  <c r="V38" i="8" s="1"/>
  <c r="V30" i="8" a="1"/>
  <c r="V30" i="8" s="1"/>
  <c r="V12" i="8" a="1"/>
  <c r="V12" i="8" s="1"/>
  <c r="V3" i="8" a="1"/>
  <c r="V3" i="8" s="1"/>
  <c r="W37" i="8" a="1"/>
  <c r="W37" i="8" s="1"/>
  <c r="W25" i="8" a="1"/>
  <c r="W25" i="8" s="1"/>
  <c r="W14" i="8" a="1"/>
  <c r="W14" i="8" s="1"/>
  <c r="W18" i="8" a="1"/>
  <c r="W18" i="8" s="1"/>
  <c r="N47" i="3" l="1"/>
  <c r="B52" i="6"/>
  <c r="L52" i="6"/>
  <c r="N52" i="6"/>
  <c r="B5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F2B773-6145-48BA-B745-0568AEA511DB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8AA71A8-A05A-4C68-B81E-759C26D0B38E}" name="WorksheetConnection_Gymnastics-in-Poland.xlsx!floor_exercise" type="102" refreshedVersion="8" minRefreshableVersion="5">
    <extLst>
      <ext xmlns:x15="http://schemas.microsoft.com/office/spreadsheetml/2010/11/main" uri="{DE250136-89BD-433C-8126-D09CA5730AF9}">
        <x15:connection id="floor_exercise">
          <x15:rangePr sourceName="_xlcn.WorksheetConnection_GymnasticsinPoland.xlsxfloor_exercise1"/>
        </x15:connection>
      </ext>
    </extLst>
  </connection>
  <connection id="3" xr16:uid="{2AFB7810-5980-464C-A154-59D9DEF043CB}" name="WorksheetConnection_Gymnastics-in-Poland.xlsx!pommel_horse" type="102" refreshedVersion="8" minRefreshableVersion="5">
    <extLst>
      <ext xmlns:x15="http://schemas.microsoft.com/office/spreadsheetml/2010/11/main" uri="{DE250136-89BD-433C-8126-D09CA5730AF9}">
        <x15:connection id="pommel_horse">
          <x15:rangePr sourceName="_xlcn.WorksheetConnection_GymnasticsinPoland.xlsxpommel_horse1"/>
        </x15:connection>
      </ext>
    </extLst>
  </connection>
  <connection id="4" xr16:uid="{BAAC0120-44BE-1A49-AF7A-1534797353C0}" keepAlive="1" name="Zapytanie — all_around_2022" description="Połączenie z zapytaniem „all_around_2022” w skoroszycie." type="5" refreshedVersion="8" background="1" saveData="1">
    <dbPr connection="Provider=Microsoft.Mashup.OleDb.1;Data Source=$Workbook$;Location=all_around_2022;Extended Properties=&quot;&quot;" command="SELECT * FROM [all_around_2022]"/>
  </connection>
  <connection id="5" xr16:uid="{58EB5386-BFF2-4E45-A921-B91A72D963D9}" keepAlive="1" name="Zapytanie — bydgoszcz_2022" description="Połączenie z zapytaniem „bydgoszcz_2022” w skoroszycie." type="5" refreshedVersion="0" background="1">
    <dbPr connection="Provider=Microsoft.Mashup.OleDb.1;Data Source=$Workbook$;Location=bydgoszcz_2022;Extended Properties=&quot;&quot;" command="SELECT * FROM [bydgoszcz_2022]"/>
  </connection>
  <connection id="6" xr16:uid="{E76DE2B7-F425-9A43-98EB-4F82DB3DD3C0}" keepAlive="1" name="Zapytanie — bydgoszcz_2022 (2)" description="Połączenie z zapytaniem „bydgoszcz_2022 (2)” w skoroszycie." type="5" refreshedVersion="8" background="1" saveData="1">
    <dbPr connection="Provider=Microsoft.Mashup.OleDb.1;Data Source=$Workbook$;Location=&quot;bydgoszcz_2022 (2)&quot;;Extended Properties=&quot;&quot;" command="SELECT * FROM [bydgoszcz_2022 (2)]"/>
  </connection>
  <connection id="7" xr16:uid="{6FC4A064-035D-EC46-B464-F1E98F836987}" keepAlive="1" name="Zapytanie — floor_exercise_2022" description="Połączenie z zapytaniem „floor_exercise_2022” w skoroszycie." type="5" refreshedVersion="8" background="1" saveData="1">
    <dbPr connection="Provider=Microsoft.Mashup.OleDb.1;Data Source=$Workbook$;Location=floor_exercise_2022;Extended Properties=&quot;&quot;" command="SELECT * FROM [floor_exercise_2022]"/>
  </connection>
  <connection id="8" xr16:uid="{2DC2E839-DC09-CB44-AEB2-89C872F2B963}" keepAlive="1" name="Zapytanie — gdansk_2022" description="Połączenie z zapytaniem „gdansk_2022” w skoroszycie." type="5" refreshedVersion="8" background="1" saveData="1">
    <dbPr connection="Provider=Microsoft.Mashup.OleDb.1;Data Source=$Workbook$;Location=gdansk_2022;Extended Properties=&quot;&quot;" command="SELECT * FROM [gdansk_2022]"/>
  </connection>
  <connection id="9" xr16:uid="{7C7B89C2-3378-3647-B15F-420F24B2B6D2}" keepAlive="1" name="Zapytanie — horizontal_bar_2022" description="Połączenie z zapytaniem „horizontal_bar_2022” w skoroszycie." type="5" refreshedVersion="8" background="1" saveData="1">
    <dbPr connection="Provider=Microsoft.Mashup.OleDb.1;Data Source=$Workbook$;Location=horizontal_bar_2022;Extended Properties=&quot;&quot;" command="SELECT * FROM [horizontal_bar_2022]"/>
  </connection>
  <connection id="10" xr16:uid="{7D3208CA-FAC0-3E42-A8AE-1B68B149B3E8}" keepAlive="1" name="Zapytanie — krakow_2022" description="Połączenie z zapytaniem „krakow_2022” w skoroszycie." type="5" refreshedVersion="0" background="1">
    <dbPr connection="Provider=Microsoft.Mashup.OleDb.1;Data Source=$Workbook$;Location=krakow_2022;Extended Properties=&quot;&quot;" command="SELECT * FROM [krakow_2022]"/>
  </connection>
  <connection id="11" xr16:uid="{2FD19CA3-FCEE-B04C-B52C-DD09D6AA5736}" keepAlive="1" name="Zapytanie — krakow_2022 (2)" description="Połączenie z zapytaniem „krakow_2022 (2)” w skoroszycie." type="5" refreshedVersion="8" background="1" saveData="1">
    <dbPr connection="Provider=Microsoft.Mashup.OleDb.1;Data Source=$Workbook$;Location=&quot;krakow_2022 (2)&quot;;Extended Properties=&quot;&quot;" command="SELECT * FROM [krakow_2022 (2)]"/>
  </connection>
  <connection id="12" xr16:uid="{32163624-E310-D04C-A3CB-8E90395A5E8F}" keepAlive="1" name="Zapytanie — pararell_bars_2022" description="Połączenie z zapytaniem „pararell_bars_2022” w skoroszycie." type="5" refreshedVersion="8" background="1" saveData="1">
    <dbPr connection="Provider=Microsoft.Mashup.OleDb.1;Data Source=$Workbook$;Location=pararell_bars_2022;Extended Properties=&quot;&quot;" command="SELECT * FROM [pararell_bars_2022]"/>
  </connection>
  <connection id="13" xr16:uid="{347ED1AA-2895-E14E-B507-CDA2F1D7DD32}" keepAlive="1" name="Zapytanie — pommel_horse_2022" description="Połączenie z zapytaniem „pommel_horse_2022” w skoroszycie." type="5" refreshedVersion="8" background="1" saveData="1">
    <dbPr connection="Provider=Microsoft.Mashup.OleDb.1;Data Source=$Workbook$;Location=pommel_horse_2022;Extended Properties=&quot;&quot;" command="SELECT * FROM [pommel_horse_2022]"/>
  </connection>
  <connection id="14" xr16:uid="{3F4182D9-F1D0-1F4C-BDCE-9F1AB6CEC988}" keepAlive="1" name="Zapytanie — Still_ring_2022" description="Połączenie z zapytaniem „Still_ring_2022” w skoroszycie." type="5" refreshedVersion="8" background="1" saveData="1">
    <dbPr connection="Provider=Microsoft.Mashup.OleDb.1;Data Source=$Workbook$;Location=Still_ring_2022;Extended Properties=&quot;&quot;" command="SELECT * FROM [Still_ring_2022]"/>
  </connection>
  <connection id="15" xr16:uid="{E6C44DBE-6790-C049-AC76-357FA18B5ABD}" keepAlive="1" name="Zapytanie — Vault_2022" description="Połączenie z zapytaniem „Vault_2022” w skoroszycie." type="5" refreshedVersion="8" background="1" saveData="1">
    <dbPr connection="Provider=Microsoft.Mashup.OleDb.1;Data Source=$Workbook$;Location=Vault_2022;Extended Properties=&quot;&quot;" command="SELECT * FROM [Vault_2022]"/>
  </connection>
  <connection id="16" xr16:uid="{FF45004B-BF42-D34C-A86E-189A76838E19}" keepAlive="1" name="Zapytanie — Zabrze_2022" description="Połączenie z zapytaniem „Zabrze_2022” w skoroszycie." type="5" refreshedVersion="8" background="1" saveData="1">
    <dbPr connection="Provider=Microsoft.Mashup.OleDb.1;Data Source=$Workbook$;Location=Zabrze_2022;Extended Properties=&quot;&quot;" command="SELECT * FROM [Zabrze_202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<sst xmlns="http://schemas.openxmlformats.org/spreadsheetml/2006/main" count="2402" uniqueCount="279">
  <si>
    <t>Rk</t>
  </si>
  <si>
    <t>Name</t>
  </si>
  <si>
    <t>Category</t>
  </si>
  <si>
    <t>Birth_year</t>
  </si>
  <si>
    <t>License_number</t>
  </si>
  <si>
    <t>Club</t>
  </si>
  <si>
    <t>FX_Dscore</t>
  </si>
  <si>
    <t>FX_Escore</t>
  </si>
  <si>
    <t>FX_total_score</t>
  </si>
  <si>
    <t>PH_Dscore</t>
  </si>
  <si>
    <t>PH_Escore</t>
  </si>
  <si>
    <t>PH_Total_Score</t>
  </si>
  <si>
    <t>SR_Dscore</t>
  </si>
  <si>
    <t>SR_Escore</t>
  </si>
  <si>
    <t>SR_Total_Score</t>
  </si>
  <si>
    <t>VT_Dscore</t>
  </si>
  <si>
    <t>VT_Escore</t>
  </si>
  <si>
    <t>VT_total_score</t>
  </si>
  <si>
    <t>PB_Dscore</t>
  </si>
  <si>
    <t>PB_Escore</t>
  </si>
  <si>
    <t>PB_total_score</t>
  </si>
  <si>
    <t>HB_Dscore</t>
  </si>
  <si>
    <t>HB_Escore</t>
  </si>
  <si>
    <t>HB_total_score</t>
  </si>
  <si>
    <t>Total_Score</t>
  </si>
  <si>
    <t>LEKHAC Tomasz</t>
  </si>
  <si>
    <t>junior</t>
  </si>
  <si>
    <t>Z/08/00007</t>
  </si>
  <si>
    <t>CWZS Zawisza KG Bydgoszcz</t>
  </si>
  <si>
    <t>CZARNECKI Aleksander</t>
  </si>
  <si>
    <t>30195</t>
  </si>
  <si>
    <t>MKS Kusy Szczecin</t>
  </si>
  <si>
    <t>KWIATKOWSKI Michał</t>
  </si>
  <si>
    <t>30185</t>
  </si>
  <si>
    <t>KUZDRA Christian</t>
  </si>
  <si>
    <t>33663</t>
  </si>
  <si>
    <t>MKS Gdańsk</t>
  </si>
  <si>
    <t>KORBIEL Franciszek</t>
  </si>
  <si>
    <t>33134</t>
  </si>
  <si>
    <t>KS AZS AWF Kraków</t>
  </si>
  <si>
    <t>KOPERSKI Filip</t>
  </si>
  <si>
    <t>Z/07/00266</t>
  </si>
  <si>
    <t>JANKOWSKI Dominik</t>
  </si>
  <si>
    <t>330115</t>
  </si>
  <si>
    <t>KOŁODZIEJCZYK Karol</t>
  </si>
  <si>
    <t>32980</t>
  </si>
  <si>
    <t>ŻEMEŁKA Dawid</t>
  </si>
  <si>
    <t>Z/06/00087</t>
  </si>
  <si>
    <t>MOSKAL Błażej</t>
  </si>
  <si>
    <t>330111</t>
  </si>
  <si>
    <t>AZUMI Vincent</t>
  </si>
  <si>
    <t>Z/07/00342</t>
  </si>
  <si>
    <t>KUBALA Kacper</t>
  </si>
  <si>
    <t>330113</t>
  </si>
  <si>
    <t>RZEŹNICKI Gracjan</t>
  </si>
  <si>
    <t>Z/08/00032</t>
  </si>
  <si>
    <t>KS Iskra Zabrze</t>
  </si>
  <si>
    <t>MARCZEWSKI Stanisław</t>
  </si>
  <si>
    <t>32361</t>
  </si>
  <si>
    <t>GARNCZAREK Kacper</t>
  </si>
  <si>
    <t>senior</t>
  </si>
  <si>
    <t>32211</t>
  </si>
  <si>
    <t>KS AZS AWF Katowice</t>
  </si>
  <si>
    <t>SASNAL Filip</t>
  </si>
  <si>
    <t>32804</t>
  </si>
  <si>
    <t>WROŃSKI Filip</t>
  </si>
  <si>
    <t>32670</t>
  </si>
  <si>
    <t>NTG Nysa</t>
  </si>
  <si>
    <t>KUROWSKI Jakub</t>
  </si>
  <si>
    <t>30190</t>
  </si>
  <si>
    <t>KORNIICHUK Yehor</t>
  </si>
  <si>
    <t>Z/2001/135</t>
  </si>
  <si>
    <t>KS AZS AWFiS Gdańsk</t>
  </si>
  <si>
    <t>LUDYNIA Marceli</t>
  </si>
  <si>
    <t>32213</t>
  </si>
  <si>
    <t>LAKHIN Yaroslav</t>
  </si>
  <si>
    <t>Z/2003/308</t>
  </si>
  <si>
    <t>BOBER Michał</t>
  </si>
  <si>
    <t>33750</t>
  </si>
  <si>
    <t>UKS SP7 Łódź</t>
  </si>
  <si>
    <t>BRACKI Borys</t>
  </si>
  <si>
    <t>32570</t>
  </si>
  <si>
    <t>WIERZBA Kacper</t>
  </si>
  <si>
    <t>32450</t>
  </si>
  <si>
    <t>CHRUŚCIEL Szymon</t>
  </si>
  <si>
    <t>33132</t>
  </si>
  <si>
    <t>JAKUBOWSKI Jakub</t>
  </si>
  <si>
    <t>33661</t>
  </si>
  <si>
    <t>KUZDRA Konrad</t>
  </si>
  <si>
    <t>33664</t>
  </si>
  <si>
    <t>PAWŁOWSKI Jakub</t>
  </si>
  <si>
    <t>33097</t>
  </si>
  <si>
    <t>SZYMCZYK Radosław</t>
  </si>
  <si>
    <t>33928</t>
  </si>
  <si>
    <t>FRONT Filip</t>
  </si>
  <si>
    <t>30170</t>
  </si>
  <si>
    <t>IAREMCHUK Vladyslav</t>
  </si>
  <si>
    <t>Z/02/00023</t>
  </si>
  <si>
    <t>HERASYMOV Mykyta</t>
  </si>
  <si>
    <t>Z/2003/338</t>
  </si>
  <si>
    <t>SIEDZIAKO Igor</t>
  </si>
  <si>
    <t>30189</t>
  </si>
  <si>
    <t>PIETRUSZKIEWICZ Jakub</t>
  </si>
  <si>
    <t>30192</t>
  </si>
  <si>
    <t>BIAŁOWĄS Oliwier</t>
  </si>
  <si>
    <t>33662</t>
  </si>
  <si>
    <t>KUŹMIŃSKI Bartosz</t>
  </si>
  <si>
    <t>30186</t>
  </si>
  <si>
    <t>SIUTA Jakub</t>
  </si>
  <si>
    <t>Z/2000/105</t>
  </si>
  <si>
    <t>KLIMCZUK Paweł</t>
  </si>
  <si>
    <t>330103</t>
  </si>
  <si>
    <t>MISHCHENKO Oleksandr</t>
  </si>
  <si>
    <t>33333</t>
  </si>
  <si>
    <t>KLIMCZUK Michał</t>
  </si>
  <si>
    <t>330118</t>
  </si>
  <si>
    <t>GAWROŃSKI Sebastian</t>
  </si>
  <si>
    <t>32203</t>
  </si>
  <si>
    <t>LUKIANIENKO Illia</t>
  </si>
  <si>
    <t>Z/2000/104</t>
  </si>
  <si>
    <t>ĆWIEK Tymoteusz</t>
  </si>
  <si>
    <t>Z/06/00130</t>
  </si>
  <si>
    <t>ŁUCKI Miłosz</t>
  </si>
  <si>
    <t>32453</t>
  </si>
  <si>
    <t>KG Radlin</t>
  </si>
  <si>
    <t>SADZA Jakub</t>
  </si>
  <si>
    <t>326132</t>
  </si>
  <si>
    <t>KAŚKÓW Paweł</t>
  </si>
  <si>
    <t>33059</t>
  </si>
  <si>
    <t>LESIŃSKI Piotr</t>
  </si>
  <si>
    <t>Z/1999/55</t>
  </si>
  <si>
    <t>FX_Total_Score</t>
  </si>
  <si>
    <t>SZCZUBIAŁ Bartłomiej</t>
  </si>
  <si>
    <t>222222</t>
  </si>
  <si>
    <t>KLIMCZUK Michal</t>
  </si>
  <si>
    <t>KOLORZ Maks</t>
  </si>
  <si>
    <t>111111</t>
  </si>
  <si>
    <t>RUS Gracjan</t>
  </si>
  <si>
    <t>111112</t>
  </si>
  <si>
    <t>MYSZI Dominik</t>
  </si>
  <si>
    <t>111113</t>
  </si>
  <si>
    <t>KAŚKOW Paweł</t>
  </si>
  <si>
    <t>NOWAK Maciej</t>
  </si>
  <si>
    <t>32524</t>
  </si>
  <si>
    <t>YAREMCHUK Vladyslav</t>
  </si>
  <si>
    <t>bydgoszcz_FX_Dscore</t>
  </si>
  <si>
    <t>bydgoszcz_FX_Escore</t>
  </si>
  <si>
    <t>bydgoszcz_FX_Total_Score</t>
  </si>
  <si>
    <t>zabrze_FX_Dscore</t>
  </si>
  <si>
    <t>zabrze_FX_Escore</t>
  </si>
  <si>
    <t>zabrze_FX_Total_Score</t>
  </si>
  <si>
    <t>cracow_FX_Dscore</t>
  </si>
  <si>
    <t>cracow_FX_Escore</t>
  </si>
  <si>
    <t>cracow_FX_Total_Score</t>
  </si>
  <si>
    <t>gdansk_FX_Dscore</t>
  </si>
  <si>
    <t>gdansk_FX_Escore</t>
  </si>
  <si>
    <t>gdansk_FX_Total_Score</t>
  </si>
  <si>
    <t>bydgoszcz_PH_Dscore</t>
  </si>
  <si>
    <t>bydgoszcz_PH_Escore</t>
  </si>
  <si>
    <t>bydgoszcz_PH_Total_Score</t>
  </si>
  <si>
    <t>zabrze_PH_Dscore</t>
  </si>
  <si>
    <t>zabrze_PH_Escore</t>
  </si>
  <si>
    <t>zabrze_PH_Total_Score</t>
  </si>
  <si>
    <t>cracow_PH_Dscore</t>
  </si>
  <si>
    <t>cracow_PH_Escore</t>
  </si>
  <si>
    <t>cracow_PH_Total_Score</t>
  </si>
  <si>
    <t>gdansk_PH_Dscore</t>
  </si>
  <si>
    <t>gdansk_PH_Escore</t>
  </si>
  <si>
    <t>gdansk_PH_Total_Score</t>
  </si>
  <si>
    <t>bydgoszcz_SR_Dscore</t>
  </si>
  <si>
    <t>bydgoszcz_SR_Escore</t>
  </si>
  <si>
    <t>bydgoszcz_SR_Total_Score</t>
  </si>
  <si>
    <t>zabrze_SR_Dscore</t>
  </si>
  <si>
    <t>zabrze_SR_Escore</t>
  </si>
  <si>
    <t>zabrze_SR_Total_Score</t>
  </si>
  <si>
    <t>cracow_SR_Dscore</t>
  </si>
  <si>
    <t>cracow_SR_Escore</t>
  </si>
  <si>
    <t>cracow_SR_Total_Score</t>
  </si>
  <si>
    <t>gdansk_SR_Dscore</t>
  </si>
  <si>
    <t>gdansk_SR_Escore</t>
  </si>
  <si>
    <t>gdansk_SR_Total_Score</t>
  </si>
  <si>
    <t>bydgoszcz_VT_Dscore</t>
  </si>
  <si>
    <t>bydgoszcz_VT_Escore</t>
  </si>
  <si>
    <t>bydgoszcz_VT_Total_Score</t>
  </si>
  <si>
    <t>zabrze_VT_Dscore</t>
  </si>
  <si>
    <t>zabrze_VT_Escore</t>
  </si>
  <si>
    <t>zabrze_VT_Total_Score</t>
  </si>
  <si>
    <t>cracow_VT_Dscore</t>
  </si>
  <si>
    <t>cracow_VT_Escore</t>
  </si>
  <si>
    <t>cracow_VT_Total_Score</t>
  </si>
  <si>
    <t>gdansk_VT_Dscore</t>
  </si>
  <si>
    <t>gdansk_VT_Escore</t>
  </si>
  <si>
    <t>gdansk_VT_Total_Score</t>
  </si>
  <si>
    <t>bydgoszcz_PB_Dscore</t>
  </si>
  <si>
    <t>bydgoszcz_PB_Escore</t>
  </si>
  <si>
    <t>bydgoszcz_PB_Total_Score</t>
  </si>
  <si>
    <t>zabrze_PB_Dscore</t>
  </si>
  <si>
    <t>zabrze_PB_Escore</t>
  </si>
  <si>
    <t>zabrze_PB_Total_Score</t>
  </si>
  <si>
    <t>cracow_PB_Dscore</t>
  </si>
  <si>
    <t>cracow_PB_Escore</t>
  </si>
  <si>
    <t>cracow_PB_Total_Score</t>
  </si>
  <si>
    <t>gdansk_PB_Dscore</t>
  </si>
  <si>
    <t>gdansk_PB_Escore</t>
  </si>
  <si>
    <t>gdansk_PB_Total_Score</t>
  </si>
  <si>
    <t>bydgoszcz_HB_Dscore</t>
  </si>
  <si>
    <t>bydgoszcz_HB_Escore</t>
  </si>
  <si>
    <t>bydgoszcz_HB_Total_Score</t>
  </si>
  <si>
    <t>zabrze_HB_Dscore</t>
  </si>
  <si>
    <t>zabrze_HB_Escore</t>
  </si>
  <si>
    <t>zabrze_HB_Total_Score</t>
  </si>
  <si>
    <t>cracow_HB_Dscore</t>
  </si>
  <si>
    <t>cracow_HB_Escore</t>
  </si>
  <si>
    <t>cracow_HB_Total_Score</t>
  </si>
  <si>
    <t>gdansk_HB_Dscore</t>
  </si>
  <si>
    <t>gdansk_HB_Escore</t>
  </si>
  <si>
    <t>gdansk_HB_Total_Score</t>
  </si>
  <si>
    <t>Apparatus</t>
  </si>
  <si>
    <t>Floor Exercise</t>
  </si>
  <si>
    <t>Year_Dscore</t>
  </si>
  <si>
    <t>Year_Escore</t>
  </si>
  <si>
    <t>Year_Total_Score</t>
  </si>
  <si>
    <t>bydgoszcz_Escore</t>
  </si>
  <si>
    <t>bydgoszcz_Total_Score</t>
  </si>
  <si>
    <t>zabrze_Total_Score</t>
  </si>
  <si>
    <t>cracow_Total_Score</t>
  </si>
  <si>
    <t>gdansk_Total_Score</t>
  </si>
  <si>
    <t>Number_of_competition</t>
  </si>
  <si>
    <t>Number_of_Competition</t>
  </si>
  <si>
    <t>bydgoszcz_DScore</t>
  </si>
  <si>
    <t>zabrze_Dscore</t>
  </si>
  <si>
    <t>zabrze_Escore</t>
  </si>
  <si>
    <t>cracow_Dscore</t>
  </si>
  <si>
    <t>gdansk_Dscore</t>
  </si>
  <si>
    <t>gdansk_Escore</t>
  </si>
  <si>
    <t>AVG_Dscore</t>
  </si>
  <si>
    <t>AVG_Escore</t>
  </si>
  <si>
    <t>AVG_Total_Score</t>
  </si>
  <si>
    <t>Pommel Horse</t>
  </si>
  <si>
    <t>Still Rings</t>
  </si>
  <si>
    <t>Vault</t>
  </si>
  <si>
    <t>Pararell Bars</t>
  </si>
  <si>
    <t>Horizontal Bar</t>
  </si>
  <si>
    <t>All Around</t>
  </si>
  <si>
    <t>AVG D Score</t>
  </si>
  <si>
    <t>AVG Escore</t>
  </si>
  <si>
    <t>AVG Total Score</t>
  </si>
  <si>
    <t>AA_Dscore</t>
  </si>
  <si>
    <t>AA_Escore</t>
  </si>
  <si>
    <t>Junior</t>
  </si>
  <si>
    <t>Senior</t>
  </si>
  <si>
    <t>SD D score</t>
  </si>
  <si>
    <t>SD E score</t>
  </si>
  <si>
    <t>SD Total Score</t>
  </si>
  <si>
    <t>Top Score</t>
  </si>
  <si>
    <t>Gymnasts</t>
  </si>
  <si>
    <t>AVG SD D Score</t>
  </si>
  <si>
    <t>AVG E Score</t>
  </si>
  <si>
    <t>AVG SD E Score</t>
  </si>
  <si>
    <t>AVG SD Total Score</t>
  </si>
  <si>
    <t>Top D Score</t>
  </si>
  <si>
    <t>Top E score</t>
  </si>
  <si>
    <t>Top Total Score</t>
  </si>
  <si>
    <t>cracow_Escore</t>
  </si>
  <si>
    <t>All around competition</t>
  </si>
  <si>
    <t>Bydgoszcz_all_around</t>
  </si>
  <si>
    <t>Cracow_all_around</t>
  </si>
  <si>
    <t>Zabrze_all_around</t>
  </si>
  <si>
    <t>Gdansk_all_Around</t>
  </si>
  <si>
    <t>Suma</t>
  </si>
  <si>
    <t>Średnia</t>
  </si>
  <si>
    <t>Suma bieżąca</t>
  </si>
  <si>
    <t>Liczba</t>
  </si>
  <si>
    <t>AVG_AA_Dscore</t>
  </si>
  <si>
    <t>AVG_AA_Escore</t>
  </si>
  <si>
    <t>AVG_AA_Total_Score</t>
  </si>
  <si>
    <t>Year_AA_Dscore</t>
  </si>
  <si>
    <t>Year_AA_Escore</t>
  </si>
  <si>
    <t>Year_AA_Total_Score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</si>
</sst>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400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5" formatCode="0.00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3F27D00-D44C-EA4B-9582-ED04F3F8DBE0}" autoFormatId="16" applyNumberFormats="0" applyBorderFormats="0" applyFontFormats="0" applyPatternFormats="0" applyAlignmentFormats="0" applyWidthHeightFormats="0">
  <queryTableRefresh nextId="30">
    <queryTableFields count="28">
      <queryTableField id="1" name="Rk" tableColumnId="1"/>
      <queryTableField id="2" name="Name" tableColumnId="2"/>
      <queryTableField id="3" name="Category" tableColumnId="3"/>
      <queryTableField id="4" name="Birth_year" tableColumnId="4"/>
      <queryTableField id="5" name="License_number" tableColumnId="5"/>
      <queryTableField id="6" name="Club" tableColumnId="6"/>
      <queryTableField id="29" dataBound="0" tableColumnId="30"/>
      <queryTableField id="7" name="FX_Dscore" tableColumnId="7"/>
      <queryTableField id="8" name="FX_Escore" tableColumnId="8"/>
      <queryTableField id="9" name="FX_Total_Score" tableColumnId="9"/>
      <queryTableField id="10" name="PH_Dscore" tableColumnId="10"/>
      <queryTableField id="11" name="PH_Escore" tableColumnId="11"/>
      <queryTableField id="12" name="PH_Total_Score" tableColumnId="12"/>
      <queryTableField id="13" name="SR_Dscore" tableColumnId="13"/>
      <queryTableField id="14" name="SR_Escore" tableColumnId="14"/>
      <queryTableField id="15" name="SR_Total_Score" tableColumnId="15"/>
      <queryTableField id="16" name="VT_Dscore" tableColumnId="16"/>
      <queryTableField id="17" name="VT_Escore" tableColumnId="17"/>
      <queryTableField id="18" name="VT_total_score" tableColumnId="18"/>
      <queryTableField id="19" name="PB_Dscore" tableColumnId="19"/>
      <queryTableField id="20" name="PB_Escore" tableColumnId="20"/>
      <queryTableField id="21" name="PB_total_score" tableColumnId="21"/>
      <queryTableField id="22" name="HB_Dscore" tableColumnId="22"/>
      <queryTableField id="23" name="HB_Escore" tableColumnId="23"/>
      <queryTableField id="24" name="HB_total_score" tableColumnId="24"/>
      <queryTableField id="28" dataBound="0" tableColumnId="28"/>
      <queryTableField id="27" dataBound="0" tableColumnId="27"/>
      <queryTableField id="25" name="Total_Score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4CB61875-A262-0B48-9C46-CDB0C1E6EAFD}" autoFormatId="16" applyNumberFormats="0" applyBorderFormats="0" applyFontFormats="0" applyPatternFormats="0" applyAlignmentFormats="0" applyWidthHeightFormats="0">
  <queryTableRefresh nextId="31">
    <queryTableFields count="28">
      <queryTableField id="1" name="Rk" tableColumnId="1"/>
      <queryTableField id="2" name="Name" tableColumnId="2"/>
      <queryTableField id="3" name="Category" tableColumnId="3"/>
      <queryTableField id="4" name="Birth_year" tableColumnId="4"/>
      <queryTableField id="5" name="License_number" tableColumnId="5"/>
      <queryTableField id="6" name="Club" tableColumnId="6"/>
      <queryTableField id="30" dataBound="0" tableColumnId="30"/>
      <queryTableField id="7" name="FX_Dscore" tableColumnId="7"/>
      <queryTableField id="8" name="FX_Escore" tableColumnId="8"/>
      <queryTableField id="9" name="FX_total_score" tableColumnId="9"/>
      <queryTableField id="10" name="PH_Dscore" tableColumnId="10"/>
      <queryTableField id="11" name="PH_Escore" tableColumnId="11"/>
      <queryTableField id="12" name="PH_Total_Score" tableColumnId="12"/>
      <queryTableField id="13" name="SR_Dscore" tableColumnId="13"/>
      <queryTableField id="14" name="SR_Escore" tableColumnId="14"/>
      <queryTableField id="15" name="SR_Total_Score" tableColumnId="15"/>
      <queryTableField id="16" name="VT_Dscore" tableColumnId="16"/>
      <queryTableField id="17" name="VT_Escore" tableColumnId="17"/>
      <queryTableField id="18" name="VT_total_score" tableColumnId="18"/>
      <queryTableField id="19" name="PB_Dscore" tableColumnId="19"/>
      <queryTableField id="20" name="PB_Escore" tableColumnId="20"/>
      <queryTableField id="21" name="PB_total_score" tableColumnId="21"/>
      <queryTableField id="22" name="HB_Dscore" tableColumnId="22"/>
      <queryTableField id="23" name="HB_Escore" tableColumnId="23"/>
      <queryTableField id="24" name="HB_total_score" tableColumnId="24"/>
      <queryTableField id="29" dataBound="0" tableColumnId="28"/>
      <queryTableField id="28" dataBound="0" tableColumnId="29"/>
      <queryTableField id="25" name="Total_Score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705641A3-302C-A24C-A71A-685F4B10771D}" autoFormatId="16" applyNumberFormats="0" applyBorderFormats="0" applyFontFormats="0" applyPatternFormats="0" applyAlignmentFormats="0" applyWidthHeightFormats="0">
  <queryTableRefresh nextId="30">
    <queryTableFields count="28">
      <queryTableField id="1" name="Rk" tableColumnId="1"/>
      <queryTableField id="2" name="Name" tableColumnId="2"/>
      <queryTableField id="3" name="Category" tableColumnId="3"/>
      <queryTableField id="4" name="Birth_year" tableColumnId="4"/>
      <queryTableField id="5" name="License_number" tableColumnId="5"/>
      <queryTableField id="6" name="Club" tableColumnId="6"/>
      <queryTableField id="29" dataBound="0" tableColumnId="29"/>
      <queryTableField id="7" name="FX_Dscore" tableColumnId="7"/>
      <queryTableField id="8" name="FX_Escore" tableColumnId="8"/>
      <queryTableField id="9" name="FX_total_score" tableColumnId="9"/>
      <queryTableField id="10" name="PH_Dscore" tableColumnId="10"/>
      <queryTableField id="11" name="PH_Escore" tableColumnId="11"/>
      <queryTableField id="12" name="PH_Total_Score" tableColumnId="12"/>
      <queryTableField id="13" name="SR_Dscore" tableColumnId="13"/>
      <queryTableField id="14" name="SR_Escore" tableColumnId="14"/>
      <queryTableField id="15" name="SR_Total_Score" tableColumnId="15"/>
      <queryTableField id="16" name="VT_Dscore" tableColumnId="16"/>
      <queryTableField id="17" name="VT_Escore" tableColumnId="17"/>
      <queryTableField id="18" name="VT_total_score" tableColumnId="18"/>
      <queryTableField id="19" name="PB_Dscore" tableColumnId="19"/>
      <queryTableField id="20" name="PB_Escore" tableColumnId="20"/>
      <queryTableField id="21" name="PB_total_score" tableColumnId="21"/>
      <queryTableField id="22" name="HB_Dscore" tableColumnId="22"/>
      <queryTableField id="23" name="HB_Escore" tableColumnId="23"/>
      <queryTableField id="24" name="HB_total_score" tableColumnId="24"/>
      <queryTableField id="28" dataBound="0" tableColumnId="27"/>
      <queryTableField id="27" dataBound="0" tableColumnId="28"/>
      <queryTableField id="25" name="Total_Score" tableColumnId="2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EF69C0F8-E139-5D4B-8558-22ACA44A6D60}" autoFormatId="16" applyNumberFormats="0" applyBorderFormats="0" applyFontFormats="0" applyPatternFormats="0" applyAlignmentFormats="0" applyWidthHeightFormats="0">
  <queryTableRefresh nextId="30">
    <queryTableFields count="28">
      <queryTableField id="1" name="Rk" tableColumnId="1"/>
      <queryTableField id="2" name="Name" tableColumnId="2"/>
      <queryTableField id="3" name="Category" tableColumnId="3"/>
      <queryTableField id="4" name="Birth_year" tableColumnId="4"/>
      <queryTableField id="5" name="License_number" tableColumnId="5"/>
      <queryTableField id="6" name="Club" tableColumnId="6"/>
      <queryTableField id="29" dataBound="0" tableColumnId="29"/>
      <queryTableField id="7" name="FX_Dscore" tableColumnId="7"/>
      <queryTableField id="8" name="FX_Escore" tableColumnId="8"/>
      <queryTableField id="9" name="FX_total_score" tableColumnId="9"/>
      <queryTableField id="10" name="PH_Dscore" tableColumnId="10"/>
      <queryTableField id="11" name="PH_Escore" tableColumnId="11"/>
      <queryTableField id="12" name="PH_Total_Score" tableColumnId="12"/>
      <queryTableField id="13" name="SR_Dscore" tableColumnId="13"/>
      <queryTableField id="14" name="SR_Escore" tableColumnId="14"/>
      <queryTableField id="15" name="SR_Total_Score" tableColumnId="15"/>
      <queryTableField id="16" name="VT_Dscore" tableColumnId="16"/>
      <queryTableField id="17" name="VT_Escore" tableColumnId="17"/>
      <queryTableField id="18" name="VT_total_score" tableColumnId="18"/>
      <queryTableField id="19" name="PB_Dscore" tableColumnId="19"/>
      <queryTableField id="20" name="PB_Escore" tableColumnId="20"/>
      <queryTableField id="21" name="PB_total_score" tableColumnId="21"/>
      <queryTableField id="22" name="HB_Dscore" tableColumnId="22"/>
      <queryTableField id="23" name="HB_Escore" tableColumnId="23"/>
      <queryTableField id="24" name="HB_total_score" tableColumnId="24"/>
      <queryTableField id="28" dataBound="0" tableColumnId="27"/>
      <queryTableField id="27" dataBound="0" tableColumnId="28"/>
      <queryTableField id="25" name="Total_Score" tableColumnId="2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5F7F399-D524-8A40-98D7-F7A1A044CF29}" autoFormatId="16" applyNumberFormats="0" applyBorderFormats="0" applyFontFormats="0" applyPatternFormats="0" applyAlignmentFormats="0" applyWidthHeightFormats="0">
  <queryTableRefresh nextId="25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FX_Dscore" tableColumnId="5"/>
      <queryTableField id="6" name="bydgoszcz_FX_Escore" tableColumnId="6"/>
      <queryTableField id="7" name="bydgoszcz_FX_Total_Score" tableColumnId="7"/>
      <queryTableField id="8" name="zabrze_FX_Dscore" tableColumnId="8"/>
      <queryTableField id="9" name="zabrze_FX_Escore" tableColumnId="9"/>
      <queryTableField id="10" name="zabrze_FX_Total_Score" tableColumnId="10"/>
      <queryTableField id="11" name="cracow_FX_Dscore" tableColumnId="11"/>
      <queryTableField id="12" name="cracow_FX_Escore" tableColumnId="12"/>
      <queryTableField id="13" name="cracow_FX_Total_Score" tableColumnId="13"/>
      <queryTableField id="14" name="gdansk_FX_Dscore" tableColumnId="14"/>
      <queryTableField id="15" name="gdansk_FX_Escore" tableColumnId="15"/>
      <queryTableField id="16" name="gdansk_FX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FE8CC85-9C97-4146-9178-012ACA0752DE}" autoFormatId="16" applyNumberFormats="0" applyBorderFormats="0" applyFontFormats="0" applyPatternFormats="0" applyAlignmentFormats="0" applyWidthHeightFormats="0">
  <queryTableRefresh nextId="26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PH_Dscore" tableColumnId="5"/>
      <queryTableField id="6" name="bydgoszcz_PH_Escore" tableColumnId="6"/>
      <queryTableField id="7" name="bydgoszcz_PH_Total_Score" tableColumnId="7"/>
      <queryTableField id="8" name="zabrze_PH_Dscore" tableColumnId="8"/>
      <queryTableField id="9" name="zabrze_PH_Escore" tableColumnId="9"/>
      <queryTableField id="10" name="zabrze_PH_Total_Score" tableColumnId="10"/>
      <queryTableField id="11" name="cracow_PH_Dscore" tableColumnId="11"/>
      <queryTableField id="12" name="cracow_PH_Escore" tableColumnId="12"/>
      <queryTableField id="13" name="cracow_PH_Total_Score" tableColumnId="13"/>
      <queryTableField id="14" name="gdansk_PH_Dscore" tableColumnId="14"/>
      <queryTableField id="15" name="gdansk_PH_Escore" tableColumnId="15"/>
      <queryTableField id="16" name="gdansk_PH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E4F10D1F-E2E4-BB44-AE56-4F37E492C640}" autoFormatId="16" applyNumberFormats="0" applyBorderFormats="0" applyFontFormats="0" applyPatternFormats="0" applyAlignmentFormats="0" applyWidthHeightFormats="0">
  <queryTableRefresh nextId="24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SR_Dscore" tableColumnId="5"/>
      <queryTableField id="6" name="bydgoszcz_SR_Escore" tableColumnId="6"/>
      <queryTableField id="7" name="bydgoszcz_SR_Total_Score" tableColumnId="7"/>
      <queryTableField id="8" name="zabrze_SR_Dscore" tableColumnId="8"/>
      <queryTableField id="9" name="zabrze_SR_Escore" tableColumnId="9"/>
      <queryTableField id="10" name="zabrze_SR_Total_Score" tableColumnId="10"/>
      <queryTableField id="11" name="cracow_SR_Dscore" tableColumnId="11"/>
      <queryTableField id="12" name="cracow_SR_Escore" tableColumnId="12"/>
      <queryTableField id="13" name="cracow_SR_Total_Score" tableColumnId="13"/>
      <queryTableField id="14" name="gdansk_SR_Dscore" tableColumnId="14"/>
      <queryTableField id="15" name="gdansk_SR_Escore" tableColumnId="15"/>
      <queryTableField id="16" name="gdansk_SR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93B646AE-B4DB-C447-B6F8-AFB6E4BCBA3D}" autoFormatId="16" applyNumberFormats="0" applyBorderFormats="0" applyFontFormats="0" applyPatternFormats="0" applyAlignmentFormats="0" applyWidthHeightFormats="0">
  <queryTableRefresh nextId="24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VT_Dscore" tableColumnId="5"/>
      <queryTableField id="6" name="bydgoszcz_VT_Escore" tableColumnId="6"/>
      <queryTableField id="7" name="bydgoszcz_VT_Total_Score" tableColumnId="7"/>
      <queryTableField id="8" name="zabrze_VT_Dscore" tableColumnId="8"/>
      <queryTableField id="9" name="zabrze_VT_Escore" tableColumnId="9"/>
      <queryTableField id="10" name="zabrze_VT_Total_Score" tableColumnId="10"/>
      <queryTableField id="11" name="cracow_VT_Dscore" tableColumnId="11"/>
      <queryTableField id="12" name="cracow_VT_Escore" tableColumnId="12"/>
      <queryTableField id="13" name="cracow_VT_Total_Score" tableColumnId="13"/>
      <queryTableField id="14" name="gdansk_VT_Dscore" tableColumnId="14"/>
      <queryTableField id="15" name="gdansk_VT_Escore" tableColumnId="15"/>
      <queryTableField id="16" name="gdansk_VT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FC501E9C-351A-1943-B9F3-F233C1DC8766}" autoFormatId="16" applyNumberFormats="0" applyBorderFormats="0" applyFontFormats="0" applyPatternFormats="0" applyAlignmentFormats="0" applyWidthHeightFormats="0">
  <queryTableRefresh nextId="24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PB_Dscore" tableColumnId="5"/>
      <queryTableField id="6" name="bydgoszcz_PB_Escore" tableColumnId="6"/>
      <queryTableField id="7" name="bydgoszcz_PB_Total_Score" tableColumnId="7"/>
      <queryTableField id="8" name="zabrze_PB_Dscore" tableColumnId="8"/>
      <queryTableField id="9" name="zabrze_PB_Escore" tableColumnId="9"/>
      <queryTableField id="10" name="zabrze_PB_Total_Score" tableColumnId="10"/>
      <queryTableField id="11" name="cracow_PB_Dscore" tableColumnId="11"/>
      <queryTableField id="12" name="cracow_PB_Escore" tableColumnId="12"/>
      <queryTableField id="13" name="cracow_PB_Total_Score" tableColumnId="13"/>
      <queryTableField id="14" name="gdansk_PB_Dscore" tableColumnId="14"/>
      <queryTableField id="15" name="gdansk_PB_Escore" tableColumnId="15"/>
      <queryTableField id="16" name="gdansk_PB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7C6AA0D9-1A62-2A47-85F0-4D8F56C2EF0D}" autoFormatId="16" applyNumberFormats="0" applyBorderFormats="0" applyFontFormats="0" applyPatternFormats="0" applyAlignmentFormats="0" applyWidthHeightFormats="0">
  <queryTableRefresh nextId="24" unboundColumnsRight="6">
    <queryTableFields count="23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20" dataBound="0" tableColumnId="20"/>
      <queryTableField id="5" name="bydgoszcz_HB_Dscore" tableColumnId="5"/>
      <queryTableField id="6" name="bydgoszcz_HB_Escore" tableColumnId="6"/>
      <queryTableField id="7" name="bydgoszcz_HB_Total_Score" tableColumnId="7"/>
      <queryTableField id="8" name="zabrze_HB_Dscore" tableColumnId="8"/>
      <queryTableField id="9" name="zabrze_HB_Escore" tableColumnId="9"/>
      <queryTableField id="10" name="zabrze_HB_Total_Score" tableColumnId="10"/>
      <queryTableField id="11" name="cracow_HB_Dscore" tableColumnId="11"/>
      <queryTableField id="12" name="cracow_HB_Escore" tableColumnId="12"/>
      <queryTableField id="13" name="cracow_HB_Total_Score" tableColumnId="13"/>
      <queryTableField id="14" name="gdansk_HB_Dscore" tableColumnId="14"/>
      <queryTableField id="15" name="gdansk_HB_Escore" tableColumnId="15"/>
      <queryTableField id="16" name="gdansk_HB_Total_Score" tableColumnId="16"/>
      <queryTableField id="17" dataBound="0" tableColumnId="17"/>
      <queryTableField id="18" dataBound="0" tableColumnId="18"/>
      <queryTableField id="19" dataBound="0" tableColumnId="19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F57AECD-6497-264A-8ADC-284F5DE0BF13}" autoFormatId="16" applyNumberFormats="0" applyBorderFormats="0" applyFontFormats="0" applyPatternFormats="0" applyAlignmentFormats="0" applyWidthHeightFormats="0">
  <queryTableRefresh nextId="105" unboundColumnsRight="10">
    <queryTableFields count="99">
      <queryTableField id="1" name="Name" tableColumnId="1"/>
      <queryTableField id="2" name="Category" tableColumnId="2"/>
      <queryTableField id="3" name="License_number" tableColumnId="3"/>
      <queryTableField id="4" name="Club" tableColumnId="4"/>
      <queryTableField id="100" dataBound="0" tableColumnId="77"/>
      <queryTableField id="5" name="bydgoszcz_FX_Dscore" tableColumnId="5"/>
      <queryTableField id="6" name="bydgoszcz_FX_Escore" tableColumnId="6"/>
      <queryTableField id="7" name="bydgoszcz_FX_Total_Score" tableColumnId="7"/>
      <queryTableField id="8" name="bydgoszcz_PH_Dscore" tableColumnId="8"/>
      <queryTableField id="9" name="bydgoszcz_PH_Escore" tableColumnId="9"/>
      <queryTableField id="10" name="bydgoszcz_PH_Total_Score" tableColumnId="10"/>
      <queryTableField id="11" name="bydgoszcz_SR_Dscore" tableColumnId="11"/>
      <queryTableField id="12" name="bydgoszcz_SR_Escore" tableColumnId="12"/>
      <queryTableField id="13" name="bydgoszcz_SR_Total_Score" tableColumnId="13"/>
      <queryTableField id="14" name="bydgoszcz_VT_Dscore" tableColumnId="14"/>
      <queryTableField id="15" name="bydgoszcz_VT_Escore" tableColumnId="15"/>
      <queryTableField id="16" name="bydgoszcz_VT_Total_Score" tableColumnId="16"/>
      <queryTableField id="17" name="bydgoszcz_PB_Dscore" tableColumnId="17"/>
      <queryTableField id="18" name="bydgoszcz_PB_Escore" tableColumnId="18"/>
      <queryTableField id="19" name="bydgoszcz_PB_Total_Score" tableColumnId="19"/>
      <queryTableField id="20" name="bydgoszcz_HB_Dscore" tableColumnId="20"/>
      <queryTableField id="21" name="bydgoszcz_HB_Escore" tableColumnId="21"/>
      <queryTableField id="22" name="bydgoszcz_HB_Total_Score" tableColumnId="22"/>
      <queryTableField id="87" dataBound="0" tableColumnId="92"/>
      <queryTableField id="86" dataBound="0" tableColumnId="91"/>
      <queryTableField id="78" dataBound="0" tableColumnId="79"/>
      <queryTableField id="101" dataBound="0" tableColumnId="78"/>
      <queryTableField id="23" name="zabrze_FX_Dscore" tableColumnId="23"/>
      <queryTableField id="24" name="zabrze_FX_Escore" tableColumnId="24"/>
      <queryTableField id="25" name="zabrze_FX_Total_Score" tableColumnId="25"/>
      <queryTableField id="26" name="zabrze_PH_Dscore" tableColumnId="26"/>
      <queryTableField id="27" name="zabrze_PH_Escore" tableColumnId="27"/>
      <queryTableField id="28" name="zabrze_PH_Total_Score" tableColumnId="28"/>
      <queryTableField id="29" name="zabrze_SR_Dscore" tableColumnId="29"/>
      <queryTableField id="30" name="zabrze_SR_Escore" tableColumnId="30"/>
      <queryTableField id="31" name="zabrze_SR_Total_Score" tableColumnId="31"/>
      <queryTableField id="32" name="zabrze_VT_Dscore" tableColumnId="32"/>
      <queryTableField id="33" name="zabrze_VT_Escore" tableColumnId="33"/>
      <queryTableField id="34" name="zabrze_VT_Total_Score" tableColumnId="34"/>
      <queryTableField id="35" name="zabrze_PB_Dscore" tableColumnId="35"/>
      <queryTableField id="36" name="zabrze_PB_Escore" tableColumnId="36"/>
      <queryTableField id="37" name="zabrze_PB_Total_Score" tableColumnId="37"/>
      <queryTableField id="38" name="zabrze_HB_Dscore" tableColumnId="38"/>
      <queryTableField id="39" name="zabrze_HB_Escore" tableColumnId="39"/>
      <queryTableField id="40" name="zabrze_HB_Total_Score" tableColumnId="40"/>
      <queryTableField id="89" dataBound="0" tableColumnId="94"/>
      <queryTableField id="88" dataBound="0" tableColumnId="93"/>
      <queryTableField id="80" dataBound="0" tableColumnId="81"/>
      <queryTableField id="103" dataBound="0" tableColumnId="87"/>
      <queryTableField id="41" name="cracow_FX_Dscore" tableColumnId="41"/>
      <queryTableField id="42" name="cracow_FX_Escore" tableColumnId="42"/>
      <queryTableField id="43" name="cracow_FX_Total_Score" tableColumnId="43"/>
      <queryTableField id="44" name="cracow_PH_Dscore" tableColumnId="44"/>
      <queryTableField id="45" name="cracow_PH_Escore" tableColumnId="45"/>
      <queryTableField id="46" name="cracow_PH_Total_Score" tableColumnId="46"/>
      <queryTableField id="47" name="cracow_SR_Dscore" tableColumnId="47"/>
      <queryTableField id="48" name="cracow_SR_Escore" tableColumnId="48"/>
      <queryTableField id="49" name="cracow_SR_Total_Score" tableColumnId="49"/>
      <queryTableField id="50" name="cracow_VT_Dscore" tableColumnId="50"/>
      <queryTableField id="51" name="cracow_VT_Escore" tableColumnId="51"/>
      <queryTableField id="52" name="cracow_VT_Total_Score" tableColumnId="52"/>
      <queryTableField id="53" name="cracow_PB_Dscore" tableColumnId="53"/>
      <queryTableField id="54" name="cracow_PB_Escore" tableColumnId="54"/>
      <queryTableField id="55" name="cracow_PB_Total_Score" tableColumnId="55"/>
      <queryTableField id="56" name="cracow_HB_Dscore" tableColumnId="56"/>
      <queryTableField id="57" name="cracow_HB_Escore" tableColumnId="57"/>
      <queryTableField id="58" name="cracow_HB_Total_Score" tableColumnId="58"/>
      <queryTableField id="91" dataBound="0" tableColumnId="96"/>
      <queryTableField id="90" dataBound="0" tableColumnId="95"/>
      <queryTableField id="81" dataBound="0" tableColumnId="82"/>
      <queryTableField id="102" dataBound="0" tableColumnId="80"/>
      <queryTableField id="59" name="gdansk_FX_Dscore" tableColumnId="59"/>
      <queryTableField id="60" name="gdansk_FX_Escore" tableColumnId="60"/>
      <queryTableField id="61" name="gdansk_FX_Total_Score" tableColumnId="61"/>
      <queryTableField id="62" name="gdansk_PH_Dscore" tableColumnId="62"/>
      <queryTableField id="63" name="gdansk_PH_Escore" tableColumnId="63"/>
      <queryTableField id="64" name="gdansk_PH_Total_Score" tableColumnId="64"/>
      <queryTableField id="65" name="gdansk_SR_Dscore" tableColumnId="65"/>
      <queryTableField id="66" name="gdansk_SR_Escore" tableColumnId="66"/>
      <queryTableField id="67" name="gdansk_SR_Total_Score" tableColumnId="67"/>
      <queryTableField id="68" name="gdansk_VT_Dscore" tableColumnId="68"/>
      <queryTableField id="69" name="gdansk_VT_Escore" tableColumnId="69"/>
      <queryTableField id="70" name="gdansk_VT_Total_Score" tableColumnId="70"/>
      <queryTableField id="71" name="gdansk_PB_Dscore" tableColumnId="71"/>
      <queryTableField id="72" name="gdansk_PB_Escore" tableColumnId="72"/>
      <queryTableField id="73" name="gdansk_PB_Total_Score" tableColumnId="73"/>
      <queryTableField id="74" name="gdansk_HB_Dscore" tableColumnId="74"/>
      <queryTableField id="75" name="gdansk_HB_Escore" tableColumnId="75"/>
      <queryTableField id="76" name="gdansk_HB_Total_Score" tableColumnId="76"/>
      <queryTableField id="93" dataBound="0" tableColumnId="98"/>
      <queryTableField id="92" dataBound="0" tableColumnId="97"/>
      <queryTableField id="82" dataBound="0" tableColumnId="83"/>
      <queryTableField id="104" dataBound="0" tableColumnId="88"/>
      <queryTableField id="83" dataBound="0" tableColumnId="84"/>
      <queryTableField id="84" dataBound="0" tableColumnId="85"/>
      <queryTableField id="85" dataBound="0" tableColumnId="86"/>
      <queryTableField id="95" dataBound="0" tableColumnId="100"/>
      <queryTableField id="96" dataBound="0" tableColumnId="101"/>
      <queryTableField id="97" dataBound="0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131D2C-3D19-4F44-9CFC-F4AFE1E4E819}" name="Bydgoszcz_result" displayName="Bydgoszcz_result" ref="A1:AB33" tableType="queryTable" totalsRowShown="0" headerRowDxfId="399">
  <autoFilter ref="A1:AB33" xr:uid="{30131D2C-3D19-4F44-9CFC-F4AFE1E4E819}"/>
  <tableColumns count="28">
    <tableColumn id="1" xr3:uid="{41C88D74-E43B-F34C-844E-5DE81A4BEA4C}" uniqueName="1" name="Rk" queryTableFieldId="1" dataDxfId="398"/>
    <tableColumn id="2" xr3:uid="{F4D3E432-82AF-D747-9DBD-C69AC83E4B67}" uniqueName="2" name="Name" queryTableFieldId="2" dataDxfId="397"/>
    <tableColumn id="3" xr3:uid="{05F792FB-A9D2-3A49-9D71-3988C1B35229}" uniqueName="3" name="Category" queryTableFieldId="3" dataDxfId="396"/>
    <tableColumn id="4" xr3:uid="{BBB80B46-ACAA-A24F-9465-3BAA3B229503}" uniqueName="4" name="Birth_year" queryTableFieldId="4" dataDxfId="395"/>
    <tableColumn id="5" xr3:uid="{A1E923F8-9748-334F-B20A-5B34AC110E0A}" uniqueName="5" name="License_number" queryTableFieldId="5" dataDxfId="394"/>
    <tableColumn id="6" xr3:uid="{FC19ACCC-4D6B-924A-B348-BF3863EB05F2}" uniqueName="6" name="Club" queryTableFieldId="6" dataDxfId="393"/>
    <tableColumn id="30" xr3:uid="{87CD066C-FE53-4EF4-914C-F4231D9823BF}" uniqueName="30" name="All Around" queryTableFieldId="29">
      <calculatedColumnFormula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calculatedColumnFormula>
    </tableColumn>
    <tableColumn id="7" xr3:uid="{4ABF21B8-A897-B840-B1B8-5B905322EA1E}" uniqueName="7" name="FX_Dscore" queryTableFieldId="7" dataDxfId="392"/>
    <tableColumn id="8" xr3:uid="{60EB3A7D-B5C0-7A4D-91B9-240802617D00}" uniqueName="8" name="FX_Escore" queryTableFieldId="8" dataDxfId="391"/>
    <tableColumn id="9" xr3:uid="{E1CACB9A-C8DC-424B-B740-14097C894C3D}" uniqueName="9" name="FX_Total_Score" queryTableFieldId="9" dataDxfId="390"/>
    <tableColumn id="10" xr3:uid="{99611A33-A774-E147-A4E2-658BC5EA9C61}" uniqueName="10" name="PH_Dscore" queryTableFieldId="10" dataDxfId="389"/>
    <tableColumn id="11" xr3:uid="{DCBCA2E9-2231-5741-AADB-1CBFF0AE71A6}" uniqueName="11" name="PH_Escore" queryTableFieldId="11" dataDxfId="388"/>
    <tableColumn id="12" xr3:uid="{839C73BA-57D6-BD43-A42A-14057E095F73}" uniqueName="12" name="PH_Total_Score" queryTableFieldId="12" dataDxfId="387"/>
    <tableColumn id="13" xr3:uid="{F15A8A58-0947-C24E-9DA2-34FA30D97433}" uniqueName="13" name="SR_Dscore" queryTableFieldId="13" dataDxfId="386"/>
    <tableColumn id="14" xr3:uid="{472EA0DB-D257-7B4A-B54D-01384C221220}" uniqueName="14" name="SR_Escore" queryTableFieldId="14" dataDxfId="385"/>
    <tableColumn id="15" xr3:uid="{20CAD5F7-8029-C045-ADE8-D958AB9A94F8}" uniqueName="15" name="SR_Total_Score" queryTableFieldId="15" dataDxfId="384"/>
    <tableColumn id="16" xr3:uid="{68E044EF-5837-D84D-8039-58975609E349}" uniqueName="16" name="VT_Dscore" queryTableFieldId="16" dataDxfId="383"/>
    <tableColumn id="17" xr3:uid="{D92132C1-D3E1-7B43-9437-B20544563BB8}" uniqueName="17" name="VT_Escore" queryTableFieldId="17" dataDxfId="382"/>
    <tableColumn id="18" xr3:uid="{6B413F48-D6F4-914B-A188-551370F5C748}" uniqueName="18" name="VT_total_score" queryTableFieldId="18" dataDxfId="381"/>
    <tableColumn id="19" xr3:uid="{F47816AC-380B-5145-8827-0BFDF571D0EE}" uniqueName="19" name="PB_Dscore" queryTableFieldId="19" dataDxfId="380"/>
    <tableColumn id="20" xr3:uid="{ECCDC5FC-0A7C-1E4C-8FE8-BA87F18F7A6E}" uniqueName="20" name="PB_Escore" queryTableFieldId="20" dataDxfId="379"/>
    <tableColumn id="21" xr3:uid="{1C5449E1-BFBC-7746-AEB1-0B8ADACCE01F}" uniqueName="21" name="PB_total_score" queryTableFieldId="21" dataDxfId="378"/>
    <tableColumn id="22" xr3:uid="{4A920431-7AD5-7942-B922-D2C96EB5FF85}" uniqueName="22" name="HB_Dscore" queryTableFieldId="22" dataDxfId="377"/>
    <tableColumn id="23" xr3:uid="{4A22EC94-7FDD-AB45-AC35-A1FEFD0D000D}" uniqueName="23" name="HB_Escore" queryTableFieldId="23" dataDxfId="376"/>
    <tableColumn id="24" xr3:uid="{A036480D-9622-9745-BC99-BE3F88F68AEE}" uniqueName="24" name="HB_total_score" queryTableFieldId="24" dataDxfId="375"/>
    <tableColumn id="28" xr3:uid="{A494DD3D-7576-47DC-B900-08BD1068CE16}" uniqueName="28" name="AA_Dscore" queryTableFieldId="28" dataDxfId="18">
      <calculatedColumnFormula>IF(Bydgoszcz_result[[#This Row],[All Around]]="Yes",SUM(H2,K2,N2,Q2,T2,W2),0)</calculatedColumnFormula>
    </tableColumn>
    <tableColumn id="27" xr3:uid="{4C3690A8-95A0-4067-9809-41CD2A611CF0}" uniqueName="27" name="AA_Escore" queryTableFieldId="27" dataDxfId="16">
      <calculatedColumnFormula>IF(Bydgoszcz_result[[#This Row],[All Around]]="Yes",SUM(I2,L2,O2,R2,U2,X2),0)</calculatedColumnFormula>
    </tableColumn>
    <tableColumn id="25" xr3:uid="{F3B93DAB-6BB7-9740-90D6-D9E3A5ABDCBD}" uniqueName="25" name="Total_Score" queryTableFieldId="25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A5FBF-EADD-2249-9227-510E9CAAA0D0}" name="Zabrze_result" displayName="Zabrze_result" ref="A1:AB38" tableType="queryTable" totalsRowShown="0" headerRowDxfId="374">
  <autoFilter ref="A1:AB38" xr:uid="{B6AA5FBF-EADD-2249-9227-510E9CAAA0D0}"/>
  <sortState xmlns:xlrd2="http://schemas.microsoft.com/office/spreadsheetml/2017/richdata2" ref="A2:AB38">
    <sortCondition descending="1" ref="C1:C38"/>
  </sortState>
  <tableColumns count="28">
    <tableColumn id="1" xr3:uid="{D97EA72A-EF47-2640-8072-A89F0CAE7884}" uniqueName="1" name="Rk" queryTableFieldId="1" dataDxfId="373"/>
    <tableColumn id="2" xr3:uid="{4D6ADFD1-545E-7F49-92BD-8A5BEC1C8195}" uniqueName="2" name="Name" queryTableFieldId="2" dataDxfId="372"/>
    <tableColumn id="3" xr3:uid="{8C7A6041-8648-D042-9027-E4DADE54A338}" uniqueName="3" name="Category" queryTableFieldId="3" dataDxfId="371"/>
    <tableColumn id="4" xr3:uid="{7FE72F44-F769-FF4E-B7C7-62F440E37FDE}" uniqueName="4" name="Birth_year" queryTableFieldId="4" dataDxfId="370"/>
    <tableColumn id="5" xr3:uid="{EC8A59E5-0EBC-1547-A828-8292F942C0AB}" uniqueName="5" name="License_number" queryTableFieldId="5" dataDxfId="369"/>
    <tableColumn id="6" xr3:uid="{E547453B-5A2E-B341-AB9E-166B7C6D3401}" uniqueName="6" name="Club" queryTableFieldId="6" dataDxfId="368"/>
    <tableColumn id="30" xr3:uid="{00C7C859-733B-4427-87CA-FB1A160FD482}" uniqueName="30" name="All Around" queryTableFieldId="30" dataDxfId="367">
      <calculatedColumnFormula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calculatedColumnFormula>
    </tableColumn>
    <tableColumn id="7" xr3:uid="{B65C1590-E4A1-9743-A0BB-21FEA1A51037}" uniqueName="7" name="FX_Dscore" queryTableFieldId="7" dataDxfId="366"/>
    <tableColumn id="8" xr3:uid="{B340D8F1-228B-284A-B1F2-DD9B87CC7DB2}" uniqueName="8" name="FX_Escore" queryTableFieldId="8" dataDxfId="365"/>
    <tableColumn id="9" xr3:uid="{D573B6A7-A73C-6948-8670-5C25148AE5BE}" uniqueName="9" name="FX_total_score" queryTableFieldId="9" dataDxfId="364"/>
    <tableColumn id="10" xr3:uid="{2D20754C-4A2C-7849-BF7B-9D227B383BDA}" uniqueName="10" name="PH_Dscore" queryTableFieldId="10" dataDxfId="363"/>
    <tableColumn id="11" xr3:uid="{E11DCF11-1D06-5C44-B767-E98FB121AEEA}" uniqueName="11" name="PH_Escore" queryTableFieldId="11" dataDxfId="362"/>
    <tableColumn id="12" xr3:uid="{D62A96FA-345A-4F43-8549-9676B05948A3}" uniqueName="12" name="PH_Total_Score" queryTableFieldId="12" dataDxfId="361"/>
    <tableColumn id="13" xr3:uid="{1DA60288-0CD2-6C45-B1C2-6D6826C7CB5A}" uniqueName="13" name="SR_Dscore" queryTableFieldId="13" dataDxfId="360"/>
    <tableColumn id="14" xr3:uid="{1E392F02-B88B-E24E-B419-8301197437F8}" uniqueName="14" name="SR_Escore" queryTableFieldId="14" dataDxfId="359"/>
    <tableColumn id="15" xr3:uid="{6F825AD1-E39E-E44B-B23B-8F64E00E7CD2}" uniqueName="15" name="SR_Total_Score" queryTableFieldId="15" dataDxfId="358"/>
    <tableColumn id="16" xr3:uid="{55000DB4-E5FB-6D4D-A1D2-0C43434B8C44}" uniqueName="16" name="VT_Dscore" queryTableFieldId="16" dataDxfId="357"/>
    <tableColumn id="17" xr3:uid="{AD1FB75B-79FF-024A-838F-43DF3E8BFDF7}" uniqueName="17" name="VT_Escore" queryTableFieldId="17" dataDxfId="356"/>
    <tableColumn id="18" xr3:uid="{924EF7B3-E068-F444-96EF-1444CA95638C}" uniqueName="18" name="VT_total_score" queryTableFieldId="18" dataDxfId="355"/>
    <tableColumn id="19" xr3:uid="{B6E7FE8D-A046-3048-83C1-FE2FB655C50C}" uniqueName="19" name="PB_Dscore" queryTableFieldId="19" dataDxfId="354"/>
    <tableColumn id="20" xr3:uid="{49AC68A6-E6E7-7C4B-8B46-8384EE5E3F39}" uniqueName="20" name="PB_Escore" queryTableFieldId="20" dataDxfId="353"/>
    <tableColumn id="21" xr3:uid="{B55D7462-5135-C84E-8127-87AB9B8A306B}" uniqueName="21" name="PB_total_score" queryTableFieldId="21" dataDxfId="352"/>
    <tableColumn id="22" xr3:uid="{04EA4746-8687-9C46-BE2E-6B708C12BEB5}" uniqueName="22" name="HB_Dscore" queryTableFieldId="22" dataDxfId="351"/>
    <tableColumn id="23" xr3:uid="{1050F0AA-7A4F-B345-96CA-8550E43B5B5F}" uniqueName="23" name="HB_Escore" queryTableFieldId="23" dataDxfId="350"/>
    <tableColumn id="24" xr3:uid="{67F1A074-FE19-F540-BD62-7FFDCB15479C}" uniqueName="24" name="HB_total_score" queryTableFieldId="24" dataDxfId="349"/>
    <tableColumn id="28" xr3:uid="{BEB1860A-7498-4139-BFFC-E58818E278F9}" uniqueName="28" name="AA_Dscore" queryTableFieldId="29" dataDxfId="348">
      <calculatedColumnFormula>IF(Zabrze_result[[#This Row],[All Around]]="Yes",SUM(H2,K2,N2,Q2,T2,W2),0)</calculatedColumnFormula>
    </tableColumn>
    <tableColumn id="29" xr3:uid="{BE696937-953A-46AF-8DA6-02009F56B6A5}" uniqueName="29" name="AA_Escore" queryTableFieldId="28" dataDxfId="347">
      <calculatedColumnFormula>IF(Zabrze_result[[#This Row],[All Around]]="Yes",SUM(I2,L2,O2,R2,U2,X2),0)</calculatedColumnFormula>
    </tableColumn>
    <tableColumn id="25" xr3:uid="{E8D593F8-785A-4F46-9428-D3007C8A4D21}" uniqueName="25" name="Total_Score" queryTableFieldId="25" dataDxfId="34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EEB429-A9D2-6948-998F-11729AF670EF}" name="Cracow_result" displayName="Cracow_result" ref="A1:AB40" tableType="queryTable" totalsRowShown="0" headerRowDxfId="19">
  <autoFilter ref="A1:AB40" xr:uid="{97EEB429-A9D2-6948-998F-11729AF670EF}"/>
  <sortState xmlns:xlrd2="http://schemas.microsoft.com/office/spreadsheetml/2017/richdata2" ref="A2:AB40">
    <sortCondition descending="1" ref="AB1:AB40"/>
  </sortState>
  <tableColumns count="28">
    <tableColumn id="1" xr3:uid="{B9B14B59-E4D8-7F48-8B27-7F9393445B8B}" uniqueName="1" name="Rk" queryTableFieldId="1" dataDxfId="345"/>
    <tableColumn id="2" xr3:uid="{15E13D76-5B67-4E4C-852A-914AB4E08BFC}" uniqueName="2" name="Name" queryTableFieldId="2" dataDxfId="344"/>
    <tableColumn id="3" xr3:uid="{373E2809-6EE9-3242-B02E-667EC93E37F5}" uniqueName="3" name="Category" queryTableFieldId="3" dataDxfId="343"/>
    <tableColumn id="4" xr3:uid="{12F09014-CBD3-1346-AA11-6BBB83ED6A38}" uniqueName="4" name="Birth_year" queryTableFieldId="4" dataDxfId="342"/>
    <tableColumn id="5" xr3:uid="{D5247734-2FDF-B941-81D0-14F13246DD85}" uniqueName="5" name="License_number" queryTableFieldId="5" dataDxfId="341"/>
    <tableColumn id="6" xr3:uid="{1F26F55C-2C5F-2C41-A1F5-168980CED6E7}" uniqueName="6" name="Club" queryTableFieldId="6" dataDxfId="43"/>
    <tableColumn id="29" xr3:uid="{1DF87622-F6FA-4EB9-BEC3-16EDED335CCA}" uniqueName="29" name="All Around" queryTableFieldId="29" dataDxfId="41">
      <calculatedColumnFormula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calculatedColumnFormula>
    </tableColumn>
    <tableColumn id="7" xr3:uid="{A9059359-F449-BF48-9E18-678606BF7F76}" uniqueName="7" name="FX_Dscore" queryTableFieldId="7" dataDxfId="42"/>
    <tableColumn id="8" xr3:uid="{506E2BDF-82F2-3A48-9E6A-8D3DEDA751E9}" uniqueName="8" name="FX_Escore" queryTableFieldId="8" dataDxfId="340"/>
    <tableColumn id="9" xr3:uid="{0679EE3A-2FE1-604D-9DF5-D88143BD9807}" uniqueName="9" name="FX_total_score" queryTableFieldId="9" dataDxfId="339"/>
    <tableColumn id="10" xr3:uid="{54E6A4DE-7A0A-6744-9171-CC62D459B5B1}" uniqueName="10" name="PH_Dscore" queryTableFieldId="10" dataDxfId="338"/>
    <tableColumn id="11" xr3:uid="{0AEB978D-B772-F841-B479-04210048AFE6}" uniqueName="11" name="PH_Escore" queryTableFieldId="11" dataDxfId="337"/>
    <tableColumn id="12" xr3:uid="{1FF8202A-8307-0042-9DE7-FF4E4192CCEC}" uniqueName="12" name="PH_Total_Score" queryTableFieldId="12" dataDxfId="336"/>
    <tableColumn id="13" xr3:uid="{3EB4FCB2-079D-704D-B2F1-CD49727EF7A4}" uniqueName="13" name="SR_Dscore" queryTableFieldId="13" dataDxfId="335"/>
    <tableColumn id="14" xr3:uid="{D17C1CFE-1AD4-2249-92B5-76AC2D8776B8}" uniqueName="14" name="SR_Escore" queryTableFieldId="14" dataDxfId="334"/>
    <tableColumn id="15" xr3:uid="{96FD2CC8-3D97-E44A-A4F6-8F29DA74DF42}" uniqueName="15" name="SR_Total_Score" queryTableFieldId="15" dataDxfId="333"/>
    <tableColumn id="16" xr3:uid="{FE906BFC-60C4-0549-B6C2-2B3A38887396}" uniqueName="16" name="VT_Dscore" queryTableFieldId="16" dataDxfId="332"/>
    <tableColumn id="17" xr3:uid="{A32E3E4B-97C0-2542-8B26-A0E27B5F9298}" uniqueName="17" name="VT_Escore" queryTableFieldId="17" dataDxfId="331"/>
    <tableColumn id="18" xr3:uid="{8BC1FFCA-FF0B-0C4C-9D4E-622100AF9C42}" uniqueName="18" name="VT_total_score" queryTableFieldId="18" dataDxfId="330"/>
    <tableColumn id="19" xr3:uid="{CFEBCB64-F755-2D41-8482-5FC0F5DC4E0B}" uniqueName="19" name="PB_Dscore" queryTableFieldId="19" dataDxfId="329"/>
    <tableColumn id="20" xr3:uid="{242DF330-5F44-5E42-AE65-87779F7BD0A2}" uniqueName="20" name="PB_Escore" queryTableFieldId="20" dataDxfId="328"/>
    <tableColumn id="21" xr3:uid="{E1E6EFF6-9006-F241-910D-38A4D193420C}" uniqueName="21" name="PB_total_score" queryTableFieldId="21" dataDxfId="327"/>
    <tableColumn id="22" xr3:uid="{078D5425-B5A1-3549-AA14-969F84EF0BB1}" uniqueName="22" name="HB_Dscore" queryTableFieldId="22" dataDxfId="326"/>
    <tableColumn id="23" xr3:uid="{65B866A3-4D3C-BF43-844C-F3F374D6D260}" uniqueName="23" name="HB_Escore" queryTableFieldId="23" dataDxfId="325"/>
    <tableColumn id="24" xr3:uid="{CD254058-80C4-0C4E-935E-8E49B7BB3E12}" uniqueName="24" name="HB_total_score" queryTableFieldId="24" dataDxfId="324"/>
    <tableColumn id="27" xr3:uid="{2C1E0BC3-3FF9-468B-8349-7B46147DC5A0}" uniqueName="27" name="AA_Dscore" queryTableFieldId="28" dataDxfId="323">
      <calculatedColumnFormula>IF(Cracow_result[[#This Row],[All Around]]="Yes",SUM(H2,K2,N2,Q2,T2,W2),0)</calculatedColumnFormula>
    </tableColumn>
    <tableColumn id="28" xr3:uid="{CFFFC03A-4CEF-4DC7-90D3-AD5D1813FBAF}" uniqueName="28" name="AA_Escore" queryTableFieldId="27" dataDxfId="322">
      <calculatedColumnFormula>IF(Cracow_result[[#This Row],[All Around]]="Yes",SUM(I2,L2,O2,R2,U2,X2),0)</calculatedColumnFormula>
    </tableColumn>
    <tableColumn id="25" xr3:uid="{5388FCC5-6ECC-294B-BF83-1FA91D26C11B}" uniqueName="25" name="Total_Score" queryTableFieldId="25" dataDxfId="32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B9E4A4-87F3-254B-AB43-648B5A9F461C}" name="Gdansk_result" displayName="Gdansk_result" ref="A1:AB34" tableType="queryTable" headerRowDxfId="20">
  <autoFilter ref="A1:AB34" xr:uid="{A9B9E4A4-87F3-254B-AB43-648B5A9F461C}"/>
  <sortState xmlns:xlrd2="http://schemas.microsoft.com/office/spreadsheetml/2017/richdata2" ref="A2:AB34">
    <sortCondition descending="1" ref="AB1:AB34"/>
  </sortState>
  <tableColumns count="28">
    <tableColumn id="1" xr3:uid="{566EBF33-A418-9146-9F0C-E3E0769EAD5C}" uniqueName="1" name="Rk" totalsRowLabel="Suma" queryTableFieldId="1" dataDxfId="320" totalsRowDxfId="319"/>
    <tableColumn id="2" xr3:uid="{B33BE356-DE22-2341-B2B0-A0364D4AB32F}" uniqueName="2" name="Name" queryTableFieldId="2" dataDxfId="318"/>
    <tableColumn id="3" xr3:uid="{2CFDB337-D95A-3147-8F05-03A38EE790B4}" uniqueName="3" name="Category" queryTableFieldId="3" dataDxfId="317" totalsRowDxfId="316"/>
    <tableColumn id="4" xr3:uid="{5E1AE756-0C86-6541-BD3C-B920E07BFFD3}" uniqueName="4" name="Birth_year" queryTableFieldId="4" dataDxfId="315" totalsRowDxfId="314"/>
    <tableColumn id="5" xr3:uid="{32D2F600-4128-3942-85BF-AD8F03798E04}" uniqueName="5" name="License_number" queryTableFieldId="5" dataDxfId="313" totalsRowDxfId="312"/>
    <tableColumn id="6" xr3:uid="{8A5FD3CD-DE10-E046-91B6-4898D040CA41}" uniqueName="6" name="Club" queryTableFieldId="6" dataDxfId="40"/>
    <tableColumn id="29" xr3:uid="{ACEDED59-CDC5-4F90-ABF5-AA43AF4A9DA8}" uniqueName="29" name="All Around" queryTableFieldId="29" dataDxfId="38">
      <calculatedColumnFormula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calculatedColumnFormula>
    </tableColumn>
    <tableColumn id="7" xr3:uid="{87DBE679-67A9-714C-9B9D-76CFD2B935D9}" uniqueName="7" name="FX_Dscore" queryTableFieldId="7" dataDxfId="39" totalsRowDxfId="311"/>
    <tableColumn id="8" xr3:uid="{FB6C41DB-47C2-8F44-8C29-89EB6DB7582C}" uniqueName="8" name="FX_Escore" queryTableFieldId="8" dataDxfId="310" totalsRowDxfId="309"/>
    <tableColumn id="9" xr3:uid="{09A5C288-302B-1A4D-96CF-AFAEA1695DED}" uniqueName="9" name="FX_total_score" queryTableFieldId="9" dataDxfId="308" totalsRowDxfId="307"/>
    <tableColumn id="10" xr3:uid="{BC3B7ABA-CD58-B940-9772-6584E8F8208C}" uniqueName="10" name="PH_Dscore" queryTableFieldId="10" dataDxfId="306" totalsRowDxfId="305"/>
    <tableColumn id="11" xr3:uid="{204ABB3C-6103-FF4D-A2FE-3296AACFD09A}" uniqueName="11" name="PH_Escore" queryTableFieldId="11" dataDxfId="304" totalsRowDxfId="303"/>
    <tableColumn id="12" xr3:uid="{A90E1BD1-3545-8642-985E-EE79B2E85E35}" uniqueName="12" name="PH_Total_Score" queryTableFieldId="12" dataDxfId="302" totalsRowDxfId="301"/>
    <tableColumn id="13" xr3:uid="{571E6B19-9386-4044-BC22-A563CB3BF7CD}" uniqueName="13" name="SR_Dscore" queryTableFieldId="13" dataDxfId="300" totalsRowDxfId="299"/>
    <tableColumn id="14" xr3:uid="{B7114A4C-79E8-414F-B838-9E122B8BE1A1}" uniqueName="14" name="SR_Escore" queryTableFieldId="14" dataDxfId="298" totalsRowDxfId="297"/>
    <tableColumn id="15" xr3:uid="{DE854385-F0E4-F54C-B28D-52EC503150E2}" uniqueName="15" name="SR_Total_Score" queryTableFieldId="15" dataDxfId="296" totalsRowDxfId="295"/>
    <tableColumn id="16" xr3:uid="{040105E6-A7CE-EA4E-BF9F-2FD729314B2F}" uniqueName="16" name="VT_Dscore" queryTableFieldId="16" dataDxfId="294" totalsRowDxfId="293"/>
    <tableColumn id="17" xr3:uid="{80701624-322E-0D42-AD4A-1F3E859B63C3}" uniqueName="17" name="VT_Escore" queryTableFieldId="17" dataDxfId="292" totalsRowDxfId="291"/>
    <tableColumn id="18" xr3:uid="{398571B9-B4BA-5C4A-A30F-AE3CFFAA8EC7}" uniqueName="18" name="VT_total_score" queryTableFieldId="18" dataDxfId="290" totalsRowDxfId="289"/>
    <tableColumn id="19" xr3:uid="{D2A46B98-9014-4A4F-A8A5-715E813BC586}" uniqueName="19" name="PB_Dscore" queryTableFieldId="19" dataDxfId="288" totalsRowDxfId="287"/>
    <tableColumn id="20" xr3:uid="{1F6B6B0C-A090-6F41-AD1E-79DDF1D4A8E0}" uniqueName="20" name="PB_Escore" queryTableFieldId="20" dataDxfId="286" totalsRowDxfId="285"/>
    <tableColumn id="21" xr3:uid="{A8BEAD0A-624C-8042-96C8-25DE11B79531}" uniqueName="21" name="PB_total_score" queryTableFieldId="21" dataDxfId="284" totalsRowDxfId="283"/>
    <tableColumn id="22" xr3:uid="{61EF7A91-4115-BE46-954F-A485F5DDD925}" uniqueName="22" name="HB_Dscore" queryTableFieldId="22" dataDxfId="282" totalsRowDxfId="281"/>
    <tableColumn id="23" xr3:uid="{23CDB0E4-5D29-2A45-9664-7FE5B05E50F2}" uniqueName="23" name="HB_Escore" queryTableFieldId="23" dataDxfId="280" totalsRowDxfId="279"/>
    <tableColumn id="24" xr3:uid="{E127086E-A80B-A34D-BA92-ABD31A087CEB}" uniqueName="24" name="HB_total_score" queryTableFieldId="24" dataDxfId="278" totalsRowDxfId="277"/>
    <tableColumn id="27" xr3:uid="{241AEEDF-DA1E-4529-A10D-4C27F3BF8178}" uniqueName="27" name="AA_Dscore" queryTableFieldId="28" dataDxfId="276" totalsRowDxfId="275">
      <calculatedColumnFormula>IF(Gdansk_result[[#This Row],[All Around]]="Yes",SUM(H2,K2,N2,Q2,T2,W2),0)</calculatedColumnFormula>
    </tableColumn>
    <tableColumn id="28" xr3:uid="{56E94EDC-3D30-44C7-908B-75E8707E927B}" uniqueName="28" name="AA_Escore" queryTableFieldId="27" dataDxfId="274" totalsRowDxfId="273">
      <calculatedColumnFormula>IF(Gdansk_result[[#This Row],[All Around]]="Yes",SUM(I2,L2,O2,R2,U2,X2),0)</calculatedColumnFormula>
    </tableColumn>
    <tableColumn id="25" xr3:uid="{3BD88BE0-BD5A-504B-9B21-7523009382BF}" uniqueName="25" name="Total_Score" totalsRowFunction="sum" queryTableFieldId="25" dataDxfId="272" totalsRowDxfId="27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CB7C11-8ED0-B54B-8DC4-AF36FCBF5E5D}" name="FX" displayName="FX" ref="A1:W47" tableType="queryTable" totalsRowShown="0" headerRowDxfId="21">
  <autoFilter ref="A1:W47" xr:uid="{C8CB7C11-8ED0-B54B-8DC4-AF36FCBF5E5D}"/>
  <sortState xmlns:xlrd2="http://schemas.microsoft.com/office/spreadsheetml/2017/richdata2" ref="A2:W47">
    <sortCondition descending="1" ref="U1:U47"/>
  </sortState>
  <tableColumns count="23">
    <tableColumn id="1" xr3:uid="{9AF45B17-49E5-4648-AFA4-D4E2F1456175}" uniqueName="1" name="Name" queryTableFieldId="1" dataDxfId="270"/>
    <tableColumn id="2" xr3:uid="{D4C7DD7F-8CAD-8E4B-B7F4-45435A397D13}" uniqueName="2" name="Category" queryTableFieldId="2" dataDxfId="269"/>
    <tableColumn id="3" xr3:uid="{951809E0-EA63-504B-9E87-7D1FDA722B45}" uniqueName="3" name="License_number" queryTableFieldId="3" dataDxfId="268"/>
    <tableColumn id="4" xr3:uid="{2EA5D9CA-54E7-BE49-A565-998DB5CB45A1}" uniqueName="4" name="Club" queryTableFieldId="4" dataDxfId="267"/>
    <tableColumn id="20" xr3:uid="{A0D7BC17-2227-4B86-AAB4-7EF68867C4ED}" uniqueName="20" name="Number_of_competition" queryTableFieldId="20" dataDxfId="266">
      <calculatedColumnFormula>COUNTIF(FX[[#This Row],[bydgoszcz_FX_Total_Score]],"&gt;0")+COUNTIF(FX[[#This Row],[zabrze_FX_Total_Score]],"&gt;0")+COUNTIF(FX[[#This Row],[cracow_FX_Total_Score]],"&gt;0")+COUNTIF(FX[[#This Row],[gdansk_FX_Total_Score]],"&gt;0")</calculatedColumnFormula>
    </tableColumn>
    <tableColumn id="5" xr3:uid="{B6945FE9-7906-FF48-8664-154C06A5E689}" uniqueName="5" name="bydgoszcz_FX_Dscore" queryTableFieldId="5" dataDxfId="265"/>
    <tableColumn id="6" xr3:uid="{806F8663-C6C2-9048-B19C-ABD67E1C86B5}" uniqueName="6" name="bydgoszcz_FX_Escore" queryTableFieldId="6" dataDxfId="264"/>
    <tableColumn id="7" xr3:uid="{D95F07AA-26F5-AC49-B335-E2162E7ED783}" uniqueName="7" name="bydgoszcz_FX_Total_Score" queryTableFieldId="7" dataDxfId="263"/>
    <tableColumn id="8" xr3:uid="{4AAE22CA-C8A2-204E-91E7-A45C483847EA}" uniqueName="8" name="zabrze_FX_Dscore" queryTableFieldId="8" dataDxfId="262"/>
    <tableColumn id="9" xr3:uid="{ED85FCCA-36D8-5E43-83B7-E2946B2938D0}" uniqueName="9" name="zabrze_FX_Escore" queryTableFieldId="9" dataDxfId="261"/>
    <tableColumn id="10" xr3:uid="{43B85B3E-AD84-184D-A8BE-7C866C1EE131}" uniqueName="10" name="zabrze_FX_Total_Score" queryTableFieldId="10" dataDxfId="260"/>
    <tableColumn id="11" xr3:uid="{2FA5A41C-1E78-5B4F-9E5C-D2BB435D8B27}" uniqueName="11" name="cracow_FX_Dscore" queryTableFieldId="11" dataDxfId="259"/>
    <tableColumn id="12" xr3:uid="{0A724EA0-590B-274A-9216-8524882FFE47}" uniqueName="12" name="cracow_FX_Escore" queryTableFieldId="12" dataDxfId="258"/>
    <tableColumn id="13" xr3:uid="{73258F73-F532-4246-AEE3-7B5CD76B4A79}" uniqueName="13" name="cracow_FX_Total_Score" queryTableFieldId="13" dataDxfId="257"/>
    <tableColumn id="14" xr3:uid="{B3842699-63BD-6D41-A40A-E5AE3E167E32}" uniqueName="14" name="gdansk_FX_Dscore" queryTableFieldId="14" dataDxfId="256"/>
    <tableColumn id="15" xr3:uid="{F80BDCF6-84BD-4A41-990F-C144044A7B7B}" uniqueName="15" name="gdansk_FX_Escore" queryTableFieldId="15" dataDxfId="255"/>
    <tableColumn id="16" xr3:uid="{CD6FE0C2-8932-2542-99D0-48C69A1795E5}" uniqueName="16" name="gdansk_FX_Total_Score" queryTableFieldId="16" dataDxfId="254"/>
    <tableColumn id="17" xr3:uid="{DE1FED81-DF40-4D70-ABDD-DD6463D07BBC}" uniqueName="17" name="Year_Dscore" queryTableFieldId="17" dataDxfId="253">
      <calculatedColumnFormula>LARGE(CHOOSE({1;2;3;4},F2,I2,L2,O2),1)+LARGE(CHOOSE({1;2;3;4},F2,I2,L2,O2),2)+LARGE(CHOOSE({1;2;3;4},F2,I2,L2,O2),3)</calculatedColumnFormula>
    </tableColumn>
    <tableColumn id="18" xr3:uid="{893A1A77-8CEA-42BF-8A67-5686BC5DD23A}" uniqueName="18" name="Year_Escore" queryTableFieldId="18" dataDxfId="252">
      <calculatedColumnFormula>LARGE(CHOOSE({1;2;3;4},G2,J2,M2,P2),1)+LARGE(CHOOSE({1;2;3;4},G2,J2,M2,P2),2)+LARGE(CHOOSE({1;2;3;4},G2,J2,M2,P2),3)</calculatedColumnFormula>
    </tableColumn>
    <tableColumn id="19" xr3:uid="{5FBBF493-EB3A-4FD5-A1B8-94A84BA041D9}" uniqueName="19" name="Year_Total_Score" queryTableFieldId="19" dataDxfId="251">
      <calculatedColumnFormula>LARGE(CHOOSE({1;2;3;4},H2,K2,N2,Q2),1)+LARGE(CHOOSE({1;2;3;4},H2,K2,N2,Q2),2)+LARGE(CHOOSE({1;2;3;4},H2,K2,N2,Q2),3)</calculatedColumnFormula>
    </tableColumn>
    <tableColumn id="21" xr3:uid="{BFF58C27-B7F0-4995-B238-D4720664B545}" uniqueName="21" name="AVG_Dscore" queryTableFieldId="21" dataDxfId="250">
      <calculatedColumnFormula array="1">IF(FX[[#This Row],[Number_of_competition]:[Number_of_competition]]&gt;=3,(LARGE(CHOOSE({1;2;3;4},F2,I2,L2,O2),1)+LARGE(CHOOSE({1;2;3;4},F2,I2,L2,O2),2)+LARGE(CHOOSE({1;2;3;4},F2,I2,L2,O2),3))/3,0)</calculatedColumnFormula>
    </tableColumn>
    <tableColumn id="22" xr3:uid="{9DAC7CE4-5411-445A-B48E-CA07373100E3}" uniqueName="22" name="AVG_Escore" queryTableFieldId="22" dataDxfId="249">
      <calculatedColumnFormula array="1">IF(FX[[#This Row],[Number_of_competition]:[Number_of_competition]]&gt;=3,(LARGE(CHOOSE({1;2;3;4},G2,J2,M2,P2),1)+LARGE(CHOOSE({1;2;3;4},G2,J2,M2,P2),2)+LARGE(CHOOSE({1;2;3;4},G2,J2,M2,P2),3))/3,0)</calculatedColumnFormula>
    </tableColumn>
    <tableColumn id="23" xr3:uid="{3A9374AF-5D2A-4518-9162-2A6E425F7EA0}" uniqueName="23" name="AVG_Total_Score" queryTableFieldId="23" dataDxfId="248">
      <calculatedColumnFormula array="1">IF(FX[[#This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C2F5A5-6876-B744-A30F-1F4F60CA11F3}" name="PH" displayName="PH" ref="A1:W44" tableType="queryTable" totalsRowShown="0" headerRowDxfId="22">
  <autoFilter ref="A1:W44" xr:uid="{FFC2F5A5-6876-B744-A30F-1F4F60CA11F3}"/>
  <sortState xmlns:xlrd2="http://schemas.microsoft.com/office/spreadsheetml/2017/richdata2" ref="A2:W44">
    <sortCondition descending="1" ref="W1:W44"/>
  </sortState>
  <tableColumns count="23">
    <tableColumn id="1" xr3:uid="{094BBDED-A34A-A14B-A999-2F1CA1EA34C5}" uniqueName="1" name="Name" queryTableFieldId="1" dataDxfId="247"/>
    <tableColumn id="2" xr3:uid="{BBF8E6A3-EC74-A34D-95E4-153B27A2AF78}" uniqueName="2" name="Category" queryTableFieldId="2" dataDxfId="246"/>
    <tableColumn id="3" xr3:uid="{8D4BB4FC-636E-FD40-A3A1-C908A4E08FC2}" uniqueName="3" name="License_number" queryTableFieldId="3" dataDxfId="245"/>
    <tableColumn id="4" xr3:uid="{CE5FF73C-61FC-324C-A2EB-E7F02F691617}" uniqueName="4" name="Club" queryTableFieldId="4" dataDxfId="244"/>
    <tableColumn id="20" xr3:uid="{72323466-1E52-45AB-9DCF-71F0D38BE019}" uniqueName="20" name="Number_of_Competition" queryTableFieldId="20" dataDxfId="243">
      <calculatedColumnFormula>COUNTIF(PH[[#This Row],[bydgoszcz_PH_Total_Score]],"&gt;0")+COUNTIF(PH[[#This Row],[zabrze_PH_Total_Score]],"&gt;0")+COUNTIF(PH[[#This Row],[cracow_PH_Total_Score]],"&gt;0")+COUNTIF(PH[[#This Row],[gdansk_PH_Total_Score]],"&gt;0")</calculatedColumnFormula>
    </tableColumn>
    <tableColumn id="5" xr3:uid="{046A5F7E-1FC2-C04A-90BF-70746BA1061C}" uniqueName="5" name="bydgoszcz_PH_Dscore" queryTableFieldId="5" dataDxfId="242"/>
    <tableColumn id="6" xr3:uid="{E9849F24-5C23-934C-A7AF-A84360106FE8}" uniqueName="6" name="bydgoszcz_PH_Escore" queryTableFieldId="6" dataDxfId="241"/>
    <tableColumn id="7" xr3:uid="{3D2BC687-FFA6-9148-8350-B44D46A3903B}" uniqueName="7" name="bydgoszcz_PH_Total_Score" queryTableFieldId="7" dataDxfId="240"/>
    <tableColumn id="8" xr3:uid="{5F0E7FBC-CA45-2E42-B229-E4AA17B19D66}" uniqueName="8" name="zabrze_PH_Dscore" queryTableFieldId="8" dataDxfId="239"/>
    <tableColumn id="9" xr3:uid="{108B0774-C055-9244-B344-2BF6B64C0F29}" uniqueName="9" name="zabrze_PH_Escore" queryTableFieldId="9" dataDxfId="238"/>
    <tableColumn id="10" xr3:uid="{E5CBE0D1-99C7-CA45-8B37-92FD058E95FA}" uniqueName="10" name="zabrze_PH_Total_Score" queryTableFieldId="10" dataDxfId="237"/>
    <tableColumn id="11" xr3:uid="{0EE9648F-F5F4-1347-A55A-5851FC829F64}" uniqueName="11" name="cracow_PH_Dscore" queryTableFieldId="11" dataDxfId="236"/>
    <tableColumn id="12" xr3:uid="{7118DF69-0123-5A43-ADE7-39BBDC96CE90}" uniqueName="12" name="cracow_PH_Escore" queryTableFieldId="12" dataDxfId="235"/>
    <tableColumn id="13" xr3:uid="{35ED6A98-1B5D-CF4D-A089-57322D3F6D56}" uniqueName="13" name="cracow_PH_Total_Score" queryTableFieldId="13" dataDxfId="234"/>
    <tableColumn id="14" xr3:uid="{0F5DF44F-D771-5C4A-AAA1-31760A4A2652}" uniqueName="14" name="gdansk_PH_Dscore" queryTableFieldId="14" dataDxfId="233"/>
    <tableColumn id="15" xr3:uid="{8839FC97-8BBE-F94B-AAA1-4B445F1FBD54}" uniqueName="15" name="gdansk_PH_Escore" queryTableFieldId="15" dataDxfId="232"/>
    <tableColumn id="16" xr3:uid="{92D748AC-DFC3-714C-9EF8-6EE697FA80DC}" uniqueName="16" name="gdansk_PH_Total_Score" queryTableFieldId="16" dataDxfId="231"/>
    <tableColumn id="17" xr3:uid="{B58639EA-FE4C-441A-B42E-3AC291606383}" uniqueName="17" name="Year_Dscore" queryTableFieldId="17" dataDxfId="230">
      <calculatedColumnFormula>LARGE(CHOOSE({1;2;3;4},F2,I2,L2,O2),1)+LARGE(CHOOSE({1;2;3;4},F2,I2,L2,O2),2)+LARGE(CHOOSE({1;2;3;4},F2,I2,L2,O2),3)</calculatedColumnFormula>
    </tableColumn>
    <tableColumn id="18" xr3:uid="{C090E31E-D6E1-476E-A8CF-B080F14EEB09}" uniqueName="18" name="Year_Escore" queryTableFieldId="18" dataDxfId="229">
      <calculatedColumnFormula>LARGE(CHOOSE({1;2;3;4},G2,J2,M2,P2),1)+LARGE(CHOOSE({1;2;3;4},G2,J2,M2,P2),2)+LARGE(CHOOSE({1;2;3;4},G2,J2,M2,P2),3)</calculatedColumnFormula>
    </tableColumn>
    <tableColumn id="19" xr3:uid="{A87E308F-6D73-45DA-ACA2-8C4E88584065}" uniqueName="19" name="Year_Total_Score" queryTableFieldId="19" dataDxfId="228">
      <calculatedColumnFormula>LARGE(CHOOSE({1;2;3;4},H2,K2,N2,Q2),1)+LARGE(CHOOSE({1;2;3;4},H2,K2,N2,Q2),2)+LARGE(CHOOSE({1;2;3;4},H2,K2,N2,Q2),3)</calculatedColumnFormula>
    </tableColumn>
    <tableColumn id="21" xr3:uid="{D11F7696-639E-445E-A6E4-76C476E43E01}" uniqueName="21" name="AVG_Dscore" queryTableFieldId="21" dataDxfId="227">
      <calculatedColumnFormula array="1">IF(PH[[#This Row],[Number_of_Competition]:[Number_of_Competition]]&gt;=3,(LARGE(CHOOSE({1;2;3;4},F2,I2,L2,O2),1)+LARGE(CHOOSE({1;2;3;4},F2,I2,L2,O2),2)+LARGE(CHOOSE({1;2;3;4},F2,I2,L2,O2),3))/3,0)</calculatedColumnFormula>
    </tableColumn>
    <tableColumn id="22" xr3:uid="{A763EEB7-1EDA-4091-B84F-29184E5985D0}" uniqueName="22" name="AVG_Escore" queryTableFieldId="22" dataDxfId="226">
      <calculatedColumnFormula array="1">IF(PH[[#This Row],[Number_of_Competition]:[Number_of_Competition]]&gt;=3,(LARGE(CHOOSE({1;2;3;4},G2,J2,M2,P2),1)+LARGE(CHOOSE({1;2;3;4},G2,J2,M2,P2),2)+LARGE(CHOOSE({1;2;3;4},G2,J2,M2,P2),3))/3,0)</calculatedColumnFormula>
    </tableColumn>
    <tableColumn id="23" xr3:uid="{AF77A6FC-4692-421A-8878-3E28A26C8C09}" uniqueName="23" name="AVG_Total_Score" queryTableFieldId="23" dataDxfId="225">
      <calculatedColumnFormula array="1">IF(PH[[#This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07EE07-84CC-7B4E-84EA-B22016B57721}" name="SR" displayName="SR" ref="A1:W50" tableType="queryTable" totalsRowShown="0" headerRowDxfId="23">
  <autoFilter ref="A1:W50" xr:uid="{D007EE07-84CC-7B4E-84EA-B22016B57721}"/>
  <sortState xmlns:xlrd2="http://schemas.microsoft.com/office/spreadsheetml/2017/richdata2" ref="A2:W50">
    <sortCondition descending="1" ref="B1:B50"/>
  </sortState>
  <tableColumns count="23">
    <tableColumn id="1" xr3:uid="{EB6D2421-C138-B14A-9DD8-7D4047987950}" uniqueName="1" name="Name" queryTableFieldId="1" dataDxfId="224"/>
    <tableColumn id="2" xr3:uid="{37342CE6-290B-8A45-9D45-79AC1BA67127}" uniqueName="2" name="Category" queryTableFieldId="2" dataDxfId="223"/>
    <tableColumn id="3" xr3:uid="{86128246-E006-2745-B1CF-09E2948F5C9C}" uniqueName="3" name="License_number" queryTableFieldId="3" dataDxfId="222"/>
    <tableColumn id="4" xr3:uid="{3B96582E-ACEC-F343-8B82-29FA241C414D}" uniqueName="4" name="Club" queryTableFieldId="4" dataDxfId="221"/>
    <tableColumn id="20" xr3:uid="{AFA3FC6C-9483-4490-8D9F-DEBAA1D29E1E}" uniqueName="20" name="Number_of_competition" queryTableFieldId="20" dataDxfId="220">
      <calculatedColumnFormula>COUNTIF(SR[[#This Row],[bydgoszcz_SR_Total_Score]],"&gt;0")+COUNTIF(SR[[#This Row],[zabrze_SR_Total_Score]],"&gt;0")+COUNTIF(SR[[#This Row],[cracow_SR_Total_Score]],"&gt;0")+COUNTIF(SR[[#This Row],[gdansk_SR_Total_Score]],"&gt;0")</calculatedColumnFormula>
    </tableColumn>
    <tableColumn id="5" xr3:uid="{FCDD0FEB-8D7C-2F4C-8460-66161B0BA33A}" uniqueName="5" name="bydgoszcz_SR_Dscore" queryTableFieldId="5" dataDxfId="219"/>
    <tableColumn id="6" xr3:uid="{11CEB3F5-1A64-3040-83BE-6982252C549E}" uniqueName="6" name="bydgoszcz_SR_Escore" queryTableFieldId="6" dataDxfId="218"/>
    <tableColumn id="7" xr3:uid="{7D1E967F-440D-1548-A9C7-0782F3FFAB30}" uniqueName="7" name="bydgoszcz_SR_Total_Score" queryTableFieldId="7" dataDxfId="217"/>
    <tableColumn id="8" xr3:uid="{EC40BB9B-6B56-8640-8EB1-A42F89DEEAE9}" uniqueName="8" name="zabrze_SR_Dscore" queryTableFieldId="8" dataDxfId="216"/>
    <tableColumn id="9" xr3:uid="{6B7D3B11-7FEB-1B4D-9442-7D47EEB700AD}" uniqueName="9" name="zabrze_SR_Escore" queryTableFieldId="9" dataDxfId="215"/>
    <tableColumn id="10" xr3:uid="{93BF8919-2C78-CF4C-90E5-57FC67520237}" uniqueName="10" name="zabrze_SR_Total_Score" queryTableFieldId="10" dataDxfId="214"/>
    <tableColumn id="11" xr3:uid="{08D8876D-E203-9A4A-BD7D-60E0252C5408}" uniqueName="11" name="cracow_SR_Dscore" queryTableFieldId="11" dataDxfId="213"/>
    <tableColumn id="12" xr3:uid="{60244EE4-0FE7-1045-85C4-DAE6E6F0BC53}" uniqueName="12" name="cracow_SR_Escore" queryTableFieldId="12" dataDxfId="212"/>
    <tableColumn id="13" xr3:uid="{C30E60FF-D2E8-EF45-B1AD-E0623FB247A1}" uniqueName="13" name="cracow_SR_Total_Score" queryTableFieldId="13" dataDxfId="211"/>
    <tableColumn id="14" xr3:uid="{D4B00F79-4355-6443-BF5C-CD36F8D82DE8}" uniqueName="14" name="gdansk_SR_Dscore" queryTableFieldId="14" dataDxfId="210"/>
    <tableColumn id="15" xr3:uid="{CC279C9B-5B38-1F4B-AD51-AE8030391AFE}" uniqueName="15" name="gdansk_SR_Escore" queryTableFieldId="15" dataDxfId="209"/>
    <tableColumn id="16" xr3:uid="{50B84155-A296-AE43-AD04-C130CEABC1A3}" uniqueName="16" name="gdansk_SR_Total_Score" queryTableFieldId="16" dataDxfId="208"/>
    <tableColumn id="17" xr3:uid="{112A8C0B-3D30-4EEF-876A-7668BC04B941}" uniqueName="17" name="Year_Dscore" queryTableFieldId="17" dataDxfId="207">
      <calculatedColumnFormula>LARGE(CHOOSE({1;2;3;4},F2,I2,L2,O2),1)+LARGE(CHOOSE({1;2;3;4},F2,I2,L2,O2),2)+LARGE(CHOOSE({1;2;3;4},F2,I2,L2,O2),3)</calculatedColumnFormula>
    </tableColumn>
    <tableColumn id="18" xr3:uid="{73406CF7-5261-4CBB-8027-D20E1F1F231E}" uniqueName="18" name="Year_Escore" queryTableFieldId="18" dataDxfId="206">
      <calculatedColumnFormula>LARGE(CHOOSE({1;2;3;4},G2,J2,M2,P2),1)+LARGE(CHOOSE({1;2;3;4},G2,J2,M2,P2),2)+LARGE(CHOOSE({1;2;3;4},G2,J2,M2,P2),3)</calculatedColumnFormula>
    </tableColumn>
    <tableColumn id="19" xr3:uid="{487DDE6D-AF2F-4B62-83C9-4889B9445462}" uniqueName="19" name="Year_Total_Score" queryTableFieldId="19" dataDxfId="205">
      <calculatedColumnFormula>LARGE(CHOOSE({1;2;3;4},H2,K2,N2,Q2),1)+LARGE(CHOOSE({1;2;3;4},H2,K2,N2,Q2),2)+LARGE(CHOOSE({1;2;3;4},H2,K2,N2,Q2),3)</calculatedColumnFormula>
    </tableColumn>
    <tableColumn id="21" xr3:uid="{13202469-7827-4CAA-8A85-4FD943650438}" uniqueName="21" name="AVG_Dscore" queryTableFieldId="21" dataDxfId="204">
      <calculatedColumnFormula array="1">IF(SR[[#This Row],[Number_of_competition]:[Number_of_competition]]&gt;=3,(LARGE(CHOOSE({1;2;3;4},F2,I2,L2,O2),1)+LARGE(CHOOSE({1;2;3;4},F2,I2,L2,O2),2)+LARGE(CHOOSE({1;2;3;4},F2,I2,L2,O2),3))/3,0)</calculatedColumnFormula>
    </tableColumn>
    <tableColumn id="22" xr3:uid="{AB1F8FC2-25E7-4B3B-9805-06D325F7CC8F}" uniqueName="22" name="AVG_Escore" queryTableFieldId="22" dataDxfId="203">
      <calculatedColumnFormula array="1">IF(SR[[#This Row],[Number_of_competition]:[Number_of_competition]]&gt;=3,(LARGE(CHOOSE({1;2;3;4},G2,J2,M2,P2),1)+LARGE(CHOOSE({1;2;3;4},G2,J2,M2,P2),2)+LARGE(CHOOSE({1;2;3;4},G2,J2,M2,P2),3))/3,0)</calculatedColumnFormula>
    </tableColumn>
    <tableColumn id="23" xr3:uid="{1CF24C0F-43C0-4D99-900A-4E354BE639C0}" uniqueName="23" name="AVG_Total_Score" queryTableFieldId="23" dataDxfId="202">
      <calculatedColumnFormula array="1">IF(SR[[#This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1F2835-DFA8-F44F-8380-44C9A7536605}" name="VT" displayName="VT" ref="A1:W47" tableType="queryTable" totalsRowShown="0" headerRowDxfId="24">
  <autoFilter ref="A1:W47" xr:uid="{591F2835-DFA8-F44F-8380-44C9A7536605}"/>
  <sortState xmlns:xlrd2="http://schemas.microsoft.com/office/spreadsheetml/2017/richdata2" ref="A2:W47">
    <sortCondition descending="1" ref="T1:T47"/>
  </sortState>
  <tableColumns count="23">
    <tableColumn id="1" xr3:uid="{B6AAD714-A501-7348-A33C-A04D11E38258}" uniqueName="1" name="Name" queryTableFieldId="1" dataDxfId="201"/>
    <tableColumn id="2" xr3:uid="{98D3A558-388C-F648-9635-8E7433ADACF8}" uniqueName="2" name="Category" queryTableFieldId="2" dataDxfId="200"/>
    <tableColumn id="3" xr3:uid="{123B584A-BBD0-204D-8D85-977915DD0710}" uniqueName="3" name="License_number" queryTableFieldId="3" dataDxfId="199"/>
    <tableColumn id="4" xr3:uid="{F7DF8B1F-4210-0345-9545-5C5AE9BF83D6}" uniqueName="4" name="Club" queryTableFieldId="4" dataDxfId="198"/>
    <tableColumn id="20" xr3:uid="{EFEFBEAF-2664-4765-8A88-8ABB79EAB8AA}" uniqueName="20" name="Number_of_competition" queryTableFieldId="20" dataDxfId="197">
      <calculatedColumnFormula>COUNTIF(VT[[#This Row],[bydgoszcz_VT_Total_Score]],"&gt;0")+COUNTIF(VT[[#This Row],[zabrze_VT_Total_Score]],"&gt;0")+COUNTIF(VT[[#This Row],[cracow_VT_Total_Score]],"&gt;0")+COUNTIF(VT[[#This Row],[gdansk_VT_Total_Score]],"&gt;0")</calculatedColumnFormula>
    </tableColumn>
    <tableColumn id="5" xr3:uid="{9F7B0165-EDC2-F24A-B268-A418F625EE6B}" uniqueName="5" name="bydgoszcz_VT_Dscore" queryTableFieldId="5" dataDxfId="196"/>
    <tableColumn id="6" xr3:uid="{987E2050-C5D3-B448-8EF9-2F24983F67D1}" uniqueName="6" name="bydgoszcz_VT_Escore" queryTableFieldId="6" dataDxfId="195"/>
    <tableColumn id="7" xr3:uid="{BFAA8403-61F7-9E4F-92FE-09B77D43355E}" uniqueName="7" name="bydgoszcz_VT_Total_Score" queryTableFieldId="7" dataDxfId="194"/>
    <tableColumn id="8" xr3:uid="{FF0CBF34-ACEE-3145-8600-6614822AB652}" uniqueName="8" name="zabrze_VT_Dscore" queryTableFieldId="8" dataDxfId="193"/>
    <tableColumn id="9" xr3:uid="{0604AC77-7E80-2440-83F0-794B9664A311}" uniqueName="9" name="zabrze_VT_Escore" queryTableFieldId="9" dataDxfId="192"/>
    <tableColumn id="10" xr3:uid="{BA713723-45AE-2E4D-A858-616B27B20426}" uniqueName="10" name="zabrze_VT_Total_Score" queryTableFieldId="10" dataDxfId="191"/>
    <tableColumn id="11" xr3:uid="{5DF709CE-C565-1A42-A47F-F290F12C0F92}" uniqueName="11" name="cracow_VT_Dscore" queryTableFieldId="11" dataDxfId="190"/>
    <tableColumn id="12" xr3:uid="{2BB5C740-F563-784B-AB18-CD9BD7ED2D87}" uniqueName="12" name="cracow_VT_Escore" queryTableFieldId="12" dataDxfId="189"/>
    <tableColumn id="13" xr3:uid="{159BD27C-ADAB-4940-9546-229AD90E300B}" uniqueName="13" name="cracow_VT_Total_Score" queryTableFieldId="13" dataDxfId="188"/>
    <tableColumn id="14" xr3:uid="{9F687C54-B725-A54B-A67B-D5D9AB727838}" uniqueName="14" name="gdansk_VT_Dscore" queryTableFieldId="14" dataDxfId="187"/>
    <tableColumn id="15" xr3:uid="{F8C77C6A-AF5D-654C-A2FC-B80E44781482}" uniqueName="15" name="gdansk_VT_Escore" queryTableFieldId="15" dataDxfId="186"/>
    <tableColumn id="16" xr3:uid="{80E72C88-EEE6-D146-985F-2057B0890E8C}" uniqueName="16" name="gdansk_VT_Total_Score" queryTableFieldId="16" dataDxfId="185"/>
    <tableColumn id="17" xr3:uid="{1617B48F-600A-4EBC-AC73-22CFB8A5464F}" uniqueName="17" name="Year_Dscore" queryTableFieldId="17" dataDxfId="184">
      <calculatedColumnFormula>LARGE(CHOOSE({1;2;3;4},F2,I2,L2,O2),1)+LARGE(CHOOSE({1;2;3;4},F2,I2,L2,O2),2)+LARGE(CHOOSE({1;2;3;4},F2,I2,L2,O2),3)</calculatedColumnFormula>
    </tableColumn>
    <tableColumn id="18" xr3:uid="{088E2620-1800-4949-8B57-EE0C697B7E13}" uniqueName="18" name="Year_Escore" queryTableFieldId="18" dataDxfId="183">
      <calculatedColumnFormula>LARGE(CHOOSE({1;2;3;4},G2,J2,M2,P2),1)+LARGE(CHOOSE({1;2;3;4},G2,J2,M2,P2),2)+LARGE(CHOOSE({1;2;3;4},G2,J2,M2,P2),3)</calculatedColumnFormula>
    </tableColumn>
    <tableColumn id="19" xr3:uid="{1FB78A03-64E5-42A2-9888-7016D4820DCA}" uniqueName="19" name="Year_Total_Score" queryTableFieldId="19" dataDxfId="182">
      <calculatedColumnFormula>LARGE(CHOOSE({1;2;3;4},H2,K2,N2,Q2),1)+LARGE(CHOOSE({1;2;3;4},H2,K2,N2,Q2),2)+LARGE(CHOOSE({1;2;3;4},H2,K2,N2,Q2),3)</calculatedColumnFormula>
    </tableColumn>
    <tableColumn id="21" xr3:uid="{CCD0C4BA-837A-441D-A870-0467B5ADA1E3}" uniqueName="21" name="AVG_Dscore" queryTableFieldId="21" dataDxfId="181">
      <calculatedColumnFormula array="1">IF(VT[[#This Row],[Number_of_competition]:[Number_of_competition]]&gt;=3,(LARGE(CHOOSE({1;2;3;4},F2,I2,L2,O2),1)+LARGE(CHOOSE({1;2;3;4},F2,I2,L2,O2),2)+LARGE(CHOOSE({1;2;3;4},F2,I2,L2,O2),3))/3,0)</calculatedColumnFormula>
    </tableColumn>
    <tableColumn id="22" xr3:uid="{DF274032-E425-42A4-8814-8DEE9D0FD818}" uniqueName="22" name="AVG_Escore" queryTableFieldId="22" dataDxfId="180">
      <calculatedColumnFormula array="1">IF(VT[[#This Row],[Number_of_competition]:[Number_of_competition]]&gt;=3,(LARGE(CHOOSE({1;2;3;4},G2,J2,M2,P2),1)+LARGE(CHOOSE({1;2;3;4},G2,J2,M2,P2),2)+LARGE(CHOOSE({1;2;3;4},G2,J2,M2,P2),3))/3,0)</calculatedColumnFormula>
    </tableColumn>
    <tableColumn id="23" xr3:uid="{4AEDF52D-67D8-41AF-B480-B7AC56BA2803}" uniqueName="23" name="AVG_Total_Score" queryTableFieldId="23" dataDxfId="179">
      <calculatedColumnFormula array="1">IF(VT[[#This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D2853D7-6AD4-A841-BECF-83741FEEBC56}" name="PB" displayName="PB" ref="A1:W44" tableType="queryTable" totalsRowShown="0" headerRowDxfId="26">
  <autoFilter ref="A1:W44" xr:uid="{FD2853D7-6AD4-A841-BECF-83741FEEBC56}"/>
  <sortState xmlns:xlrd2="http://schemas.microsoft.com/office/spreadsheetml/2017/richdata2" ref="A2:W44">
    <sortCondition descending="1" ref="T1:T44"/>
  </sortState>
  <tableColumns count="23">
    <tableColumn id="1" xr3:uid="{BCAA8DE8-7EF2-C64E-B372-C617BED098CE}" uniqueName="1" name="Name" queryTableFieldId="1" dataDxfId="178"/>
    <tableColumn id="2" xr3:uid="{6AAB8C7D-D51B-6545-A274-D87F75188B29}" uniqueName="2" name="Category" queryTableFieldId="2" dataDxfId="177"/>
    <tableColumn id="3" xr3:uid="{F966E1F3-5E71-9248-B1AD-88EDADE9EDA7}" uniqueName="3" name="License_number" queryTableFieldId="3" dataDxfId="176"/>
    <tableColumn id="4" xr3:uid="{3FA73C82-8F5D-4442-AD06-AB5F7DEE31A0}" uniqueName="4" name="Club" queryTableFieldId="4" dataDxfId="175"/>
    <tableColumn id="20" xr3:uid="{870CC6DC-D96A-49E3-AF0C-4532DE16AB63}" uniqueName="20" name="Number_of_competition" queryTableFieldId="20" dataDxfId="174">
      <calculatedColumnFormula>COUNTIF(PB[[#This Row],[bydgoszcz_PB_Total_Score]],"&gt;0")+COUNTIF(PB[[#This Row],[zabrze_PB_Total_Score]],"&gt;0")+COUNTIF(PB[[#This Row],[cracow_PB_Total_Score]],"&gt;0")+COUNTIF(PB[[#This Row],[gdansk_PB_Total_Score]],"&gt;0")</calculatedColumnFormula>
    </tableColumn>
    <tableColumn id="5" xr3:uid="{695E32C0-5CCF-1A48-90B9-CAB3AF69B3C0}" uniqueName="5" name="bydgoszcz_PB_Dscore" queryTableFieldId="5" dataDxfId="173"/>
    <tableColumn id="6" xr3:uid="{30DB2D00-3B9E-304E-B5A7-A44CFB062132}" uniqueName="6" name="bydgoszcz_PB_Escore" queryTableFieldId="6" dataDxfId="172"/>
    <tableColumn id="7" xr3:uid="{3B223C99-B31A-9E4B-9F67-81DC981949CE}" uniqueName="7" name="bydgoszcz_PB_Total_Score" queryTableFieldId="7" dataDxfId="171"/>
    <tableColumn id="8" xr3:uid="{4EFE994A-C624-B54E-A636-D66BE7AA5BB7}" uniqueName="8" name="zabrze_PB_Dscore" queryTableFieldId="8" dataDxfId="170"/>
    <tableColumn id="9" xr3:uid="{75027F42-FF73-A34A-A8E8-13047A2E576E}" uniqueName="9" name="zabrze_PB_Escore" queryTableFieldId="9" dataDxfId="169"/>
    <tableColumn id="10" xr3:uid="{5627778F-AB08-7542-8A9E-7482A86CE6E0}" uniqueName="10" name="zabrze_PB_Total_Score" queryTableFieldId="10" dataDxfId="168"/>
    <tableColumn id="11" xr3:uid="{37E1FBF6-F764-8744-A34E-E9324EDA60C2}" uniqueName="11" name="cracow_PB_Dscore" queryTableFieldId="11" dataDxfId="167"/>
    <tableColumn id="12" xr3:uid="{B00109C0-F443-4248-948E-4E95DD03A861}" uniqueName="12" name="cracow_PB_Escore" queryTableFieldId="12" dataDxfId="166"/>
    <tableColumn id="13" xr3:uid="{CCD79A67-CA54-6947-A47B-EF0A0456B7DE}" uniqueName="13" name="cracow_PB_Total_Score" queryTableFieldId="13" dataDxfId="165"/>
    <tableColumn id="14" xr3:uid="{E40B1FF8-5A58-7D49-BEF0-71B5127DBC85}" uniqueName="14" name="gdansk_PB_Dscore" queryTableFieldId="14" dataDxfId="164"/>
    <tableColumn id="15" xr3:uid="{E750D959-B3C9-D84B-BCD8-A4CF3002B524}" uniqueName="15" name="gdansk_PB_Escore" queryTableFieldId="15" dataDxfId="163"/>
    <tableColumn id="16" xr3:uid="{42A86E68-FD67-004B-837D-1AC217350FF2}" uniqueName="16" name="gdansk_PB_Total_Score" queryTableFieldId="16" dataDxfId="162"/>
    <tableColumn id="17" xr3:uid="{32F28E33-D86E-4DBD-BEB6-E67D7A2BB485}" uniqueName="17" name="Year_Dscore" queryTableFieldId="17" dataDxfId="161">
      <calculatedColumnFormula>LARGE(CHOOSE({1;2;3;4},F2,I2,L2,O2),1)+LARGE(CHOOSE({1;2;3;4},F2,I2,L2,O2),2)+LARGE(CHOOSE({1;2;3;4},F2,I2,L2,O2),3)</calculatedColumnFormula>
    </tableColumn>
    <tableColumn id="18" xr3:uid="{4EB6D231-EEAD-4C6F-B3E5-C1A4D1951846}" uniqueName="18" name="Year_Escore" queryTableFieldId="18" dataDxfId="160">
      <calculatedColumnFormula>LARGE(CHOOSE({1;2;3;4},G2,J2,M2,P2),1)+LARGE(CHOOSE({1;2;3;4},G2,J2,M2,P2),2)+LARGE(CHOOSE({1;2;3;4},G2,J2,M2,P2),3)</calculatedColumnFormula>
    </tableColumn>
    <tableColumn id="19" xr3:uid="{5396106B-86EA-4BE3-8881-6E7B71FD2BA6}" uniqueName="19" name="Year_Total_Score" queryTableFieldId="19" dataDxfId="159">
      <calculatedColumnFormula>LARGE(CHOOSE({1;2;3;4},H2,K2,N2,Q2),1)+LARGE(CHOOSE({1;2;3;4},H2,K2,N2,Q2),2)+LARGE(CHOOSE({1;2;3;4},H2,K2,N2,Q2),3)</calculatedColumnFormula>
    </tableColumn>
    <tableColumn id="21" xr3:uid="{684712DE-4D92-4B5F-871B-82A0AAF11C6D}" uniqueName="21" name="AVG_Dscore" queryTableFieldId="21" dataDxfId="158">
      <calculatedColumnFormula array="1">IF(PB[[#This Row],[Number_of_competition]:[Number_of_competition]]&gt;=3,(LARGE(CHOOSE({1;2;3;4},F2,I2,L2,O2),1)+LARGE(CHOOSE({1;2;3;4},F2,I2,L2,O2),2)+LARGE(CHOOSE({1;2;3;4},F2,I2,L2,O2),3))/3,0)</calculatedColumnFormula>
    </tableColumn>
    <tableColumn id="22" xr3:uid="{DF92B2AB-6C59-4F07-AD55-057149CB2E7D}" uniqueName="22" name="AVG_Escore" queryTableFieldId="22" dataDxfId="157">
      <calculatedColumnFormula array="1">IF(PB[[#This Row],[Number_of_competition]:[Number_of_competition]]&gt;=3,(LARGE(CHOOSE({1;2;3;4},G2,J2,M2,P2),1)+LARGE(CHOOSE({1;2;3;4},G2,J2,M2,P2),2)+LARGE(CHOOSE({1;2;3;4},G2,J2,M2,P2),3))/3,0)</calculatedColumnFormula>
    </tableColumn>
    <tableColumn id="23" xr3:uid="{4A1AD3B8-70BD-4E7D-B105-9E207132AA6D}" uniqueName="23" name="AVG_Total_Score" queryTableFieldId="23" dataDxfId="156">
      <calculatedColumnFormula array="1">IF(PB[[#This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8EAAC10-84DF-8F4D-A0F4-7424881ECDC6}" name="HB" displayName="HB" ref="A1:W38" tableType="queryTable" totalsRowShown="0" headerRowDxfId="27">
  <autoFilter ref="A1:W38" xr:uid="{C8EAAC10-84DF-8F4D-A0F4-7424881ECDC6}"/>
  <sortState xmlns:xlrd2="http://schemas.microsoft.com/office/spreadsheetml/2017/richdata2" ref="A2:W38">
    <sortCondition descending="1" ref="T1:T38"/>
  </sortState>
  <tableColumns count="23">
    <tableColumn id="1" xr3:uid="{1E116091-E979-0645-88B8-9B299AA3C57D}" uniqueName="1" name="Name" queryTableFieldId="1" dataDxfId="155"/>
    <tableColumn id="2" xr3:uid="{49FAF6DA-0543-3D4D-996B-366F435D4D70}" uniqueName="2" name="Category" queryTableFieldId="2" dataDxfId="154"/>
    <tableColumn id="3" xr3:uid="{24CF4EB5-C02C-4C4C-9E90-184E349070A4}" uniqueName="3" name="License_number" queryTableFieldId="3" dataDxfId="153"/>
    <tableColumn id="4" xr3:uid="{9B6608D9-1229-B443-AEDB-6DCEEBB87554}" uniqueName="4" name="Club" queryTableFieldId="4" dataDxfId="152"/>
    <tableColumn id="20" xr3:uid="{EED55D62-E844-4C06-907D-C7A111D362B1}" uniqueName="20" name="Number_of_competition" queryTableFieldId="20" dataDxfId="151">
      <calculatedColumnFormula>COUNTIF(HB[[#This Row],[bydgoszcz_HB_Total_Score]],"&gt;0")+COUNTIF(HB[[#This Row],[zabrze_HB_Total_Score]],"&gt;0")+COUNTIF(HB[[#This Row],[cracow_HB_Total_Score]],"&gt;0")+COUNTIF(HB[[#This Row],[gdansk_HB_Total_Score]],"&gt;0")</calculatedColumnFormula>
    </tableColumn>
    <tableColumn id="5" xr3:uid="{157F9BAB-0136-4047-89EC-BC8DE4CC0103}" uniqueName="5" name="bydgoszcz_HB_Dscore" queryTableFieldId="5" dataDxfId="150"/>
    <tableColumn id="6" xr3:uid="{FC6348D3-D897-C041-8ACF-E1ECC10F58C8}" uniqueName="6" name="bydgoszcz_HB_Escore" queryTableFieldId="6" dataDxfId="149"/>
    <tableColumn id="7" xr3:uid="{3093269C-4D0D-2242-A594-92540FB0238A}" uniqueName="7" name="bydgoszcz_HB_Total_Score" queryTableFieldId="7" dataDxfId="148"/>
    <tableColumn id="8" xr3:uid="{97E82084-D6B0-8A4F-A030-915EEC90702E}" uniqueName="8" name="zabrze_HB_Dscore" queryTableFieldId="8" dataDxfId="147"/>
    <tableColumn id="9" xr3:uid="{D1AD8D2B-AD9F-7540-9E2F-CF5A68846805}" uniqueName="9" name="zabrze_HB_Escore" queryTableFieldId="9" dataDxfId="146"/>
    <tableColumn id="10" xr3:uid="{62BF83BA-B69A-AA4D-AFC1-4667DFA3092C}" uniqueName="10" name="zabrze_HB_Total_Score" queryTableFieldId="10" dataDxfId="145"/>
    <tableColumn id="11" xr3:uid="{96EEEAD8-C52E-9A4B-A665-DED100EBB512}" uniqueName="11" name="cracow_HB_Dscore" queryTableFieldId="11" dataDxfId="144"/>
    <tableColumn id="12" xr3:uid="{18A70C88-1ECF-C04E-8BE8-C7004C7778E3}" uniqueName="12" name="cracow_HB_Escore" queryTableFieldId="12" dataDxfId="143"/>
    <tableColumn id="13" xr3:uid="{C176C76E-A612-BA4F-9761-C2C623DDE305}" uniqueName="13" name="cracow_HB_Total_Score" queryTableFieldId="13" dataDxfId="142"/>
    <tableColumn id="14" xr3:uid="{A0A4733B-552E-1E4A-BA3C-37FE45072D40}" uniqueName="14" name="gdansk_HB_Dscore" queryTableFieldId="14" dataDxfId="141"/>
    <tableColumn id="15" xr3:uid="{EA262771-C41D-3E4D-AAAD-7C9E4E51FE19}" uniqueName="15" name="gdansk_HB_Escore" queryTableFieldId="15" dataDxfId="140"/>
    <tableColumn id="16" xr3:uid="{B55F2D13-143F-264E-902E-2D77258D1DAE}" uniqueName="16" name="gdansk_HB_Total_Score" queryTableFieldId="16" dataDxfId="139"/>
    <tableColumn id="17" xr3:uid="{A5E80B74-8F81-43B5-B4C5-FC8BC9E8E3B3}" uniqueName="17" name="Year_Dscore" queryTableFieldId="17" dataDxfId="138">
      <calculatedColumnFormula>LARGE(CHOOSE({1;2;3;4},F2,I2,L2,O2),1)+LARGE(CHOOSE({1;2;3;4},F2,I2,L2,O2),2)+LARGE(CHOOSE({1;2;3;4},F2,I2,L2,O2),3)</calculatedColumnFormula>
    </tableColumn>
    <tableColumn id="18" xr3:uid="{39D7CD39-3334-49DA-ABC4-4FFA80D0637F}" uniqueName="18" name="Year_Escore" queryTableFieldId="18" dataDxfId="137">
      <calculatedColumnFormula>LARGE(CHOOSE({1;2;3;4},G2,J2,M2,P2),1)+LARGE(CHOOSE({1;2;3;4},G2,J2,M2,P2),2)+LARGE(CHOOSE({1;2;3;4},G2,J2,M2,P2),3)</calculatedColumnFormula>
    </tableColumn>
    <tableColumn id="19" xr3:uid="{FEE1AAD2-8FCC-4C4A-BE44-676D38EF742E}" uniqueName="19" name="Year_Total_Score" queryTableFieldId="19" dataDxfId="136">
      <calculatedColumnFormula>LARGE(CHOOSE({1;2;3;4},H2,K2,N2,Q2),1)+LARGE(CHOOSE({1;2;3;4},H2,K2,N2,Q2),2)+LARGE(CHOOSE({1;2;3;4},H2,K2,N2,Q2),3)</calculatedColumnFormula>
    </tableColumn>
    <tableColumn id="21" xr3:uid="{61725513-E208-483D-9E00-80EBC676E25A}" uniqueName="21" name="AVG_Dscore" queryTableFieldId="21" dataDxfId="135">
      <calculatedColumnFormula array="1">IF(HB[[#This Row],[Number_of_competition]:[Number_of_competition]]&gt;=3,(LARGE(CHOOSE({1;2;3;4},F2,I2,L2,O2),1)+LARGE(CHOOSE({1;2;3;4},F2,I2,L2,O2),2)+LARGE(CHOOSE({1;2;3;4},F2,I2,L2,O2),3))/3,0)</calculatedColumnFormula>
    </tableColumn>
    <tableColumn id="22" xr3:uid="{04526E81-6DF5-4983-A373-4C62415A36C9}" uniqueName="22" name="AVG_Escore" queryTableFieldId="22" dataDxfId="134">
      <calculatedColumnFormula array="1">IF(HB[[#This Row],[Number_of_competition]:[Number_of_competition]]&gt;=3,(LARGE(CHOOSE({1;2;3;4},G2,J2,M2,P2),1)+LARGE(CHOOSE({1;2;3;4},G2,J2,M2,P2),2)+LARGE(CHOOSE({1;2;3;4},G2,J2,M2,P2),3))/3,0)</calculatedColumnFormula>
    </tableColumn>
    <tableColumn id="23" xr3:uid="{8B8CF932-0A8E-4DB8-A050-BCD410A50E3E}" uniqueName="23" name="AVG_Total_Score" queryTableFieldId="23" dataDxfId="133">
      <calculatedColumnFormula array="1">IF(HB[[#This Row],[Number_of_competition]:[Number_of_competition]]&gt;=3,(LARGE(CHOOSE({1;2;3;4},H2,K2,N2,Q2),1)+LARGE(CHOOSE({1;2;3;4},H2,K2,N2,Q2),2)+LARGE(CHOOSE({1;2;3;4},H2,K2,N2,Q2),3))/3,0)</calculatedColumn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7E0C30-8415-7D42-883F-1E95844C8968}" name="AA" displayName="AA" ref="A1:CU53" tableType="queryTable" totalsRowShown="0" headerRowDxfId="25">
  <autoFilter ref="A1:CU53" xr:uid="{D37E0C30-8415-7D42-883F-1E95844C8968}"/>
  <sortState xmlns:xlrd2="http://schemas.microsoft.com/office/spreadsheetml/2017/richdata2" ref="A2:CU53">
    <sortCondition descending="1" ref="CP1:CP53"/>
  </sortState>
  <tableColumns count="99">
    <tableColumn id="1" xr3:uid="{A0F4C68C-3BEF-7E4A-A42F-1E38B556A383}" uniqueName="1" name="Name" queryTableFieldId="1" dataDxfId="132"/>
    <tableColumn id="2" xr3:uid="{4BEFB37D-97B6-894C-8A45-2F1B5E4B5AFE}" uniqueName="2" name="Category" queryTableFieldId="2" dataDxfId="131"/>
    <tableColumn id="3" xr3:uid="{3CFB3DCC-D4B7-9340-BC94-20D6F91F7972}" uniqueName="3" name="License_number" queryTableFieldId="3" dataDxfId="130"/>
    <tableColumn id="4" xr3:uid="{08ED55EB-4D1E-6C46-87CC-B170E48C99ED}" uniqueName="4" name="Club" queryTableFieldId="4" dataDxfId="37"/>
    <tableColumn id="77" xr3:uid="{FA86B38A-1A8D-4527-BAAB-D1675E4F960E}" uniqueName="77" name="All around competition" queryTableFieldId="100" dataDxfId="36">
      <calculatedColumnFormula>SUM(COUNTIF(AA[[#This Row],[Bydgoszcz_all_around]],"Yes"),COUNTIF(AA[[#This Row],[Zabrze_all_around]],"Yes"),COUNTIF(AA[[#This Row],[Cracow_all_around]],"Yes"),COUNTIF(AA[[#This Row],[Gdansk_all_Around]],"Yes"))</calculatedColumnFormula>
    </tableColumn>
    <tableColumn id="5" xr3:uid="{E33AF2BB-2DAB-6F4C-A93A-E573F92916BD}" uniqueName="5" name="bydgoszcz_FX_Dscore" queryTableFieldId="5" dataDxfId="129"/>
    <tableColumn id="6" xr3:uid="{E2B97CE5-12A1-9F4C-A91A-655D47B6F2E0}" uniqueName="6" name="bydgoszcz_FX_Escore" queryTableFieldId="6" dataDxfId="128"/>
    <tableColumn id="7" xr3:uid="{01FD4BC6-572C-F441-8637-23CFE6BA5E47}" uniqueName="7" name="bydgoszcz_FX_Total_Score" queryTableFieldId="7" dataDxfId="127"/>
    <tableColumn id="8" xr3:uid="{B4CBA0C5-BA6A-F847-AC45-5FB0354C3BFF}" uniqueName="8" name="bydgoszcz_PH_Dscore" queryTableFieldId="8" dataDxfId="126"/>
    <tableColumn id="9" xr3:uid="{FCCB6C63-BB79-3F44-9F30-9105E95F358B}" uniqueName="9" name="bydgoszcz_PH_Escore" queryTableFieldId="9" dataDxfId="125"/>
    <tableColumn id="10" xr3:uid="{AC4DE782-3E5B-7641-BD43-1464D89DCDCF}" uniqueName="10" name="bydgoszcz_PH_Total_Score" queryTableFieldId="10" dataDxfId="124"/>
    <tableColumn id="11" xr3:uid="{4D3722BB-67B5-814C-983E-AEE35198FBAC}" uniqueName="11" name="bydgoszcz_SR_Dscore" queryTableFieldId="11" dataDxfId="123"/>
    <tableColumn id="12" xr3:uid="{49948A06-D778-6441-A574-511B31359583}" uniqueName="12" name="bydgoszcz_SR_Escore" queryTableFieldId="12" dataDxfId="122"/>
    <tableColumn id="13" xr3:uid="{9907086A-7622-2C42-AD33-532BD2B482FB}" uniqueName="13" name="bydgoszcz_SR_Total_Score" queryTableFieldId="13" dataDxfId="121"/>
    <tableColumn id="14" xr3:uid="{639D6BB7-0E5F-5A45-B1E4-48E77C22817C}" uniqueName="14" name="bydgoszcz_VT_Dscore" queryTableFieldId="14" dataDxfId="120"/>
    <tableColumn id="15" xr3:uid="{A4EB8499-89DB-AA4B-867A-BA4D1BCEF6CE}" uniqueName="15" name="bydgoszcz_VT_Escore" queryTableFieldId="15" dataDxfId="119"/>
    <tableColumn id="16" xr3:uid="{B2A6733B-66DD-2C4B-AD98-BDE3C38AB42C}" uniqueName="16" name="bydgoszcz_VT_Total_Score" queryTableFieldId="16" dataDxfId="118"/>
    <tableColumn id="17" xr3:uid="{AB11FBCF-EB0E-0942-A0C9-0FAE991E53F5}" uniqueName="17" name="bydgoszcz_PB_Dscore" queryTableFieldId="17" dataDxfId="117"/>
    <tableColumn id="18" xr3:uid="{8D9A1FE4-85CB-6D4E-9A38-3496B963CA84}" uniqueName="18" name="bydgoszcz_PB_Escore" queryTableFieldId="18" dataDxfId="116"/>
    <tableColumn id="19" xr3:uid="{6BC14334-BE5F-6847-BD2B-B2D5F71E53EA}" uniqueName="19" name="bydgoszcz_PB_Total_Score" queryTableFieldId="19" dataDxfId="115"/>
    <tableColumn id="20" xr3:uid="{5D5B8006-1F07-8049-96A9-E87B322D3969}" uniqueName="20" name="bydgoszcz_HB_Dscore" queryTableFieldId="20" dataDxfId="114"/>
    <tableColumn id="21" xr3:uid="{9AA1D85F-C429-124B-920B-BCDA1796B838}" uniqueName="21" name="bydgoszcz_HB_Escore" queryTableFieldId="21" dataDxfId="113"/>
    <tableColumn id="22" xr3:uid="{84769130-5142-7340-91CA-97857F4489BC}" uniqueName="22" name="bydgoszcz_HB_Total_Score" queryTableFieldId="22" dataDxfId="112"/>
    <tableColumn id="92" xr3:uid="{0083EFF3-AB01-4A93-8481-54F7B242A2A5}" uniqueName="92" name="bydgoszcz_DScore" queryTableFieldId="87" dataDxfId="111">
      <calculatedColumnFormula>SUM(F2,I2,L2,O2,R2,U2)</calculatedColumnFormula>
    </tableColumn>
    <tableColumn id="91" xr3:uid="{91AB8CE3-F17D-4E1B-AC16-B8523F7C44F7}" uniqueName="91" name="bydgoszcz_Escore" queryTableFieldId="86" dataDxfId="110">
      <calculatedColumnFormula>SUM(G2,J2,M2,P2,S2,V2)</calculatedColumnFormula>
    </tableColumn>
    <tableColumn id="79" xr3:uid="{07ACE350-A455-4FE4-BE26-8F06B6A009FA}" uniqueName="79" name="bydgoszcz_Total_Score" queryTableFieldId="78" dataDxfId="109">
      <calculatedColumnFormula>SUM(H2,K2,N2,Q2,T2,W2)</calculatedColumnFormula>
    </tableColumn>
    <tableColumn id="78" xr3:uid="{608F0400-8541-4BC2-B29F-8CF131954EE5}" uniqueName="78" name="Bydgoszcz_all_around" queryTableFieldId="101" dataDxfId="31">
      <calculatedColumnFormula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calculatedColumnFormula>
    </tableColumn>
    <tableColumn id="23" xr3:uid="{596863DF-F675-2D40-BE7C-4B39A45F4BCD}" uniqueName="23" name="zabrze_FX_Dscore" queryTableFieldId="23" dataDxfId="108"/>
    <tableColumn id="24" xr3:uid="{48CEC38E-9058-D245-A585-5549DC93ACA0}" uniqueName="24" name="zabrze_FX_Escore" queryTableFieldId="24" dataDxfId="107"/>
    <tableColumn id="25" xr3:uid="{D5FA8146-DF9E-484E-8200-1B59B79C2FBB}" uniqueName="25" name="zabrze_FX_Total_Score" queryTableFieldId="25" dataDxfId="106"/>
    <tableColumn id="26" xr3:uid="{EF1BA7E4-C170-854E-9CE7-115B3BE3A72B}" uniqueName="26" name="zabrze_PH_Dscore" queryTableFieldId="26" dataDxfId="105"/>
    <tableColumn id="27" xr3:uid="{E3ACFDCE-B8D0-E840-9394-8A42C952DE36}" uniqueName="27" name="zabrze_PH_Escore" queryTableFieldId="27" dataDxfId="104"/>
    <tableColumn id="28" xr3:uid="{8EC27F9F-B15A-5F4A-8F80-A9F0CAC4D16A}" uniqueName="28" name="zabrze_PH_Total_Score" queryTableFieldId="28" dataDxfId="103"/>
    <tableColumn id="29" xr3:uid="{65D00C65-E8D7-C647-AC1A-49FCA0B92A2B}" uniqueName="29" name="zabrze_SR_Dscore" queryTableFieldId="29" dataDxfId="102"/>
    <tableColumn id="30" xr3:uid="{996187EF-FAF7-6C4E-8F54-5EF2EC692D27}" uniqueName="30" name="zabrze_SR_Escore" queryTableFieldId="30" dataDxfId="101"/>
    <tableColumn id="31" xr3:uid="{992A4A95-519E-9A4B-AF03-A4DF05F839DC}" uniqueName="31" name="zabrze_SR_Total_Score" queryTableFieldId="31" dataDxfId="100"/>
    <tableColumn id="32" xr3:uid="{BEE6E491-483B-6A4C-8032-5F15AA0AF56F}" uniqueName="32" name="zabrze_VT_Dscore" queryTableFieldId="32" dataDxfId="99"/>
    <tableColumn id="33" xr3:uid="{99298D7A-2E65-144D-9C89-DBB895765AFE}" uniqueName="33" name="zabrze_VT_Escore" queryTableFieldId="33" dataDxfId="98"/>
    <tableColumn id="34" xr3:uid="{2611841B-1FE0-6C46-A2BE-BCF2CC65A75E}" uniqueName="34" name="zabrze_VT_Total_Score" queryTableFieldId="34" dataDxfId="97"/>
    <tableColumn id="35" xr3:uid="{1F369EB2-7C92-6042-A86B-A18768D00747}" uniqueName="35" name="zabrze_PB_Dscore" queryTableFieldId="35" dataDxfId="96"/>
    <tableColumn id="36" xr3:uid="{012352FA-92A2-E642-9C09-B74BE42D7208}" uniqueName="36" name="zabrze_PB_Escore" queryTableFieldId="36" dataDxfId="95"/>
    <tableColumn id="37" xr3:uid="{8DE58518-6848-9741-A632-23299AED6C2F}" uniqueName="37" name="zabrze_PB_Total_Score" queryTableFieldId="37" dataDxfId="94"/>
    <tableColumn id="38" xr3:uid="{25354A0E-5743-904F-81EB-9285B4B051AD}" uniqueName="38" name="zabrze_HB_Dscore" queryTableFieldId="38" dataDxfId="93"/>
    <tableColumn id="39" xr3:uid="{07E914B6-E16C-D946-84D6-D3D827868EB4}" uniqueName="39" name="zabrze_HB_Escore" queryTableFieldId="39" dataDxfId="92"/>
    <tableColumn id="40" xr3:uid="{CD6BF288-F267-994E-B7C6-7DF50D32DD1D}" uniqueName="40" name="zabrze_HB_Total_Score" queryTableFieldId="40" dataDxfId="91"/>
    <tableColumn id="94" xr3:uid="{2469CE54-631C-4505-A541-34AEBD8456D0}" uniqueName="94" name="zabrze_Dscore" queryTableFieldId="89" dataDxfId="90">
      <calculatedColumnFormula>SUM(AB2,AE2,AH2,AK2,AN2,AQ2)</calculatedColumnFormula>
    </tableColumn>
    <tableColumn id="93" xr3:uid="{0D5B59AA-1A79-4650-BD15-38E37A97490E}" uniqueName="93" name="zabrze_Escore" queryTableFieldId="88" dataDxfId="89">
      <calculatedColumnFormula>SUM(AC2,AF2,AI2,AL2,AO2,AR2)</calculatedColumnFormula>
    </tableColumn>
    <tableColumn id="81" xr3:uid="{3FFA73EB-D046-4C42-BF8C-47396657EA3B}" uniqueName="81" name="zabrze_Total_Score" queryTableFieldId="80" dataDxfId="88">
      <calculatedColumnFormula>SUM(AD2,AG2,AJ2,AM2,AP2,AS2)</calculatedColumnFormula>
    </tableColumn>
    <tableColumn id="87" xr3:uid="{946F3A28-E3DD-4A44-8E37-8980FE008CAF}" uniqueName="87" name="Zabrze_all_around" queryTableFieldId="103" dataDxfId="29">
      <calculatedColumnFormula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calculatedColumnFormula>
    </tableColumn>
    <tableColumn id="41" xr3:uid="{83723CBF-EDD3-A943-AFB4-61288E80AF51}" uniqueName="41" name="cracow_FX_Dscore" queryTableFieldId="41" dataDxfId="87"/>
    <tableColumn id="42" xr3:uid="{6ABE5EF5-2CE8-DF4D-97B5-5E0A5973146A}" uniqueName="42" name="cracow_FX_Escore" queryTableFieldId="42" dataDxfId="86"/>
    <tableColumn id="43" xr3:uid="{CC41A20E-20FC-D24E-A278-BA46F8C13439}" uniqueName="43" name="cracow_FX_Total_Score" queryTableFieldId="43" dataDxfId="85"/>
    <tableColumn id="44" xr3:uid="{D9158633-1136-5D4F-81DE-6C6E993B2C84}" uniqueName="44" name="cracow_PH_Dscore" queryTableFieldId="44" dataDxfId="84"/>
    <tableColumn id="45" xr3:uid="{0156C7E3-6469-2441-B69B-DA710A55D2EC}" uniqueName="45" name="cracow_PH_Escore" queryTableFieldId="45" dataDxfId="83"/>
    <tableColumn id="46" xr3:uid="{5283AA34-1333-E842-BD7E-F8B10E74CC33}" uniqueName="46" name="cracow_PH_Total_Score" queryTableFieldId="46" dataDxfId="82"/>
    <tableColumn id="47" xr3:uid="{274B8B6F-EE68-5E45-8FD1-AC6E7829FA8C}" uniqueName="47" name="cracow_SR_Dscore" queryTableFieldId="47" dataDxfId="81"/>
    <tableColumn id="48" xr3:uid="{C882B2BC-DCBB-0B4F-B692-8976635862DD}" uniqueName="48" name="cracow_SR_Escore" queryTableFieldId="48" dataDxfId="80"/>
    <tableColumn id="49" xr3:uid="{6D987393-6558-6540-8E4D-F4238732DEE2}" uniqueName="49" name="cracow_SR_Total_Score" queryTableFieldId="49" dataDxfId="79"/>
    <tableColumn id="50" xr3:uid="{3D27D92D-1C8C-2A43-83D4-B911B14E7BD2}" uniqueName="50" name="cracow_VT_Dscore" queryTableFieldId="50" dataDxfId="78"/>
    <tableColumn id="51" xr3:uid="{649243DE-B27D-F74F-A7F5-A59374FD89C4}" uniqueName="51" name="cracow_VT_Escore" queryTableFieldId="51" dataDxfId="77"/>
    <tableColumn id="52" xr3:uid="{5D53F1AA-6757-D345-A141-647076C60E7A}" uniqueName="52" name="cracow_VT_Total_Score" queryTableFieldId="52" dataDxfId="76"/>
    <tableColumn id="53" xr3:uid="{983370E5-862E-3241-A4E5-8AC50935F6AB}" uniqueName="53" name="cracow_PB_Dscore" queryTableFieldId="53" dataDxfId="75"/>
    <tableColumn id="54" xr3:uid="{278EC2BD-5DFA-5848-A9EF-DAE729E711B9}" uniqueName="54" name="cracow_PB_Escore" queryTableFieldId="54" dataDxfId="74"/>
    <tableColumn id="55" xr3:uid="{1A56F995-B360-EB47-99E6-8AAFE27A9EDB}" uniqueName="55" name="cracow_PB_Total_Score" queryTableFieldId="55" dataDxfId="73"/>
    <tableColumn id="56" xr3:uid="{F8E00BEC-8BFB-434F-B401-5BB102379643}" uniqueName="56" name="cracow_HB_Dscore" queryTableFieldId="56" dataDxfId="72"/>
    <tableColumn id="57" xr3:uid="{D10DC951-1A03-0448-B4E6-DBBE90CDC9E2}" uniqueName="57" name="cracow_HB_Escore" queryTableFieldId="57" dataDxfId="71"/>
    <tableColumn id="58" xr3:uid="{0E6AA6E3-564E-AC41-9FD2-07FA61D6F369}" uniqueName="58" name="cracow_HB_Total_Score" queryTableFieldId="58" dataDxfId="70"/>
    <tableColumn id="96" xr3:uid="{BC218C52-6BAF-4FFA-9368-895D5AA90706}" uniqueName="96" name="cracow_Dscore" queryTableFieldId="91" dataDxfId="69">
      <calculatedColumnFormula>SUM(AX2,BA2,BD2,BG2,BJ2,BM2)</calculatedColumnFormula>
    </tableColumn>
    <tableColumn id="95" xr3:uid="{7A53CC57-B206-40CF-BF49-7BBE6CAF337D}" uniqueName="95" name="cracow_Escore" queryTableFieldId="90" dataDxfId="68">
      <calculatedColumnFormula>SUM(AY2,BB2,BE2,BH2,BK2,BN2)</calculatedColumnFormula>
    </tableColumn>
    <tableColumn id="82" xr3:uid="{F6FC0506-32CF-48A3-BD94-E42E529EF06C}" uniqueName="82" name="cracow_Total_Score" queryTableFieldId="81" dataDxfId="67">
      <calculatedColumnFormula>SUM(AZ2,BC2,BF2,BI2,BL2,BO2)</calculatedColumnFormula>
    </tableColumn>
    <tableColumn id="80" xr3:uid="{AFAFBE53-33F5-4525-8B87-021A780AFADA}" uniqueName="80" name="Cracow_all_around" queryTableFieldId="102" dataDxfId="30">
      <calculatedColumnFormula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calculatedColumnFormula>
    </tableColumn>
    <tableColumn id="59" xr3:uid="{D074142C-459E-DD46-B3C7-D5C0F14359F6}" uniqueName="59" name="gdansk_FX_Dscore" queryTableFieldId="59" dataDxfId="66"/>
    <tableColumn id="60" xr3:uid="{AAB67134-F964-C042-B6D2-C2489AE62863}" uniqueName="60" name="gdansk_FX_Escore" queryTableFieldId="60" dataDxfId="65"/>
    <tableColumn id="61" xr3:uid="{70A6D2B6-CE56-8645-A674-8B85E8F6E439}" uniqueName="61" name="gdansk_FX_Total_Score" queryTableFieldId="61" dataDxfId="64"/>
    <tableColumn id="62" xr3:uid="{E98B17A5-4F03-AB45-81FB-BDC94F8B5534}" uniqueName="62" name="gdansk_PH_Dscore" queryTableFieldId="62" dataDxfId="63"/>
    <tableColumn id="63" xr3:uid="{EF3DC98B-ADBA-CE44-A00F-A058D6C79018}" uniqueName="63" name="gdansk_PH_Escore" queryTableFieldId="63" dataDxfId="62"/>
    <tableColumn id="64" xr3:uid="{C616906C-AF6B-5949-ADDC-1BEFAE6F3B3A}" uniqueName="64" name="gdansk_PH_Total_Score" queryTableFieldId="64" dataDxfId="61"/>
    <tableColumn id="65" xr3:uid="{37AE2CC2-8C99-144A-B0DB-A2CB3BB6FAD6}" uniqueName="65" name="gdansk_SR_Dscore" queryTableFieldId="65" dataDxfId="60"/>
    <tableColumn id="66" xr3:uid="{1746D0F3-2231-F24B-918D-480058E159D0}" uniqueName="66" name="gdansk_SR_Escore" queryTableFieldId="66" dataDxfId="59"/>
    <tableColumn id="67" xr3:uid="{5590D661-F4B8-F543-9DC6-C595F0598AE6}" uniqueName="67" name="gdansk_SR_Total_Score" queryTableFieldId="67" dataDxfId="58"/>
    <tableColumn id="68" xr3:uid="{4B96238E-E5B8-F44C-8CDC-5E62C882F379}" uniqueName="68" name="gdansk_VT_Dscore" queryTableFieldId="68" dataDxfId="57"/>
    <tableColumn id="69" xr3:uid="{FA324B52-089E-414E-86FC-C330A639AD6E}" uniqueName="69" name="gdansk_VT_Escore" queryTableFieldId="69" dataDxfId="56"/>
    <tableColumn id="70" xr3:uid="{C743E507-DA5E-CF41-82E0-C9AC8C434A0F}" uniqueName="70" name="gdansk_VT_Total_Score" queryTableFieldId="70" dataDxfId="55"/>
    <tableColumn id="71" xr3:uid="{FED355F7-4F5C-214E-BC19-1D807F3A15B2}" uniqueName="71" name="gdansk_PB_Dscore" queryTableFieldId="71" dataDxfId="54"/>
    <tableColumn id="72" xr3:uid="{057D45A4-5391-BA4B-BDA1-4B870A1AD8F1}" uniqueName="72" name="gdansk_PB_Escore" queryTableFieldId="72" dataDxfId="53"/>
    <tableColumn id="73" xr3:uid="{8326483C-0111-4344-82A8-0815FA5D1E75}" uniqueName="73" name="gdansk_PB_Total_Score" queryTableFieldId="73" dataDxfId="52"/>
    <tableColumn id="74" xr3:uid="{7904DBA2-A0C6-8244-9405-39CD3C473D74}" uniqueName="74" name="gdansk_HB_Dscore" queryTableFieldId="74" dataDxfId="51"/>
    <tableColumn id="75" xr3:uid="{8874B3DB-285E-604B-8618-574CE032DD67}" uniqueName="75" name="gdansk_HB_Escore" queryTableFieldId="75" dataDxfId="50"/>
    <tableColumn id="76" xr3:uid="{D3F0C2E1-7D54-2A47-9D4D-DC57A19D2F17}" uniqueName="76" name="gdansk_HB_Total_Score" queryTableFieldId="76" dataDxfId="49"/>
    <tableColumn id="98" xr3:uid="{7B3BD5E2-A867-4ABF-A430-45CDD0EF9BD9}" uniqueName="98" name="gdansk_Dscore" queryTableFieldId="93" dataDxfId="48">
      <calculatedColumnFormula>SUM(BT2,BW2,BZ2,CC2,CF2,CI2)</calculatedColumnFormula>
    </tableColumn>
    <tableColumn id="97" xr3:uid="{5351A074-31FA-4640-B6FD-F5667E2D5E29}" uniqueName="97" name="gdansk_Escore" queryTableFieldId="92" dataDxfId="47">
      <calculatedColumnFormula>SUM(BU2,BX2,CA2,CD2,CG2,CJ2)</calculatedColumnFormula>
    </tableColumn>
    <tableColumn id="83" xr3:uid="{9809E0A8-F6FC-4ABD-8104-D27FFF960371}" uniqueName="83" name="gdansk_Total_Score" queryTableFieldId="82" dataDxfId="46">
      <calculatedColumnFormula>SUM(BV2,BY2,CB2,CE2,CH2,CK2)</calculatedColumnFormula>
    </tableColumn>
    <tableColumn id="88" xr3:uid="{ADB678A1-9B47-4193-97D4-A24B7B571E94}" uniqueName="88" name="Gdansk_all_Around" queryTableFieldId="104" dataDxfId="28">
      <calculatedColumnFormula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calculatedColumnFormula>
    </tableColumn>
    <tableColumn id="84" xr3:uid="{0F203390-4F05-4B33-B7A4-D0F1F88697DB}" uniqueName="84" name="Year_AA_Dscore" queryTableFieldId="83" dataDxfId="35">
      <calculatedColumnFormula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calculatedColumnFormula>
    </tableColumn>
    <tableColumn id="85" xr3:uid="{A574CD8C-BD07-4892-AA22-D9D5A3AFD058}" uniqueName="85" name="Year_AA_Escore" queryTableFieldId="84" dataDxfId="34">
      <calculatedColumnFormula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calculatedColumnFormula>
    </tableColumn>
    <tableColumn id="86" xr3:uid="{08E572F2-7D70-4BE9-895A-2DA78B2DE775}" uniqueName="86" name="Year_AA_Total_Score" queryTableFieldId="85" dataDxfId="32">
      <calculatedColumnFormula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calculatedColumnFormula>
    </tableColumn>
    <tableColumn id="100" xr3:uid="{E310DD4E-AAAA-4881-BA41-5E03624E3008}" uniqueName="100" name="AVG_AA_Dscore" queryTableFieldId="95" dataDxfId="33">
      <calculatedColumnFormula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calculatedColumnFormula>
    </tableColumn>
    <tableColumn id="101" xr3:uid="{E4371F69-A316-46EA-86B3-3B83B75210B3}" uniqueName="101" name="AVG_AA_Escore" queryTableFieldId="96" dataDxfId="45">
      <calculatedColumnFormula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calculatedColumnFormula>
    </tableColumn>
    <tableColumn id="102" xr3:uid="{CD35E152-8C9B-4FDB-9DA8-AD53D11F2FE6}" uniqueName="102" name="AVG_AA_Total_Score" queryTableFieldId="97" dataDxfId="44">
      <calculatedColumnFormula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C691-1EA7-7D49-9717-DB7B11398D4D}">
  <sheetPr>
    <tabColor theme="4" tint="0.39997558519241921"/>
  </sheetPr>
  <dimension ref="A1:AB52"/>
  <sheetViews>
    <sheetView topLeftCell="F1" zoomScale="75" zoomScaleNormal="75" workbookViewId="0">
      <selection activeCell="AC23" sqref="AC23"/>
    </sheetView>
  </sheetViews>
  <sheetFormatPr defaultColWidth="11" defaultRowHeight="15.75" x14ac:dyDescent="0.25"/>
  <cols>
    <col min="1" max="1" width="8.625" style="2" bestFit="1" customWidth="1"/>
    <col min="2" max="2" width="24.25" customWidth="1"/>
    <col min="3" max="5" width="15" style="2" customWidth="1"/>
    <col min="6" max="6" width="26.625" bestFit="1" customWidth="1"/>
    <col min="7" max="7" width="10.375" customWidth="1"/>
    <col min="8" max="8" width="15.25" style="2" bestFit="1" customWidth="1"/>
    <col min="9" max="9" width="15" style="2" bestFit="1" customWidth="1"/>
    <col min="10" max="10" width="10.375" style="2" customWidth="1"/>
    <col min="11" max="11" width="12.875" style="2" customWidth="1"/>
    <col min="12" max="13" width="10.375" style="2" customWidth="1"/>
    <col min="14" max="14" width="15.25" style="2" bestFit="1" customWidth="1"/>
    <col min="15" max="15" width="15" style="2" bestFit="1" customWidth="1"/>
    <col min="16" max="16" width="19.5" style="2" bestFit="1" customWidth="1"/>
    <col min="17" max="17" width="15.25" style="2" bestFit="1" customWidth="1"/>
    <col min="18" max="18" width="15" style="2" bestFit="1" customWidth="1"/>
    <col min="19" max="19" width="19" style="2" bestFit="1" customWidth="1"/>
    <col min="20" max="20" width="15.25" style="2" bestFit="1" customWidth="1"/>
    <col min="21" max="21" width="15" style="2" bestFit="1" customWidth="1"/>
    <col min="22" max="28" width="10.375" style="2" customWidth="1"/>
  </cols>
  <sheetData>
    <row r="1" spans="1:28" s="2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243</v>
      </c>
      <c r="H1" s="2" t="s">
        <v>6</v>
      </c>
      <c r="I1" s="2" t="s">
        <v>7</v>
      </c>
      <c r="J1" s="2" t="s">
        <v>131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247</v>
      </c>
      <c r="AA1" s="2" t="s">
        <v>248</v>
      </c>
      <c r="AB1" s="2" t="s">
        <v>24</v>
      </c>
    </row>
    <row r="2" spans="1:28" x14ac:dyDescent="0.25">
      <c r="A2" s="2">
        <v>1</v>
      </c>
      <c r="B2" t="s">
        <v>25</v>
      </c>
      <c r="C2" s="2" t="s">
        <v>26</v>
      </c>
      <c r="D2" s="2">
        <v>2008</v>
      </c>
      <c r="E2" s="2" t="s">
        <v>27</v>
      </c>
      <c r="F2" t="s">
        <v>28</v>
      </c>
      <c r="G2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" s="4">
        <v>4</v>
      </c>
      <c r="I2" s="7">
        <v>8.9499999999999993</v>
      </c>
      <c r="J2" s="7">
        <v>12.95</v>
      </c>
      <c r="K2" s="4">
        <v>3.8</v>
      </c>
      <c r="L2" s="7">
        <v>8.9499999999999993</v>
      </c>
      <c r="M2" s="7">
        <v>12.75</v>
      </c>
      <c r="N2" s="4">
        <v>2.8</v>
      </c>
      <c r="O2" s="7">
        <v>8.85</v>
      </c>
      <c r="P2" s="7">
        <v>11.65</v>
      </c>
      <c r="Q2" s="4">
        <v>2.2000000000000002</v>
      </c>
      <c r="R2" s="7">
        <v>9.4</v>
      </c>
      <c r="S2" s="7">
        <v>11.6</v>
      </c>
      <c r="T2" s="4">
        <v>4.0999999999999996</v>
      </c>
      <c r="U2" s="7">
        <v>8.5500000000000007</v>
      </c>
      <c r="V2" s="7">
        <v>12.65</v>
      </c>
      <c r="W2" s="4">
        <v>2.6</v>
      </c>
      <c r="X2" s="7">
        <v>9</v>
      </c>
      <c r="Y2" s="7">
        <v>11.6</v>
      </c>
      <c r="Z2" s="4">
        <f>IF(Bydgoszcz_result[[#This Row],[All Around]]="Yes",SUM(H2,K2,N2,Q2,T2,W2),0)</f>
        <v>19.5</v>
      </c>
      <c r="AA2" s="7">
        <f>IF(Bydgoszcz_result[[#This Row],[All Around]]="Yes",SUM(I2,L2,O2,R2,U2,X2),0)</f>
        <v>53.7</v>
      </c>
      <c r="AB2" s="7">
        <f>SUM(J2,M2,P2,S2,V2,Y2)</f>
        <v>73.2</v>
      </c>
    </row>
    <row r="3" spans="1:28" x14ac:dyDescent="0.25">
      <c r="A3" s="2">
        <v>2</v>
      </c>
      <c r="B3" t="s">
        <v>112</v>
      </c>
      <c r="C3" s="2" t="s">
        <v>26</v>
      </c>
      <c r="D3" s="2">
        <v>2005</v>
      </c>
      <c r="E3" s="2" t="s">
        <v>113</v>
      </c>
      <c r="F3" t="s">
        <v>31</v>
      </c>
      <c r="G3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3" s="4">
        <v>4</v>
      </c>
      <c r="I3" s="7">
        <v>7.8</v>
      </c>
      <c r="J3" s="7">
        <v>11.8</v>
      </c>
      <c r="K3" s="4">
        <v>3.1</v>
      </c>
      <c r="L3" s="7">
        <v>7.65</v>
      </c>
      <c r="M3" s="7">
        <v>10.75</v>
      </c>
      <c r="N3" s="4">
        <v>2.9</v>
      </c>
      <c r="O3" s="7">
        <v>8</v>
      </c>
      <c r="P3" s="7">
        <v>10.9</v>
      </c>
      <c r="Q3" s="4">
        <v>4</v>
      </c>
      <c r="R3" s="7">
        <v>8.5</v>
      </c>
      <c r="S3" s="7">
        <v>12.5</v>
      </c>
      <c r="T3" s="4">
        <v>3.1</v>
      </c>
      <c r="U3" s="7">
        <v>8.65</v>
      </c>
      <c r="V3" s="7">
        <v>11.75</v>
      </c>
      <c r="W3" s="4">
        <v>3.4</v>
      </c>
      <c r="X3" s="7">
        <v>7.8</v>
      </c>
      <c r="Y3" s="7">
        <v>11.2</v>
      </c>
      <c r="Z3" s="4">
        <f>IF(Bydgoszcz_result[[#This Row],[All Around]]="Yes",SUM(H3,K3,N3,Q3,T3,W3),0)</f>
        <v>20.5</v>
      </c>
      <c r="AA3" s="7">
        <f>IF(Bydgoszcz_result[[#This Row],[All Around]]="Yes",SUM(I3,L3,O3,R3,U3,X3),0)</f>
        <v>48.4</v>
      </c>
      <c r="AB3" s="7">
        <f t="shared" ref="AB3:AB33" si="0">SUM(J3,M3,P3,S3,V3,Y3)</f>
        <v>68.900000000000006</v>
      </c>
    </row>
    <row r="4" spans="1:28" x14ac:dyDescent="0.25">
      <c r="A4" s="2">
        <v>3</v>
      </c>
      <c r="B4" t="s">
        <v>34</v>
      </c>
      <c r="C4" s="2" t="s">
        <v>26</v>
      </c>
      <c r="D4" s="2">
        <v>2006</v>
      </c>
      <c r="E4" s="2" t="s">
        <v>35</v>
      </c>
      <c r="F4" t="s">
        <v>36</v>
      </c>
      <c r="G4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4" s="4">
        <v>3.8</v>
      </c>
      <c r="I4" s="7">
        <v>8.6999999999999993</v>
      </c>
      <c r="J4" s="7">
        <v>12.5</v>
      </c>
      <c r="K4" s="4">
        <v>4.4000000000000004</v>
      </c>
      <c r="L4" s="7">
        <v>7</v>
      </c>
      <c r="M4" s="7">
        <v>11.4</v>
      </c>
      <c r="N4" s="4">
        <v>3.6</v>
      </c>
      <c r="O4" s="7">
        <v>7.8</v>
      </c>
      <c r="P4" s="7">
        <v>11.4</v>
      </c>
      <c r="Q4" s="4">
        <v>1.6</v>
      </c>
      <c r="R4" s="7">
        <v>8.8000000000000007</v>
      </c>
      <c r="S4" s="7">
        <v>10.4</v>
      </c>
      <c r="T4" s="4">
        <v>3.2</v>
      </c>
      <c r="U4" s="7">
        <v>8.6</v>
      </c>
      <c r="V4" s="7">
        <v>11.8</v>
      </c>
      <c r="W4" s="4">
        <v>3.4</v>
      </c>
      <c r="X4" s="7">
        <v>7.4</v>
      </c>
      <c r="Y4" s="7">
        <v>10.8</v>
      </c>
      <c r="Z4" s="4">
        <f>IF(Bydgoszcz_result[[#This Row],[All Around]]="Yes",SUM(H4,K4,N4,Q4,T4,W4),0)</f>
        <v>19.999999999999996</v>
      </c>
      <c r="AA4" s="7">
        <f>IF(Bydgoszcz_result[[#This Row],[All Around]]="Yes",SUM(I4,L4,O4,R4,U4,X4),0)</f>
        <v>48.3</v>
      </c>
      <c r="AB4" s="7">
        <f t="shared" si="0"/>
        <v>68.3</v>
      </c>
    </row>
    <row r="5" spans="1:28" x14ac:dyDescent="0.25">
      <c r="A5" s="2">
        <v>4</v>
      </c>
      <c r="B5" t="s">
        <v>32</v>
      </c>
      <c r="C5" s="2" t="s">
        <v>26</v>
      </c>
      <c r="D5" s="2">
        <v>2005</v>
      </c>
      <c r="E5" s="2" t="s">
        <v>33</v>
      </c>
      <c r="F5" t="s">
        <v>31</v>
      </c>
      <c r="G5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5" s="4">
        <v>4.2</v>
      </c>
      <c r="I5" s="7">
        <v>8.6</v>
      </c>
      <c r="J5" s="7">
        <v>12.8</v>
      </c>
      <c r="K5" s="4">
        <v>3.6</v>
      </c>
      <c r="L5" s="7">
        <v>7</v>
      </c>
      <c r="M5" s="7">
        <v>10.6</v>
      </c>
      <c r="N5" s="4">
        <v>3.3</v>
      </c>
      <c r="O5" s="7">
        <v>7.1</v>
      </c>
      <c r="P5" s="7">
        <v>10.4</v>
      </c>
      <c r="Q5" s="4">
        <v>3.2</v>
      </c>
      <c r="R5" s="7">
        <v>9</v>
      </c>
      <c r="S5" s="7">
        <v>12.2</v>
      </c>
      <c r="T5" s="4">
        <v>3.5</v>
      </c>
      <c r="U5" s="7">
        <v>7.95</v>
      </c>
      <c r="V5" s="7">
        <v>11.45</v>
      </c>
      <c r="W5" s="4">
        <v>3.1</v>
      </c>
      <c r="X5" s="7">
        <v>7.7</v>
      </c>
      <c r="Y5" s="7">
        <v>10.8</v>
      </c>
      <c r="Z5" s="4">
        <f>IF(Bydgoszcz_result[[#This Row],[All Around]]="Yes",SUM(H5,K5,N5,Q5,T5,W5),0)</f>
        <v>20.900000000000002</v>
      </c>
      <c r="AA5" s="7">
        <f>IF(Bydgoszcz_result[[#This Row],[All Around]]="Yes",SUM(I5,L5,O5,R5,U5,X5),0)</f>
        <v>47.35</v>
      </c>
      <c r="AB5" s="7">
        <f t="shared" si="0"/>
        <v>68.25</v>
      </c>
    </row>
    <row r="6" spans="1:28" x14ac:dyDescent="0.25">
      <c r="A6" s="2">
        <v>5</v>
      </c>
      <c r="B6" t="s">
        <v>37</v>
      </c>
      <c r="C6" s="2" t="s">
        <v>26</v>
      </c>
      <c r="D6" s="2">
        <v>2006</v>
      </c>
      <c r="E6" s="2" t="s">
        <v>38</v>
      </c>
      <c r="F6" t="s">
        <v>39</v>
      </c>
      <c r="G6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6" s="4">
        <v>3.3</v>
      </c>
      <c r="I6" s="7">
        <v>8.3000000000000007</v>
      </c>
      <c r="J6" s="7">
        <v>11.6</v>
      </c>
      <c r="K6" s="4">
        <v>4.4000000000000004</v>
      </c>
      <c r="L6" s="7">
        <v>7.85</v>
      </c>
      <c r="M6" s="7">
        <v>12.25</v>
      </c>
      <c r="N6" s="4">
        <v>2.2999999999999998</v>
      </c>
      <c r="O6" s="7">
        <v>7.3</v>
      </c>
      <c r="P6" s="7">
        <v>9.6</v>
      </c>
      <c r="Q6" s="4">
        <v>2.4</v>
      </c>
      <c r="R6" s="7">
        <v>8.85</v>
      </c>
      <c r="S6" s="7">
        <v>11.25</v>
      </c>
      <c r="T6" s="4">
        <v>3.1</v>
      </c>
      <c r="U6" s="7">
        <v>8.5</v>
      </c>
      <c r="V6" s="7">
        <v>11.6</v>
      </c>
      <c r="W6" s="4">
        <v>3</v>
      </c>
      <c r="X6" s="7">
        <v>7.8</v>
      </c>
      <c r="Y6" s="7">
        <v>10.8</v>
      </c>
      <c r="Z6" s="4">
        <f>IF(Bydgoszcz_result[[#This Row],[All Around]]="Yes",SUM(H6,K6,N6,Q6,T6,W6),0)</f>
        <v>18.5</v>
      </c>
      <c r="AA6" s="7">
        <f>IF(Bydgoszcz_result[[#This Row],[All Around]]="Yes",SUM(I6,L6,O6,R6,U6,X6),0)</f>
        <v>48.599999999999994</v>
      </c>
      <c r="AB6" s="7">
        <f t="shared" si="0"/>
        <v>67.100000000000009</v>
      </c>
    </row>
    <row r="7" spans="1:28" x14ac:dyDescent="0.25">
      <c r="A7" s="2">
        <v>6</v>
      </c>
      <c r="B7" t="s">
        <v>44</v>
      </c>
      <c r="C7" s="2" t="s">
        <v>26</v>
      </c>
      <c r="D7" s="2">
        <v>2007</v>
      </c>
      <c r="E7" s="2" t="s">
        <v>45</v>
      </c>
      <c r="F7" t="s">
        <v>39</v>
      </c>
      <c r="G7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7" s="4">
        <v>3.4</v>
      </c>
      <c r="I7" s="7">
        <v>8.4</v>
      </c>
      <c r="J7" s="7">
        <v>11.8</v>
      </c>
      <c r="K7" s="4">
        <v>3</v>
      </c>
      <c r="L7" s="7">
        <v>8.6</v>
      </c>
      <c r="M7" s="7">
        <v>11.6</v>
      </c>
      <c r="N7" s="4">
        <v>2.2999999999999998</v>
      </c>
      <c r="O7" s="7">
        <v>7.3</v>
      </c>
      <c r="P7" s="7">
        <v>9.6</v>
      </c>
      <c r="Q7" s="4">
        <v>2.8</v>
      </c>
      <c r="R7" s="7">
        <v>8.5</v>
      </c>
      <c r="S7" s="7">
        <v>11.3</v>
      </c>
      <c r="T7" s="4">
        <v>3.1</v>
      </c>
      <c r="U7" s="7">
        <v>8.6999999999999993</v>
      </c>
      <c r="V7" s="7">
        <v>11.8</v>
      </c>
      <c r="W7" s="4">
        <v>2.4</v>
      </c>
      <c r="X7" s="7">
        <v>7.8</v>
      </c>
      <c r="Y7" s="7">
        <v>10.199999999999999</v>
      </c>
      <c r="Z7" s="4">
        <f>IF(Bydgoszcz_result[[#This Row],[All Around]]="Yes",SUM(H7,K7,N7,Q7,T7,W7),0)</f>
        <v>17</v>
      </c>
      <c r="AA7" s="7">
        <f>IF(Bydgoszcz_result[[#This Row],[All Around]]="Yes",SUM(I7,L7,O7,R7,U7,X7),0)</f>
        <v>49.3</v>
      </c>
      <c r="AB7" s="7">
        <f t="shared" si="0"/>
        <v>66.3</v>
      </c>
    </row>
    <row r="8" spans="1:28" x14ac:dyDescent="0.25">
      <c r="A8" s="2">
        <v>7</v>
      </c>
      <c r="B8" t="s">
        <v>29</v>
      </c>
      <c r="C8" s="2" t="s">
        <v>26</v>
      </c>
      <c r="D8" s="2">
        <v>2005</v>
      </c>
      <c r="E8" s="2" t="s">
        <v>30</v>
      </c>
      <c r="F8" t="s">
        <v>31</v>
      </c>
      <c r="G8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8" s="4">
        <v>4</v>
      </c>
      <c r="I8" s="7">
        <v>8.9499999999999993</v>
      </c>
      <c r="J8" s="7">
        <v>12.95</v>
      </c>
      <c r="K8" s="4">
        <v>3.3</v>
      </c>
      <c r="L8" s="7">
        <v>6.65</v>
      </c>
      <c r="M8" s="7">
        <v>9.9499999999999993</v>
      </c>
      <c r="N8" s="4">
        <v>2.6</v>
      </c>
      <c r="O8" s="7">
        <v>6.9</v>
      </c>
      <c r="P8" s="7">
        <v>9.5</v>
      </c>
      <c r="Q8" s="4">
        <v>2.8</v>
      </c>
      <c r="R8" s="7">
        <v>8.6</v>
      </c>
      <c r="S8" s="7">
        <v>11.4</v>
      </c>
      <c r="T8" s="4">
        <v>3.2</v>
      </c>
      <c r="U8" s="7">
        <v>8.4499999999999993</v>
      </c>
      <c r="V8" s="7">
        <v>11.65</v>
      </c>
      <c r="W8" s="4">
        <v>2.4</v>
      </c>
      <c r="X8" s="7">
        <v>7.9</v>
      </c>
      <c r="Y8" s="7">
        <v>10.3</v>
      </c>
      <c r="Z8" s="4">
        <f>IF(Bydgoszcz_result[[#This Row],[All Around]]="Yes",SUM(H8,K8,N8,Q8,T8,W8),0)</f>
        <v>18.299999999999997</v>
      </c>
      <c r="AA8" s="7">
        <f>IF(Bydgoszcz_result[[#This Row],[All Around]]="Yes",SUM(I8,L8,O8,R8,U8,X8),0)</f>
        <v>47.449999999999996</v>
      </c>
      <c r="AB8" s="7">
        <f t="shared" si="0"/>
        <v>65.75</v>
      </c>
    </row>
    <row r="9" spans="1:28" x14ac:dyDescent="0.25">
      <c r="A9" s="2">
        <v>8</v>
      </c>
      <c r="B9" t="s">
        <v>132</v>
      </c>
      <c r="C9" s="2" t="s">
        <v>26</v>
      </c>
      <c r="D9" s="2">
        <v>2008</v>
      </c>
      <c r="E9" s="2" t="s">
        <v>133</v>
      </c>
      <c r="F9" t="s">
        <v>39</v>
      </c>
      <c r="G9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9" s="4">
        <v>3.8</v>
      </c>
      <c r="I9" s="7">
        <v>7.8</v>
      </c>
      <c r="J9" s="7">
        <v>11.6</v>
      </c>
      <c r="K9" s="4">
        <v>3</v>
      </c>
      <c r="L9" s="7">
        <v>7.6</v>
      </c>
      <c r="M9" s="7">
        <v>10.6</v>
      </c>
      <c r="N9" s="4">
        <v>2.2999999999999998</v>
      </c>
      <c r="O9" s="7">
        <v>7.15</v>
      </c>
      <c r="P9" s="7">
        <v>9.4499999999999993</v>
      </c>
      <c r="Q9" s="4">
        <v>2.2000000000000002</v>
      </c>
      <c r="R9" s="7">
        <v>9.1</v>
      </c>
      <c r="S9" s="7">
        <v>11.3</v>
      </c>
      <c r="T9" s="4">
        <v>3</v>
      </c>
      <c r="U9" s="7">
        <v>8.0500000000000007</v>
      </c>
      <c r="V9" s="7">
        <v>11.05</v>
      </c>
      <c r="W9" s="4">
        <v>2.4</v>
      </c>
      <c r="X9" s="7">
        <v>9.1</v>
      </c>
      <c r="Y9" s="7">
        <v>11.5</v>
      </c>
      <c r="Z9" s="4">
        <f>IF(Bydgoszcz_result[[#This Row],[All Around]]="Yes",SUM(H9,K9,N9,Q9,T9,W9),0)</f>
        <v>16.7</v>
      </c>
      <c r="AA9" s="7">
        <f>IF(Bydgoszcz_result[[#This Row],[All Around]]="Yes",SUM(I9,L9,O9,R9,U9,X9),0)</f>
        <v>48.800000000000004</v>
      </c>
      <c r="AB9" s="7">
        <f t="shared" si="0"/>
        <v>65.5</v>
      </c>
    </row>
    <row r="10" spans="1:28" x14ac:dyDescent="0.25">
      <c r="A10" s="2">
        <v>9</v>
      </c>
      <c r="B10" t="s">
        <v>48</v>
      </c>
      <c r="C10" s="2" t="s">
        <v>26</v>
      </c>
      <c r="D10" s="2">
        <v>2006</v>
      </c>
      <c r="E10" s="2" t="s">
        <v>49</v>
      </c>
      <c r="F10" t="s">
        <v>36</v>
      </c>
      <c r="G10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0" s="4">
        <v>3.7</v>
      </c>
      <c r="I10" s="7">
        <v>7.4</v>
      </c>
      <c r="J10" s="7">
        <v>11.1</v>
      </c>
      <c r="K10" s="4">
        <v>2.8</v>
      </c>
      <c r="L10" s="7">
        <v>4</v>
      </c>
      <c r="M10" s="7">
        <v>6.8</v>
      </c>
      <c r="N10" s="4">
        <v>2.4</v>
      </c>
      <c r="O10" s="7">
        <v>7.55</v>
      </c>
      <c r="P10" s="7">
        <v>9.9499999999999993</v>
      </c>
      <c r="Q10" s="4">
        <v>2.4</v>
      </c>
      <c r="R10" s="7">
        <v>7.8</v>
      </c>
      <c r="S10" s="7">
        <v>10.199999999999999</v>
      </c>
      <c r="T10" s="4">
        <v>3.1</v>
      </c>
      <c r="U10" s="7">
        <v>8.0500000000000007</v>
      </c>
      <c r="V10" s="7">
        <v>11.15</v>
      </c>
      <c r="W10" s="4">
        <v>1.9</v>
      </c>
      <c r="X10" s="7">
        <v>8</v>
      </c>
      <c r="Y10" s="7">
        <v>9.9</v>
      </c>
      <c r="Z10" s="4">
        <f>IF(Bydgoszcz_result[[#This Row],[All Around]]="Yes",SUM(H10,K10,N10,Q10,T10,W10),0)</f>
        <v>16.3</v>
      </c>
      <c r="AA10" s="7">
        <f>IF(Bydgoszcz_result[[#This Row],[All Around]]="Yes",SUM(I10,L10,O10,R10,U10,X10),0)</f>
        <v>42.8</v>
      </c>
      <c r="AB10" s="7">
        <f t="shared" si="0"/>
        <v>59.099999999999994</v>
      </c>
    </row>
    <row r="11" spans="1:28" x14ac:dyDescent="0.25">
      <c r="A11" s="2">
        <v>10</v>
      </c>
      <c r="B11" t="s">
        <v>57</v>
      </c>
      <c r="C11" s="2" t="s">
        <v>26</v>
      </c>
      <c r="D11" s="2">
        <v>2007</v>
      </c>
      <c r="E11" s="2" t="s">
        <v>58</v>
      </c>
      <c r="F11" t="s">
        <v>36</v>
      </c>
      <c r="G11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1" s="4">
        <v>3.2</v>
      </c>
      <c r="I11" s="7">
        <v>7.3</v>
      </c>
      <c r="J11" s="7">
        <v>10.5</v>
      </c>
      <c r="K11" s="4">
        <v>2.6</v>
      </c>
      <c r="L11" s="7">
        <v>6</v>
      </c>
      <c r="M11" s="7">
        <v>8.6</v>
      </c>
      <c r="N11" s="4">
        <v>2.8</v>
      </c>
      <c r="O11" s="7">
        <v>8.1</v>
      </c>
      <c r="P11" s="7">
        <v>10.9</v>
      </c>
      <c r="Q11" s="4">
        <v>1.6</v>
      </c>
      <c r="R11" s="7">
        <v>8.6999999999999993</v>
      </c>
      <c r="S11" s="7">
        <v>10.3</v>
      </c>
      <c r="T11" s="4">
        <v>2.5</v>
      </c>
      <c r="U11" s="7">
        <v>5.7</v>
      </c>
      <c r="V11" s="7">
        <v>8.1999999999999993</v>
      </c>
      <c r="W11" s="4">
        <v>1.9</v>
      </c>
      <c r="X11" s="7">
        <v>8.1</v>
      </c>
      <c r="Y11" s="7">
        <v>10</v>
      </c>
      <c r="Z11" s="4">
        <f>IF(Bydgoszcz_result[[#This Row],[All Around]]="Yes",SUM(H11,K11,N11,Q11,T11,W11),0)</f>
        <v>14.600000000000001</v>
      </c>
      <c r="AA11" s="7">
        <f>IF(Bydgoszcz_result[[#This Row],[All Around]]="Yes",SUM(I11,L11,O11,R11,U11,X11),0)</f>
        <v>43.9</v>
      </c>
      <c r="AB11" s="7">
        <f t="shared" si="0"/>
        <v>58.5</v>
      </c>
    </row>
    <row r="12" spans="1:28" x14ac:dyDescent="0.25">
      <c r="A12" s="2">
        <v>11</v>
      </c>
      <c r="B12" t="s">
        <v>120</v>
      </c>
      <c r="C12" s="2" t="s">
        <v>26</v>
      </c>
      <c r="D12" s="2">
        <v>2006</v>
      </c>
      <c r="E12" s="2" t="s">
        <v>121</v>
      </c>
      <c r="F12" t="s">
        <v>39</v>
      </c>
      <c r="G12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2" s="4">
        <v>3</v>
      </c>
      <c r="I12" s="7">
        <v>8.3000000000000007</v>
      </c>
      <c r="J12" s="7">
        <v>11.3</v>
      </c>
      <c r="K12" s="4">
        <v>2.6</v>
      </c>
      <c r="L12" s="7">
        <v>4.4000000000000004</v>
      </c>
      <c r="M12" s="7">
        <v>7</v>
      </c>
      <c r="N12" s="4">
        <v>2.9</v>
      </c>
      <c r="O12" s="7">
        <v>6.7</v>
      </c>
      <c r="P12" s="7">
        <v>9.6</v>
      </c>
      <c r="Q12" s="4">
        <v>3.2</v>
      </c>
      <c r="R12" s="7">
        <v>9</v>
      </c>
      <c r="S12" s="7">
        <v>12.2</v>
      </c>
      <c r="T12" s="4">
        <v>3.1</v>
      </c>
      <c r="U12" s="7">
        <v>7.45</v>
      </c>
      <c r="V12" s="7">
        <v>10.55</v>
      </c>
      <c r="W12" s="4">
        <v>0</v>
      </c>
      <c r="X12" s="7">
        <v>0</v>
      </c>
      <c r="Y12" s="7">
        <v>0</v>
      </c>
      <c r="Z12" s="4">
        <f>IF(Bydgoszcz_result[[#This Row],[All Around]]="Yes",SUM(H12,K12,N12,Q12,T12,W12),0)</f>
        <v>0</v>
      </c>
      <c r="AA12" s="7">
        <f>IF(Bydgoszcz_result[[#This Row],[All Around]]="Yes",SUM(I12,L12,O12,R12,U12,X12),0)</f>
        <v>0</v>
      </c>
      <c r="AB12" s="7">
        <f t="shared" si="0"/>
        <v>50.649999999999991</v>
      </c>
    </row>
    <row r="13" spans="1:28" x14ac:dyDescent="0.25">
      <c r="A13" s="2">
        <v>12</v>
      </c>
      <c r="B13" t="s">
        <v>42</v>
      </c>
      <c r="C13" s="2" t="s">
        <v>26</v>
      </c>
      <c r="D13" s="2">
        <v>2007</v>
      </c>
      <c r="E13" s="2" t="s">
        <v>43</v>
      </c>
      <c r="F13" t="s">
        <v>36</v>
      </c>
      <c r="G13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3" s="4">
        <v>4</v>
      </c>
      <c r="I13" s="7">
        <v>8.1999999999999993</v>
      </c>
      <c r="J13" s="7">
        <v>12.2</v>
      </c>
      <c r="K13" s="4">
        <v>2.6</v>
      </c>
      <c r="L13" s="7">
        <v>7.7</v>
      </c>
      <c r="M13" s="7">
        <v>10.3</v>
      </c>
      <c r="N13" s="4">
        <v>2.4</v>
      </c>
      <c r="O13" s="7">
        <v>7.8</v>
      </c>
      <c r="P13" s="7">
        <v>10.199999999999999</v>
      </c>
      <c r="Q13" s="4">
        <v>4</v>
      </c>
      <c r="R13" s="7">
        <v>7.9</v>
      </c>
      <c r="S13" s="7">
        <v>11.9</v>
      </c>
      <c r="T13" s="4">
        <v>0</v>
      </c>
      <c r="U13" s="7">
        <v>0</v>
      </c>
      <c r="V13" s="7">
        <v>0</v>
      </c>
      <c r="W13" s="4">
        <v>0</v>
      </c>
      <c r="X13" s="7">
        <v>0</v>
      </c>
      <c r="Y13" s="7">
        <v>0</v>
      </c>
      <c r="Z13" s="4">
        <f>IF(Bydgoszcz_result[[#This Row],[All Around]]="Yes",SUM(H13,K13,N13,Q13,T13,W13),0)</f>
        <v>0</v>
      </c>
      <c r="AA13" s="7">
        <f>IF(Bydgoszcz_result[[#This Row],[All Around]]="Yes",SUM(I13,L13,O13,R13,U13,X13),0)</f>
        <v>0</v>
      </c>
      <c r="AB13" s="7">
        <f t="shared" si="0"/>
        <v>44.6</v>
      </c>
    </row>
    <row r="14" spans="1:28" x14ac:dyDescent="0.25">
      <c r="A14" s="2">
        <v>13</v>
      </c>
      <c r="B14" t="s">
        <v>134</v>
      </c>
      <c r="C14" s="2" t="s">
        <v>26</v>
      </c>
      <c r="D14" s="2">
        <v>2006</v>
      </c>
      <c r="E14" s="2" t="s">
        <v>115</v>
      </c>
      <c r="F14" t="s">
        <v>36</v>
      </c>
      <c r="G14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4" s="4">
        <v>0</v>
      </c>
      <c r="I14" s="7">
        <v>0</v>
      </c>
      <c r="J14" s="7">
        <v>0</v>
      </c>
      <c r="K14" s="4">
        <v>2.6</v>
      </c>
      <c r="L14" s="7">
        <v>4.9000000000000004</v>
      </c>
      <c r="M14" s="7">
        <v>7.5</v>
      </c>
      <c r="N14" s="4">
        <v>0</v>
      </c>
      <c r="O14" s="7">
        <v>0</v>
      </c>
      <c r="P14" s="7">
        <v>0</v>
      </c>
      <c r="Q14" s="4">
        <v>2.4</v>
      </c>
      <c r="R14" s="7">
        <v>8.8000000000000007</v>
      </c>
      <c r="S14" s="7">
        <v>11.2</v>
      </c>
      <c r="T14" s="4">
        <v>2.4</v>
      </c>
      <c r="U14" s="7">
        <v>8.1</v>
      </c>
      <c r="V14" s="7">
        <v>10.5</v>
      </c>
      <c r="W14" s="4">
        <v>1.8</v>
      </c>
      <c r="X14" s="7">
        <v>8</v>
      </c>
      <c r="Y14" s="7">
        <v>9.8000000000000007</v>
      </c>
      <c r="Z14" s="4">
        <f>IF(Bydgoszcz_result[[#This Row],[All Around]]="Yes",SUM(H14,K14,N14,Q14,T14,W14),0)</f>
        <v>0</v>
      </c>
      <c r="AA14" s="7">
        <f>IF(Bydgoszcz_result[[#This Row],[All Around]]="Yes",SUM(I14,L14,O14,R14,U14,X14),0)</f>
        <v>0</v>
      </c>
      <c r="AB14" s="7">
        <f t="shared" si="0"/>
        <v>39</v>
      </c>
    </row>
    <row r="15" spans="1:28" x14ac:dyDescent="0.25">
      <c r="A15" s="2">
        <v>14</v>
      </c>
      <c r="B15" t="s">
        <v>135</v>
      </c>
      <c r="C15" s="2" t="s">
        <v>26</v>
      </c>
      <c r="D15" s="2">
        <v>2007</v>
      </c>
      <c r="E15" s="2" t="s">
        <v>136</v>
      </c>
      <c r="F15" t="s">
        <v>124</v>
      </c>
      <c r="G15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5" s="4">
        <v>2.9</v>
      </c>
      <c r="I15" s="7">
        <v>7.8</v>
      </c>
      <c r="J15" s="7">
        <v>10.7</v>
      </c>
      <c r="K15" s="4">
        <v>1.3</v>
      </c>
      <c r="L15" s="7">
        <v>0</v>
      </c>
      <c r="M15" s="7">
        <v>1.3</v>
      </c>
      <c r="N15" s="4">
        <v>2.1</v>
      </c>
      <c r="O15" s="7">
        <v>5.2</v>
      </c>
      <c r="P15" s="7">
        <v>7.3</v>
      </c>
      <c r="Q15" s="4">
        <v>2.4</v>
      </c>
      <c r="R15" s="7">
        <v>7.5</v>
      </c>
      <c r="S15" s="7">
        <v>9.9</v>
      </c>
      <c r="T15" s="4">
        <v>1.4</v>
      </c>
      <c r="U15" s="7">
        <v>1.7</v>
      </c>
      <c r="V15" s="7">
        <v>3.1</v>
      </c>
      <c r="W15" s="4">
        <v>1.5</v>
      </c>
      <c r="X15" s="7">
        <v>5</v>
      </c>
      <c r="Y15" s="7">
        <v>6.5</v>
      </c>
      <c r="Z15" s="4">
        <f>IF(Bydgoszcz_result[[#This Row],[All Around]]="Yes",SUM(H15,K15,N15,Q15,T15,W15),0)</f>
        <v>11.600000000000001</v>
      </c>
      <c r="AA15" s="7">
        <f>IF(Bydgoszcz_result[[#This Row],[All Around]]="Yes",SUM(I15,L15,O15,R15,U15,X15),0)</f>
        <v>27.2</v>
      </c>
      <c r="AB15" s="7">
        <f t="shared" si="0"/>
        <v>38.800000000000004</v>
      </c>
    </row>
    <row r="16" spans="1:28" x14ac:dyDescent="0.25">
      <c r="A16" s="2">
        <v>15</v>
      </c>
      <c r="B16" t="s">
        <v>137</v>
      </c>
      <c r="C16" s="2" t="s">
        <v>26</v>
      </c>
      <c r="D16" s="2">
        <v>2007</v>
      </c>
      <c r="E16" s="2" t="s">
        <v>138</v>
      </c>
      <c r="F16" t="s">
        <v>124</v>
      </c>
      <c r="G16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6" s="4">
        <v>2.5</v>
      </c>
      <c r="I16" s="7">
        <v>8.3000000000000007</v>
      </c>
      <c r="J16" s="7">
        <v>10.8</v>
      </c>
      <c r="K16" s="4">
        <v>0.6</v>
      </c>
      <c r="L16" s="7">
        <v>0</v>
      </c>
      <c r="M16" s="7">
        <v>0.6</v>
      </c>
      <c r="N16" s="4">
        <v>1.5</v>
      </c>
      <c r="O16" s="7">
        <v>3.3</v>
      </c>
      <c r="P16" s="7">
        <v>4.8</v>
      </c>
      <c r="Q16" s="4">
        <v>1.6</v>
      </c>
      <c r="R16" s="7">
        <v>9</v>
      </c>
      <c r="S16" s="7">
        <v>10.6</v>
      </c>
      <c r="T16" s="4">
        <v>1.9</v>
      </c>
      <c r="U16" s="7">
        <v>2.85</v>
      </c>
      <c r="V16" s="7">
        <v>4.75</v>
      </c>
      <c r="W16" s="4">
        <v>0.1</v>
      </c>
      <c r="X16" s="7">
        <v>1</v>
      </c>
      <c r="Y16" s="7">
        <v>1.1000000000000001</v>
      </c>
      <c r="Z16" s="4">
        <f>IF(Bydgoszcz_result[[#This Row],[All Around]]="Yes",SUM(H16,K16,N16,Q16,T16,W16),0)</f>
        <v>8.1999999999999993</v>
      </c>
      <c r="AA16" s="7">
        <f>IF(Bydgoszcz_result[[#This Row],[All Around]]="Yes",SUM(I16,L16,O16,R16,U16,X16),0)</f>
        <v>24.450000000000003</v>
      </c>
      <c r="AB16" s="7">
        <f t="shared" si="0"/>
        <v>32.65</v>
      </c>
    </row>
    <row r="17" spans="1:28" x14ac:dyDescent="0.25">
      <c r="A17" s="2">
        <v>16</v>
      </c>
      <c r="B17" t="s">
        <v>139</v>
      </c>
      <c r="C17" s="2" t="s">
        <v>26</v>
      </c>
      <c r="D17" s="2">
        <v>2008</v>
      </c>
      <c r="E17" s="2" t="s">
        <v>140</v>
      </c>
      <c r="F17" t="s">
        <v>124</v>
      </c>
      <c r="G17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7" s="4">
        <v>3</v>
      </c>
      <c r="I17" s="7">
        <v>8.1999999999999993</v>
      </c>
      <c r="J17" s="7">
        <v>11.2</v>
      </c>
      <c r="K17" s="4">
        <v>1.5</v>
      </c>
      <c r="L17" s="7">
        <v>0</v>
      </c>
      <c r="M17" s="7">
        <v>1.5</v>
      </c>
      <c r="N17" s="4">
        <v>2.1</v>
      </c>
      <c r="O17" s="7">
        <v>6.5</v>
      </c>
      <c r="P17" s="7">
        <v>8.6</v>
      </c>
      <c r="Q17" s="4">
        <v>0</v>
      </c>
      <c r="R17" s="7">
        <v>0</v>
      </c>
      <c r="S17" s="7">
        <v>0</v>
      </c>
      <c r="T17" s="4">
        <v>2</v>
      </c>
      <c r="U17" s="7">
        <v>3.45</v>
      </c>
      <c r="V17" s="7">
        <v>5.45</v>
      </c>
      <c r="W17" s="4">
        <v>1</v>
      </c>
      <c r="X17" s="7">
        <v>3.1</v>
      </c>
      <c r="Y17" s="7">
        <v>4.0999999999999996</v>
      </c>
      <c r="Z17" s="4">
        <f>IF(Bydgoszcz_result[[#This Row],[All Around]]="Yes",SUM(H17,K17,N17,Q17,T17,W17),0)</f>
        <v>0</v>
      </c>
      <c r="AA17" s="7">
        <f>IF(Bydgoszcz_result[[#This Row],[All Around]]="Yes",SUM(I17,L17,O17,R17,U17,X17),0)</f>
        <v>0</v>
      </c>
      <c r="AB17" s="7">
        <f t="shared" si="0"/>
        <v>30.849999999999994</v>
      </c>
    </row>
    <row r="18" spans="1:28" x14ac:dyDescent="0.25">
      <c r="A18" s="2">
        <v>17</v>
      </c>
      <c r="B18" t="s">
        <v>52</v>
      </c>
      <c r="C18" s="2" t="s">
        <v>26</v>
      </c>
      <c r="D18" s="2">
        <v>2006</v>
      </c>
      <c r="E18" s="2" t="s">
        <v>53</v>
      </c>
      <c r="F18" t="s">
        <v>36</v>
      </c>
      <c r="G18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18" s="4">
        <v>0</v>
      </c>
      <c r="I18" s="7">
        <v>0</v>
      </c>
      <c r="J18" s="7">
        <v>0</v>
      </c>
      <c r="K18" s="4">
        <v>2.1</v>
      </c>
      <c r="L18" s="7">
        <v>4.5</v>
      </c>
      <c r="M18" s="7">
        <v>6.6</v>
      </c>
      <c r="N18" s="4">
        <v>0</v>
      </c>
      <c r="O18" s="7">
        <v>0</v>
      </c>
      <c r="P18" s="7">
        <v>0</v>
      </c>
      <c r="Q18" s="4">
        <v>2.4</v>
      </c>
      <c r="R18" s="7">
        <v>7.7</v>
      </c>
      <c r="S18" s="7">
        <v>10.1</v>
      </c>
      <c r="T18" s="4">
        <v>3.1</v>
      </c>
      <c r="U18" s="7">
        <v>8.75</v>
      </c>
      <c r="V18" s="7">
        <v>11.85</v>
      </c>
      <c r="W18" s="4">
        <v>0</v>
      </c>
      <c r="X18" s="7">
        <v>0</v>
      </c>
      <c r="Y18" s="7">
        <v>0</v>
      </c>
      <c r="Z18" s="4">
        <f>IF(Bydgoszcz_result[[#This Row],[All Around]]="Yes",SUM(H18,K18,N18,Q18,T18,W18),0)</f>
        <v>0</v>
      </c>
      <c r="AA18" s="7">
        <f>IF(Bydgoszcz_result[[#This Row],[All Around]]="Yes",SUM(I18,L18,O18,R18,U18,X18),0)</f>
        <v>0</v>
      </c>
      <c r="AB18" s="7">
        <f t="shared" si="0"/>
        <v>28.549999999999997</v>
      </c>
    </row>
    <row r="19" spans="1:28" x14ac:dyDescent="0.25">
      <c r="A19" s="2">
        <v>1</v>
      </c>
      <c r="B19" t="s">
        <v>63</v>
      </c>
      <c r="C19" s="2" t="s">
        <v>60</v>
      </c>
      <c r="D19" s="2">
        <v>1997</v>
      </c>
      <c r="E19" s="2" t="s">
        <v>64</v>
      </c>
      <c r="F19" t="s">
        <v>39</v>
      </c>
      <c r="G19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19" s="4">
        <v>5.8</v>
      </c>
      <c r="I19" s="7">
        <v>7.8</v>
      </c>
      <c r="J19" s="7">
        <v>13.6</v>
      </c>
      <c r="K19" s="4">
        <v>4.4000000000000004</v>
      </c>
      <c r="L19" s="7">
        <v>7.1</v>
      </c>
      <c r="M19" s="7">
        <v>11.5</v>
      </c>
      <c r="N19" s="4">
        <v>4.5999999999999996</v>
      </c>
      <c r="O19" s="7">
        <v>7.2</v>
      </c>
      <c r="P19" s="7">
        <v>11.8</v>
      </c>
      <c r="Q19" s="4">
        <v>4.8</v>
      </c>
      <c r="R19" s="7">
        <v>8.6999999999999993</v>
      </c>
      <c r="S19" s="7">
        <v>13.5</v>
      </c>
      <c r="T19" s="4">
        <v>4.2</v>
      </c>
      <c r="U19" s="7">
        <v>8.6</v>
      </c>
      <c r="V19" s="7">
        <v>12.8</v>
      </c>
      <c r="W19" s="4">
        <v>4.4000000000000004</v>
      </c>
      <c r="X19" s="7">
        <v>8</v>
      </c>
      <c r="Y19" s="7">
        <v>12.4</v>
      </c>
      <c r="Z19" s="4">
        <f>IF(Bydgoszcz_result[[#This Row],[All Around]]="Yes",SUM(H19,K19,N19,Q19,T19,W19),0)</f>
        <v>28.199999999999996</v>
      </c>
      <c r="AA19" s="7">
        <f>IF(Bydgoszcz_result[[#This Row],[All Around]]="Yes",SUM(I19,L19,O19,R19,U19,X19),0)</f>
        <v>47.4</v>
      </c>
      <c r="AB19" s="7">
        <f t="shared" si="0"/>
        <v>75.600000000000009</v>
      </c>
    </row>
    <row r="20" spans="1:28" x14ac:dyDescent="0.25">
      <c r="A20" s="2">
        <v>2</v>
      </c>
      <c r="B20" t="s">
        <v>141</v>
      </c>
      <c r="C20" s="2" t="s">
        <v>60</v>
      </c>
      <c r="D20" s="2">
        <v>2000</v>
      </c>
      <c r="E20" s="2" t="s">
        <v>128</v>
      </c>
      <c r="F20" t="s">
        <v>72</v>
      </c>
      <c r="G20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0" s="4">
        <v>4.4000000000000004</v>
      </c>
      <c r="I20" s="7">
        <v>8.6999999999999993</v>
      </c>
      <c r="J20" s="7">
        <v>13.1</v>
      </c>
      <c r="K20" s="4">
        <v>4.2</v>
      </c>
      <c r="L20" s="7">
        <v>8</v>
      </c>
      <c r="M20" s="7">
        <v>12.2</v>
      </c>
      <c r="N20" s="4">
        <v>3.8</v>
      </c>
      <c r="O20" s="7">
        <v>8.1999999999999993</v>
      </c>
      <c r="P20" s="7">
        <v>12</v>
      </c>
      <c r="Q20" s="4">
        <v>4</v>
      </c>
      <c r="R20" s="7">
        <v>9</v>
      </c>
      <c r="S20" s="7">
        <v>13</v>
      </c>
      <c r="T20" s="4">
        <v>3.8</v>
      </c>
      <c r="U20" s="7">
        <v>7.55</v>
      </c>
      <c r="V20" s="7">
        <v>11.35</v>
      </c>
      <c r="W20" s="4">
        <v>4.0999999999999996</v>
      </c>
      <c r="X20" s="7">
        <v>8.4</v>
      </c>
      <c r="Y20" s="7">
        <v>12.5</v>
      </c>
      <c r="Z20" s="4">
        <f>IF(Bydgoszcz_result[[#This Row],[All Around]]="Yes",SUM(H20,K20,N20,Q20,T20,W20),0)</f>
        <v>24.300000000000004</v>
      </c>
      <c r="AA20" s="7">
        <f>IF(Bydgoszcz_result[[#This Row],[All Around]]="Yes",SUM(I20,L20,O20,R20,U20,X20),0)</f>
        <v>49.849999999999994</v>
      </c>
      <c r="AB20" s="7">
        <f t="shared" si="0"/>
        <v>74.150000000000006</v>
      </c>
    </row>
    <row r="21" spans="1:28" x14ac:dyDescent="0.25">
      <c r="A21" s="2">
        <v>3</v>
      </c>
      <c r="B21" t="s">
        <v>142</v>
      </c>
      <c r="C21" s="2" t="s">
        <v>60</v>
      </c>
      <c r="D21" s="2">
        <v>2001</v>
      </c>
      <c r="E21" s="2" t="s">
        <v>143</v>
      </c>
      <c r="F21" t="s">
        <v>62</v>
      </c>
      <c r="G21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1" s="4">
        <v>4.5</v>
      </c>
      <c r="I21" s="7">
        <v>8.6999999999999993</v>
      </c>
      <c r="J21" s="7">
        <v>13.2</v>
      </c>
      <c r="K21" s="4">
        <v>3.8</v>
      </c>
      <c r="L21" s="7">
        <v>7.9</v>
      </c>
      <c r="M21" s="7">
        <v>11.7</v>
      </c>
      <c r="N21" s="4">
        <v>2.7</v>
      </c>
      <c r="O21" s="7">
        <v>8</v>
      </c>
      <c r="P21" s="7">
        <v>10.7</v>
      </c>
      <c r="Q21" s="4">
        <v>3.2</v>
      </c>
      <c r="R21" s="7">
        <v>9.5</v>
      </c>
      <c r="S21" s="7">
        <v>12.7</v>
      </c>
      <c r="T21" s="4">
        <v>3.4</v>
      </c>
      <c r="U21" s="7">
        <v>7.9</v>
      </c>
      <c r="V21" s="7">
        <v>11.3</v>
      </c>
      <c r="W21" s="4">
        <v>3.6</v>
      </c>
      <c r="X21" s="7">
        <v>8</v>
      </c>
      <c r="Y21" s="7">
        <v>11.6</v>
      </c>
      <c r="Z21" s="4">
        <f>IF(Bydgoszcz_result[[#This Row],[All Around]]="Yes",SUM(H21,K21,N21,Q21,T21,W21),0)</f>
        <v>21.2</v>
      </c>
      <c r="AA21" s="7">
        <f>IF(Bydgoszcz_result[[#This Row],[All Around]]="Yes",SUM(I21,L21,O21,R21,U21,X21),0)</f>
        <v>50</v>
      </c>
      <c r="AB21" s="7">
        <f t="shared" si="0"/>
        <v>71.199999999999989</v>
      </c>
    </row>
    <row r="22" spans="1:28" x14ac:dyDescent="0.25">
      <c r="A22" s="2">
        <v>4</v>
      </c>
      <c r="B22" t="s">
        <v>80</v>
      </c>
      <c r="C22" s="2" t="s">
        <v>60</v>
      </c>
      <c r="D22" s="2">
        <v>2004</v>
      </c>
      <c r="E22" s="2" t="s">
        <v>81</v>
      </c>
      <c r="F22" t="s">
        <v>62</v>
      </c>
      <c r="G22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2" s="4">
        <v>3.6</v>
      </c>
      <c r="I22" s="7">
        <v>9</v>
      </c>
      <c r="J22" s="7">
        <v>12.6</v>
      </c>
      <c r="K22" s="4">
        <v>3.6</v>
      </c>
      <c r="L22" s="7">
        <v>7.55</v>
      </c>
      <c r="M22" s="7">
        <v>11.15</v>
      </c>
      <c r="N22" s="4">
        <v>3.9</v>
      </c>
      <c r="O22" s="7">
        <v>6.4</v>
      </c>
      <c r="P22" s="7">
        <v>10.3</v>
      </c>
      <c r="Q22" s="4">
        <v>3.6</v>
      </c>
      <c r="R22" s="7">
        <v>8.4</v>
      </c>
      <c r="S22" s="7">
        <v>12</v>
      </c>
      <c r="T22" s="4">
        <v>3.7</v>
      </c>
      <c r="U22" s="7">
        <v>8.4499999999999993</v>
      </c>
      <c r="V22" s="7">
        <v>12.15</v>
      </c>
      <c r="W22" s="4">
        <v>3</v>
      </c>
      <c r="X22" s="7">
        <v>7.6</v>
      </c>
      <c r="Y22" s="7">
        <v>10.6</v>
      </c>
      <c r="Z22" s="4">
        <f>IF(Bydgoszcz_result[[#This Row],[All Around]]="Yes",SUM(H22,K22,N22,Q22,T22,W22),0)</f>
        <v>21.4</v>
      </c>
      <c r="AA22" s="7">
        <f>IF(Bydgoszcz_result[[#This Row],[All Around]]="Yes",SUM(I22,L22,O22,R22,U22,X22),0)</f>
        <v>47.4</v>
      </c>
      <c r="AB22" s="7">
        <f t="shared" si="0"/>
        <v>68.8</v>
      </c>
    </row>
    <row r="23" spans="1:28" x14ac:dyDescent="0.25">
      <c r="A23" s="2">
        <v>5</v>
      </c>
      <c r="B23" t="s">
        <v>77</v>
      </c>
      <c r="C23" s="2" t="s">
        <v>60</v>
      </c>
      <c r="D23" s="2">
        <v>2002</v>
      </c>
      <c r="E23" s="2" t="s">
        <v>78</v>
      </c>
      <c r="F23" t="s">
        <v>79</v>
      </c>
      <c r="G23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3" s="4">
        <v>4.2</v>
      </c>
      <c r="I23" s="7">
        <v>6.3</v>
      </c>
      <c r="J23" s="7">
        <v>10.5</v>
      </c>
      <c r="K23" s="4">
        <v>3.9</v>
      </c>
      <c r="L23" s="7">
        <v>7.8</v>
      </c>
      <c r="M23" s="7">
        <v>11.7</v>
      </c>
      <c r="N23" s="4">
        <v>4</v>
      </c>
      <c r="O23" s="7">
        <v>7.3</v>
      </c>
      <c r="P23" s="7">
        <v>11.3</v>
      </c>
      <c r="Q23" s="4">
        <v>3.6</v>
      </c>
      <c r="R23" s="7">
        <v>7.8</v>
      </c>
      <c r="S23" s="7">
        <v>11.4</v>
      </c>
      <c r="T23" s="4">
        <v>4</v>
      </c>
      <c r="U23" s="7">
        <v>8.15</v>
      </c>
      <c r="V23" s="7">
        <v>12.15</v>
      </c>
      <c r="W23" s="4">
        <v>3</v>
      </c>
      <c r="X23" s="7">
        <v>7.2</v>
      </c>
      <c r="Y23" s="7">
        <v>10.199999999999999</v>
      </c>
      <c r="Z23" s="4">
        <f>IF(Bydgoszcz_result[[#This Row],[All Around]]="Yes",SUM(H23,K23,N23,Q23,T23,W23),0)</f>
        <v>22.7</v>
      </c>
      <c r="AA23" s="7">
        <f>IF(Bydgoszcz_result[[#This Row],[All Around]]="Yes",SUM(I23,L23,O23,R23,U23,X23),0)</f>
        <v>44.550000000000004</v>
      </c>
      <c r="AB23" s="7">
        <f t="shared" si="0"/>
        <v>67.25</v>
      </c>
    </row>
    <row r="24" spans="1:28" x14ac:dyDescent="0.25">
      <c r="A24" s="2">
        <v>6</v>
      </c>
      <c r="B24" t="s">
        <v>73</v>
      </c>
      <c r="C24" s="2" t="s">
        <v>60</v>
      </c>
      <c r="D24" s="2">
        <v>2001</v>
      </c>
      <c r="E24" s="2" t="s">
        <v>74</v>
      </c>
      <c r="F24" t="s">
        <v>62</v>
      </c>
      <c r="G24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4" s="4">
        <v>4.7</v>
      </c>
      <c r="I24" s="7">
        <v>8.1</v>
      </c>
      <c r="J24" s="7">
        <v>12.8</v>
      </c>
      <c r="K24" s="4">
        <v>3</v>
      </c>
      <c r="L24" s="7">
        <v>6.3</v>
      </c>
      <c r="M24" s="7">
        <v>9.3000000000000007</v>
      </c>
      <c r="N24" s="4">
        <v>2.7</v>
      </c>
      <c r="O24" s="7">
        <v>7.7</v>
      </c>
      <c r="P24" s="7">
        <v>10.4</v>
      </c>
      <c r="Q24" s="4">
        <v>4</v>
      </c>
      <c r="R24" s="7">
        <v>8.6</v>
      </c>
      <c r="S24" s="7">
        <v>12.6</v>
      </c>
      <c r="T24" s="4">
        <v>3.5</v>
      </c>
      <c r="U24" s="7">
        <v>8</v>
      </c>
      <c r="V24" s="7">
        <v>11.5</v>
      </c>
      <c r="W24" s="4">
        <v>3.1</v>
      </c>
      <c r="X24" s="7">
        <v>7.3</v>
      </c>
      <c r="Y24" s="7">
        <v>10.4</v>
      </c>
      <c r="Z24" s="4">
        <f>IF(Bydgoszcz_result[[#This Row],[All Around]]="Yes",SUM(H24,K24,N24,Q24,T24,W24),0)</f>
        <v>21</v>
      </c>
      <c r="AA24" s="7">
        <f>IF(Bydgoszcz_result[[#This Row],[All Around]]="Yes",SUM(I24,L24,O24,R24,U24,X24),0)</f>
        <v>45.999999999999993</v>
      </c>
      <c r="AB24" s="7">
        <f t="shared" si="0"/>
        <v>67</v>
      </c>
    </row>
    <row r="25" spans="1:28" x14ac:dyDescent="0.25">
      <c r="A25" s="2">
        <v>7</v>
      </c>
      <c r="B25" t="s">
        <v>84</v>
      </c>
      <c r="C25" s="2" t="s">
        <v>60</v>
      </c>
      <c r="D25" s="2">
        <v>2004</v>
      </c>
      <c r="E25" s="2" t="s">
        <v>85</v>
      </c>
      <c r="F25" t="s">
        <v>39</v>
      </c>
      <c r="G25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5" s="4">
        <v>4.5</v>
      </c>
      <c r="I25" s="7">
        <v>7.35</v>
      </c>
      <c r="J25" s="7">
        <v>11.85</v>
      </c>
      <c r="K25" s="4">
        <v>3.2</v>
      </c>
      <c r="L25" s="7">
        <v>6.1</v>
      </c>
      <c r="M25" s="7">
        <v>9.3000000000000007</v>
      </c>
      <c r="N25" s="4">
        <v>3.6</v>
      </c>
      <c r="O25" s="7">
        <v>7.5</v>
      </c>
      <c r="P25" s="7">
        <v>11.1</v>
      </c>
      <c r="Q25" s="4">
        <v>3</v>
      </c>
      <c r="R25" s="7">
        <v>9.3000000000000007</v>
      </c>
      <c r="S25" s="7">
        <v>12.3</v>
      </c>
      <c r="T25" s="4">
        <v>3.7</v>
      </c>
      <c r="U25" s="7">
        <v>7.85</v>
      </c>
      <c r="V25" s="7">
        <v>11.55</v>
      </c>
      <c r="W25" s="4">
        <v>3.2</v>
      </c>
      <c r="X25" s="7">
        <v>7.2</v>
      </c>
      <c r="Y25" s="7">
        <v>10.4</v>
      </c>
      <c r="Z25" s="4">
        <f>IF(Bydgoszcz_result[[#This Row],[All Around]]="Yes",SUM(H25,K25,N25,Q25,T25,W25),0)</f>
        <v>21.2</v>
      </c>
      <c r="AA25" s="7">
        <f>IF(Bydgoszcz_result[[#This Row],[All Around]]="Yes",SUM(I25,L25,O25,R25,U25,X25),0)</f>
        <v>45.300000000000004</v>
      </c>
      <c r="AB25" s="7">
        <f t="shared" si="0"/>
        <v>66.5</v>
      </c>
    </row>
    <row r="26" spans="1:28" x14ac:dyDescent="0.25">
      <c r="A26" s="2">
        <v>8</v>
      </c>
      <c r="B26" t="s">
        <v>100</v>
      </c>
      <c r="C26" s="2" t="s">
        <v>60</v>
      </c>
      <c r="D26" s="2">
        <v>2004</v>
      </c>
      <c r="E26" s="2" t="s">
        <v>101</v>
      </c>
      <c r="F26" t="s">
        <v>31</v>
      </c>
      <c r="G26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Yes</v>
      </c>
      <c r="H26" s="4">
        <v>4.3</v>
      </c>
      <c r="I26" s="7">
        <v>7.4</v>
      </c>
      <c r="J26" s="7">
        <v>11.7</v>
      </c>
      <c r="K26" s="4">
        <v>2.4</v>
      </c>
      <c r="L26" s="7">
        <v>1.1000000000000001</v>
      </c>
      <c r="M26" s="7">
        <v>3.5</v>
      </c>
      <c r="N26" s="4">
        <v>2.9</v>
      </c>
      <c r="O26" s="7">
        <v>7</v>
      </c>
      <c r="P26" s="7">
        <v>9.9</v>
      </c>
      <c r="Q26" s="4">
        <v>3.2</v>
      </c>
      <c r="R26" s="7">
        <v>7.8</v>
      </c>
      <c r="S26" s="7">
        <v>11</v>
      </c>
      <c r="T26" s="4">
        <v>2.9</v>
      </c>
      <c r="U26" s="7">
        <v>7.75</v>
      </c>
      <c r="V26" s="7">
        <v>10.65</v>
      </c>
      <c r="W26" s="4">
        <v>2.7</v>
      </c>
      <c r="X26" s="7">
        <v>6.8</v>
      </c>
      <c r="Y26" s="7">
        <v>9.5</v>
      </c>
      <c r="Z26" s="4">
        <f>IF(Bydgoszcz_result[[#This Row],[All Around]]="Yes",SUM(H26,K26,N26,Q26,T26,W26),0)</f>
        <v>18.400000000000002</v>
      </c>
      <c r="AA26" s="7">
        <f>IF(Bydgoszcz_result[[#This Row],[All Around]]="Yes",SUM(I26,L26,O26,R26,U26,X26),0)</f>
        <v>37.85</v>
      </c>
      <c r="AB26" s="7">
        <f t="shared" si="0"/>
        <v>56.25</v>
      </c>
    </row>
    <row r="27" spans="1:28" x14ac:dyDescent="0.25">
      <c r="A27" s="2">
        <v>9</v>
      </c>
      <c r="B27" t="s">
        <v>86</v>
      </c>
      <c r="C27" s="2" t="s">
        <v>60</v>
      </c>
      <c r="D27" s="2">
        <v>2003</v>
      </c>
      <c r="E27" s="2" t="s">
        <v>87</v>
      </c>
      <c r="F27" t="s">
        <v>72</v>
      </c>
      <c r="G27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27" s="4">
        <v>4.2</v>
      </c>
      <c r="I27" s="7">
        <v>8.6</v>
      </c>
      <c r="J27" s="7">
        <v>12.8</v>
      </c>
      <c r="K27" s="4">
        <v>3.8</v>
      </c>
      <c r="L27" s="7">
        <v>7.1</v>
      </c>
      <c r="M27" s="7">
        <v>10.9</v>
      </c>
      <c r="N27" s="4">
        <v>3.5</v>
      </c>
      <c r="O27" s="7">
        <v>6.7</v>
      </c>
      <c r="P27" s="7">
        <v>10.199999999999999</v>
      </c>
      <c r="Q27" s="4">
        <v>2.8</v>
      </c>
      <c r="R27" s="7">
        <v>9.1999999999999993</v>
      </c>
      <c r="S27" s="7">
        <v>12</v>
      </c>
      <c r="T27" s="4">
        <v>2.6</v>
      </c>
      <c r="U27" s="7">
        <v>5.65</v>
      </c>
      <c r="V27" s="7">
        <v>8.25</v>
      </c>
      <c r="W27" s="4">
        <v>0</v>
      </c>
      <c r="X27" s="7">
        <v>0</v>
      </c>
      <c r="Y27" s="7">
        <v>0</v>
      </c>
      <c r="Z27" s="4">
        <f>IF(Bydgoszcz_result[[#This Row],[All Around]]="Yes",SUM(H27,K27,N27,Q27,T27,W27),0)</f>
        <v>0</v>
      </c>
      <c r="AA27" s="7">
        <f>IF(Bydgoszcz_result[[#This Row],[All Around]]="Yes",SUM(I27,L27,O27,R27,U27,X27),0)</f>
        <v>0</v>
      </c>
      <c r="AB27" s="7">
        <f t="shared" si="0"/>
        <v>54.150000000000006</v>
      </c>
    </row>
    <row r="28" spans="1:28" x14ac:dyDescent="0.25">
      <c r="A28" s="2">
        <v>10</v>
      </c>
      <c r="B28" t="s">
        <v>98</v>
      </c>
      <c r="C28" s="2" t="s">
        <v>60</v>
      </c>
      <c r="D28" s="2">
        <v>1999</v>
      </c>
      <c r="E28" s="2" t="s">
        <v>99</v>
      </c>
      <c r="F28" t="s">
        <v>72</v>
      </c>
      <c r="G28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28" s="4">
        <v>0</v>
      </c>
      <c r="I28" s="7">
        <v>0</v>
      </c>
      <c r="J28" s="7">
        <v>0</v>
      </c>
      <c r="K28" s="4">
        <v>3.3</v>
      </c>
      <c r="L28" s="7">
        <v>4.0999999999999996</v>
      </c>
      <c r="M28" s="7">
        <v>7.4</v>
      </c>
      <c r="N28" s="4">
        <v>3.2</v>
      </c>
      <c r="O28" s="7">
        <v>7.65</v>
      </c>
      <c r="P28" s="7">
        <v>10.85</v>
      </c>
      <c r="Q28" s="4">
        <v>0</v>
      </c>
      <c r="R28" s="7">
        <v>0</v>
      </c>
      <c r="S28" s="7">
        <v>0</v>
      </c>
      <c r="T28" s="4">
        <v>2.5</v>
      </c>
      <c r="U28" s="7">
        <v>8.8000000000000007</v>
      </c>
      <c r="V28" s="7">
        <v>11.3</v>
      </c>
      <c r="W28" s="4">
        <v>3</v>
      </c>
      <c r="X28" s="7">
        <v>7</v>
      </c>
      <c r="Y28" s="7">
        <v>10</v>
      </c>
      <c r="Z28" s="4">
        <f>IF(Bydgoszcz_result[[#This Row],[All Around]]="Yes",SUM(H28,K28,N28,Q28,T28,W28),0)</f>
        <v>0</v>
      </c>
      <c r="AA28" s="7">
        <f>IF(Bydgoszcz_result[[#This Row],[All Around]]="Yes",SUM(I28,L28,O28,R28,U28,X28),0)</f>
        <v>0</v>
      </c>
      <c r="AB28" s="7">
        <f t="shared" si="0"/>
        <v>39.549999999999997</v>
      </c>
    </row>
    <row r="29" spans="1:28" x14ac:dyDescent="0.25">
      <c r="A29" s="2">
        <v>11</v>
      </c>
      <c r="B29" t="s">
        <v>129</v>
      </c>
      <c r="C29" s="2" t="s">
        <v>60</v>
      </c>
      <c r="D29" s="2">
        <v>2000</v>
      </c>
      <c r="E29" s="2" t="s">
        <v>130</v>
      </c>
      <c r="F29" t="s">
        <v>72</v>
      </c>
      <c r="G29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29" s="4">
        <v>4.0999999999999996</v>
      </c>
      <c r="I29" s="7">
        <v>7.6</v>
      </c>
      <c r="J29" s="7">
        <v>11.7</v>
      </c>
      <c r="K29" s="4">
        <v>0</v>
      </c>
      <c r="L29" s="7">
        <v>0</v>
      </c>
      <c r="M29" s="7">
        <v>0</v>
      </c>
      <c r="N29" s="4">
        <v>0</v>
      </c>
      <c r="O29" s="7">
        <v>0</v>
      </c>
      <c r="P29" s="7">
        <v>0</v>
      </c>
      <c r="Q29" s="4">
        <v>4</v>
      </c>
      <c r="R29" s="7">
        <v>9.25</v>
      </c>
      <c r="S29" s="7">
        <v>13.25</v>
      </c>
      <c r="T29" s="4">
        <v>8.6999999999999993</v>
      </c>
      <c r="U29" s="7">
        <v>2.7</v>
      </c>
      <c r="V29" s="7">
        <v>11.35</v>
      </c>
      <c r="W29" s="4">
        <v>0</v>
      </c>
      <c r="X29" s="7">
        <v>0</v>
      </c>
      <c r="Y29" s="7">
        <v>0</v>
      </c>
      <c r="Z29" s="4">
        <f>IF(Bydgoszcz_result[[#This Row],[All Around]]="Yes",SUM(H29,K29,N29,Q29,T29,W29),0)</f>
        <v>0</v>
      </c>
      <c r="AA29" s="7">
        <f>IF(Bydgoszcz_result[[#This Row],[All Around]]="Yes",SUM(I29,L29,O29,R29,U29,X29),0)</f>
        <v>0</v>
      </c>
      <c r="AB29" s="7">
        <f t="shared" si="0"/>
        <v>36.299999999999997</v>
      </c>
    </row>
    <row r="30" spans="1:28" x14ac:dyDescent="0.25">
      <c r="A30" s="2">
        <v>12</v>
      </c>
      <c r="B30" t="s">
        <v>144</v>
      </c>
      <c r="C30" s="2" t="s">
        <v>60</v>
      </c>
      <c r="D30" s="2">
        <v>2002</v>
      </c>
      <c r="E30" s="2" t="s">
        <v>97</v>
      </c>
      <c r="F30" t="s">
        <v>62</v>
      </c>
      <c r="G30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30" s="4">
        <v>0</v>
      </c>
      <c r="I30" s="7">
        <v>0</v>
      </c>
      <c r="J30" s="7">
        <v>0</v>
      </c>
      <c r="K30" s="4">
        <v>3.8</v>
      </c>
      <c r="L30" s="7">
        <v>4.1500000000000004</v>
      </c>
      <c r="M30" s="7">
        <v>7.95</v>
      </c>
      <c r="N30" s="4">
        <v>4.0999999999999996</v>
      </c>
      <c r="O30" s="7">
        <v>8.4</v>
      </c>
      <c r="P30" s="7">
        <v>12.5</v>
      </c>
      <c r="Q30" s="4">
        <v>0</v>
      </c>
      <c r="R30" s="7">
        <v>0</v>
      </c>
      <c r="S30" s="7">
        <v>0</v>
      </c>
      <c r="T30" s="4">
        <v>0</v>
      </c>
      <c r="U30" s="7">
        <v>0</v>
      </c>
      <c r="V30" s="7">
        <v>0</v>
      </c>
      <c r="W30" s="4">
        <v>3.8</v>
      </c>
      <c r="X30" s="7">
        <v>8.4</v>
      </c>
      <c r="Y30" s="7">
        <v>12.2</v>
      </c>
      <c r="Z30" s="4">
        <f>IF(Bydgoszcz_result[[#This Row],[All Around]]="Yes",SUM(H30,K30,N30,Q30,T30,W30),0)</f>
        <v>0</v>
      </c>
      <c r="AA30" s="7">
        <f>IF(Bydgoszcz_result[[#This Row],[All Around]]="Yes",SUM(I30,L30,O30,R30,U30,X30),0)</f>
        <v>0</v>
      </c>
      <c r="AB30" s="7">
        <f t="shared" si="0"/>
        <v>32.65</v>
      </c>
    </row>
    <row r="31" spans="1:28" x14ac:dyDescent="0.25">
      <c r="A31" s="2">
        <v>13</v>
      </c>
      <c r="B31" t="s">
        <v>68</v>
      </c>
      <c r="C31" s="2" t="s">
        <v>60</v>
      </c>
      <c r="D31" s="2">
        <v>2004</v>
      </c>
      <c r="E31" s="2" t="s">
        <v>69</v>
      </c>
      <c r="F31" t="s">
        <v>31</v>
      </c>
      <c r="G31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31" s="4">
        <v>0</v>
      </c>
      <c r="I31" s="7">
        <v>0</v>
      </c>
      <c r="J31" s="7">
        <v>0</v>
      </c>
      <c r="K31" s="4">
        <v>0</v>
      </c>
      <c r="L31" s="7">
        <v>0</v>
      </c>
      <c r="M31" s="7">
        <v>0</v>
      </c>
      <c r="N31" s="4">
        <v>3.2</v>
      </c>
      <c r="O31" s="7">
        <v>7.4</v>
      </c>
      <c r="P31" s="7">
        <v>10.6</v>
      </c>
      <c r="Q31" s="4">
        <v>0</v>
      </c>
      <c r="R31" s="7">
        <v>0</v>
      </c>
      <c r="S31" s="7">
        <v>0</v>
      </c>
      <c r="T31" s="4">
        <v>2.7</v>
      </c>
      <c r="U31" s="7">
        <v>6.85</v>
      </c>
      <c r="V31" s="7">
        <v>9.5500000000000007</v>
      </c>
      <c r="W31" s="4">
        <v>2.1</v>
      </c>
      <c r="X31" s="7">
        <v>8.4</v>
      </c>
      <c r="Y31" s="7">
        <v>10.5</v>
      </c>
      <c r="Z31" s="4">
        <f>IF(Bydgoszcz_result[[#This Row],[All Around]]="Yes",SUM(H31,K31,N31,Q31,T31,W31),0)</f>
        <v>0</v>
      </c>
      <c r="AA31" s="7">
        <f>IF(Bydgoszcz_result[[#This Row],[All Around]]="Yes",SUM(I31,L31,O31,R31,U31,X31),0)</f>
        <v>0</v>
      </c>
      <c r="AB31" s="7">
        <f t="shared" si="0"/>
        <v>30.65</v>
      </c>
    </row>
    <row r="32" spans="1:28" x14ac:dyDescent="0.25">
      <c r="A32" s="2">
        <v>14</v>
      </c>
      <c r="B32" t="s">
        <v>106</v>
      </c>
      <c r="C32" s="2" t="s">
        <v>60</v>
      </c>
      <c r="D32" s="2">
        <v>2004</v>
      </c>
      <c r="E32" s="2" t="s">
        <v>107</v>
      </c>
      <c r="F32" t="s">
        <v>31</v>
      </c>
      <c r="G32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32" s="4">
        <v>3.9</v>
      </c>
      <c r="I32" s="7">
        <v>8.4</v>
      </c>
      <c r="J32" s="7">
        <v>12.3</v>
      </c>
      <c r="K32" s="4">
        <v>2.2999999999999998</v>
      </c>
      <c r="L32" s="7">
        <v>2</v>
      </c>
      <c r="M32" s="7">
        <v>4.3</v>
      </c>
      <c r="N32" s="4">
        <v>0</v>
      </c>
      <c r="O32" s="7">
        <v>0</v>
      </c>
      <c r="P32" s="7">
        <v>0</v>
      </c>
      <c r="Q32" s="4">
        <v>0</v>
      </c>
      <c r="R32" s="7">
        <v>0</v>
      </c>
      <c r="S32" s="7">
        <v>0</v>
      </c>
      <c r="T32" s="4">
        <v>2.5</v>
      </c>
      <c r="U32" s="7">
        <v>7.45</v>
      </c>
      <c r="V32" s="7">
        <v>9.9499999999999993</v>
      </c>
      <c r="W32" s="4">
        <v>0</v>
      </c>
      <c r="X32" s="7">
        <v>0</v>
      </c>
      <c r="Y32" s="7">
        <v>0</v>
      </c>
      <c r="Z32" s="4">
        <f>IF(Bydgoszcz_result[[#This Row],[All Around]]="Yes",SUM(H32,K32,N32,Q32,T32,W32),0)</f>
        <v>0</v>
      </c>
      <c r="AA32" s="7">
        <f>IF(Bydgoszcz_result[[#This Row],[All Around]]="Yes",SUM(I32,L32,O32,R32,U32,X32),0)</f>
        <v>0</v>
      </c>
      <c r="AB32" s="7">
        <f t="shared" si="0"/>
        <v>26.55</v>
      </c>
    </row>
    <row r="33" spans="1:28" x14ac:dyDescent="0.25">
      <c r="A33" s="2">
        <v>15</v>
      </c>
      <c r="B33" t="s">
        <v>92</v>
      </c>
      <c r="C33" s="2" t="s">
        <v>60</v>
      </c>
      <c r="D33" s="2">
        <v>2004</v>
      </c>
      <c r="E33" s="2" t="s">
        <v>93</v>
      </c>
      <c r="F33" t="s">
        <v>39</v>
      </c>
      <c r="G33" s="2" t="str">
        <f>IF((COUNTIF(Bydgoszcz_result[[#This Row],[FX_Total_Score]],"&gt;0")+COUNTIF(Bydgoszcz_result[[#This Row],[PH_Total_Score]],"&gt;0")+COUNTIF(Bydgoszcz_result[[#This Row],[SR_Total_Score]],"&gt;0")+COUNTIF(Bydgoszcz_result[[#This Row],[VT_total_score]],"&gt;0")+COUNTIF(Bydgoszcz_result[[#This Row],[PB_total_score]],"&gt;0")+COUNTIF(Bydgoszcz_result[[#This Row],[HB_total_score]],"&gt;0"))=6,"Yes","No")</f>
        <v>No</v>
      </c>
      <c r="H33" s="4">
        <v>0</v>
      </c>
      <c r="I33" s="7">
        <v>0</v>
      </c>
      <c r="J33" s="7">
        <v>0</v>
      </c>
      <c r="K33" s="4">
        <v>4</v>
      </c>
      <c r="L33" s="7">
        <v>8.65</v>
      </c>
      <c r="M33" s="7">
        <v>12.65</v>
      </c>
      <c r="N33" s="4">
        <v>0</v>
      </c>
      <c r="O33" s="7">
        <v>0</v>
      </c>
      <c r="P33" s="7">
        <v>0</v>
      </c>
      <c r="Q33" s="4">
        <v>0</v>
      </c>
      <c r="R33" s="7">
        <v>0</v>
      </c>
      <c r="S33" s="7">
        <v>0</v>
      </c>
      <c r="T33" s="4">
        <v>0</v>
      </c>
      <c r="U33" s="7">
        <v>0</v>
      </c>
      <c r="V33" s="7">
        <v>0</v>
      </c>
      <c r="W33" s="4">
        <v>0</v>
      </c>
      <c r="X33" s="7">
        <v>0</v>
      </c>
      <c r="Y33" s="7">
        <v>0</v>
      </c>
      <c r="Z33" s="4">
        <f>IF(Bydgoszcz_result[[#This Row],[All Around]]="Yes",SUM(H33,K33,N33,Q33,T33,W33),0)</f>
        <v>0</v>
      </c>
      <c r="AA33" s="7">
        <f>IF(Bydgoszcz_result[[#This Row],[All Around]]="Yes",SUM(I33,L33,O33,R33,U33,X33),0)</f>
        <v>0</v>
      </c>
      <c r="AB33" s="7">
        <f t="shared" si="0"/>
        <v>12.65</v>
      </c>
    </row>
    <row r="36" spans="1:28" ht="24.75" customHeight="1" x14ac:dyDescent="0.25">
      <c r="C36" s="15" t="s">
        <v>249</v>
      </c>
      <c r="D36" s="15"/>
      <c r="E36" s="15"/>
      <c r="F36" s="15"/>
      <c r="G36" s="15"/>
      <c r="H36" s="15"/>
      <c r="I36" s="15"/>
      <c r="J36" s="15"/>
      <c r="K36" s="15"/>
      <c r="M36" s="15" t="s">
        <v>250</v>
      </c>
      <c r="N36" s="15"/>
      <c r="O36" s="15"/>
      <c r="P36" s="15"/>
      <c r="Q36" s="15"/>
      <c r="R36" s="15"/>
      <c r="S36" s="15"/>
      <c r="T36" s="15"/>
      <c r="U36" s="15"/>
      <c r="V36" s="14"/>
    </row>
    <row r="37" spans="1:28" ht="31.5" x14ac:dyDescent="0.25">
      <c r="B37" s="16"/>
      <c r="C37" s="10" t="s">
        <v>217</v>
      </c>
      <c r="D37" s="10" t="s">
        <v>244</v>
      </c>
      <c r="E37" s="10" t="s">
        <v>251</v>
      </c>
      <c r="F37" s="10" t="s">
        <v>245</v>
      </c>
      <c r="G37" s="10" t="s">
        <v>252</v>
      </c>
      <c r="H37" s="10" t="s">
        <v>246</v>
      </c>
      <c r="I37" s="10" t="s">
        <v>253</v>
      </c>
      <c r="J37" s="10" t="s">
        <v>254</v>
      </c>
      <c r="K37" s="10" t="s">
        <v>255</v>
      </c>
      <c r="M37" s="10" t="s">
        <v>217</v>
      </c>
      <c r="N37" s="10" t="s">
        <v>244</v>
      </c>
      <c r="O37" s="10" t="s">
        <v>251</v>
      </c>
      <c r="P37" s="10" t="s">
        <v>245</v>
      </c>
      <c r="Q37" s="10" t="s">
        <v>252</v>
      </c>
      <c r="R37" s="10" t="s">
        <v>246</v>
      </c>
      <c r="S37" s="10" t="s">
        <v>253</v>
      </c>
      <c r="T37" s="10" t="s">
        <v>254</v>
      </c>
      <c r="U37" s="10" t="s">
        <v>255</v>
      </c>
    </row>
    <row r="38" spans="1:28" ht="31.5" x14ac:dyDescent="0.25">
      <c r="B38" s="16"/>
      <c r="C38" s="10" t="s">
        <v>218</v>
      </c>
      <c r="D38" s="11">
        <f>AVERAGEIFS(Bydgoszcz_result[FX_Dscore],Bydgoszcz_result[[Category]:[Category]],"junior",Bydgoszcz_result[FX_Dscore],"&lt;&gt;0")</f>
        <v>3.5200000000000005</v>
      </c>
      <c r="E38" s="11" cm="1">
        <f t="array" ref="E38">_xlfn.STDEV.S(_xlfn._xlws.FILTER(Bydgoszcz_result[FX_Dscore],(Bydgoszcz_result[Category]="junior")*(Bydgoszcz_result[FX_Dscore]&gt;0)))</f>
        <v>0.51436507324217207</v>
      </c>
      <c r="F38" s="12">
        <f>AVERAGEIFS(Bydgoszcz_result[FX_Escore],Bydgoszcz_result[[Category]:[Category]],"junior",Bydgoszcz_result[FX_Escore],"&lt;&gt;0")</f>
        <v>8.1999999999999993</v>
      </c>
      <c r="G38" s="12" cm="1">
        <f t="array" ref="G38">_xlfn.STDEV.S(_xlfn._xlws.FILTER(Bydgoszcz_result[FX_Escore],(Bydgoszcz_result[Category]="junior")*(Bydgoszcz_result[FX_Escore]&gt;0)))</f>
        <v>0.50249378105604436</v>
      </c>
      <c r="H38" s="12">
        <f>AVERAGEIFS(Bydgoszcz_result[FX_Total_Score],Bydgoszcz_result[[Category]:[Category]],"junior",Bydgoszcz_result[FX_Total_Score],"&lt;&gt;0")</f>
        <v>11.719999999999999</v>
      </c>
      <c r="I38" s="12" cm="1">
        <f t="array" ref="I38">_xlfn.STDEV.S(_xlfn._xlws.FILTER(Bydgoszcz_result[FX_Total_Score],(Bydgoszcz_result[Category]="junior")*(Bydgoszcz_result[FX_Total_Score]&gt;0)))</f>
        <v>0.81411652377636601</v>
      </c>
      <c r="J38" s="12" cm="1">
        <f t="array" ref="J38">MAX(_xlfn._xlws.FILTER(Bydgoszcz_result[FX_Total_Score],Bydgoszcz_result[Category]="junior"))</f>
        <v>12.95</v>
      </c>
      <c r="K38" s="10" t="str" cm="1">
        <f t="array" ref="K38">_xlfn.XLOOKUP(J38,_xlfn._xlws.FILTER(Bydgoszcz_result[FX_Total_Score],Bydgoszcz_result[Category]="junior"),_xlfn._xlws.FILTER(Bydgoszcz_result[Name],Bydgoszcz_result[Category]="junior"),0)</f>
        <v>LEKHAC Tomasz</v>
      </c>
      <c r="M38" s="10" t="s">
        <v>218</v>
      </c>
      <c r="N38" s="11">
        <f>AVERAGEIFS(Bydgoszcz_result[FX_Dscore],Bydgoszcz_result[[Category]:[Category]],"senior",Bydgoszcz_result[FX_Dscore],"&lt;&gt;0")</f>
        <v>4.3818181818181818</v>
      </c>
      <c r="O38" s="11" cm="1">
        <f t="array" ref="O38">_xlfn.STDEV.S(_xlfn._xlws.FILTER(Bydgoszcz_result[FX_Dscore],(Bydgoszcz_result[Category]="senior")*(Bydgoszcz_result[FX_Dscore]&gt;0)))</f>
        <v>0.56003246659132411</v>
      </c>
      <c r="P38" s="12">
        <f>AVERAGEIFS(Bydgoszcz_result[FX_Escore],Bydgoszcz_result[[Category]:[Category]],"senior",Bydgoszcz_result[FX_Escore],"&lt;&gt;0")</f>
        <v>7.995454545454546</v>
      </c>
      <c r="Q38" s="12" cm="1">
        <f t="array" ref="Q38">_xlfn.STDEV.S(_xlfn._xlws.FILTER(Bydgoszcz_result[FX_Escore],(Bydgoszcz_result[Category]="senior")*(Bydgoszcz_result[FX_Escore]&gt;0)))</f>
        <v>0.79889127716308961</v>
      </c>
      <c r="R38" s="12">
        <f>AVERAGEIFS(Bydgoszcz_result[FX_Total_Score],Bydgoszcz_result[[Category]:[Category]],"senior",Bydgoszcz_result[FX_Total_Score],"&lt;&gt;0")</f>
        <v>12.377272727272727</v>
      </c>
      <c r="S38" s="12" cm="1">
        <f t="array" ref="S38">_xlfn.STDEV.S(_xlfn._xlws.FILTER(Bydgoszcz_result[FX_Total_Score],(Bydgoszcz_result[Category]="senior")*(Bydgoszcz_result[FX_Total_Score]&gt;0)))</f>
        <v>0.88469306439115836</v>
      </c>
      <c r="T38" s="12" cm="1">
        <f t="array" ref="T38">MAX(_xlfn._xlws.FILTER(Bydgoszcz_result[FX_Total_Score],Bydgoszcz_result[Category]="senior"))</f>
        <v>13.6</v>
      </c>
      <c r="U38" s="10" t="str" cm="1">
        <f t="array" ref="U38">_xlfn.XLOOKUP(T38,_xlfn._xlws.FILTER(Bydgoszcz_result[FX_Total_Score],Bydgoszcz_result[Category]="senior"),_xlfn._xlws.FILTER(Bydgoszcz_result[Name],Bydgoszcz_result[Category]="senior"),0)</f>
        <v>SASNAL Filip</v>
      </c>
    </row>
    <row r="39" spans="1:28" ht="31.5" x14ac:dyDescent="0.25">
      <c r="B39" s="16"/>
      <c r="C39" s="10" t="s">
        <v>238</v>
      </c>
      <c r="D39" s="11">
        <f>AVERAGEIFS(Bydgoszcz_result[PH_Dscore],Bydgoszcz_result[[Category]:[Category]],"junior",Bydgoszcz_result[FX_Dscore],"&lt;&gt;0")</f>
        <v>2.8400000000000003</v>
      </c>
      <c r="E39" s="11" cm="1">
        <f t="array" ref="E39">_xlfn.STDEV.S(_xlfn._xlws.FILTER(Bydgoszcz_result[PH_Dscore],(Bydgoszcz_result[Category]="junior")*(Bydgoszcz_result[PH_Dscore]&gt;0)))</f>
        <v>1.0187218058170042</v>
      </c>
      <c r="F39" s="12">
        <f>AVERAGEIFS(Bydgoszcz_result[PH_Escore],Bydgoszcz_result[[Category]:[Category]],"junior",Bydgoszcz_result[FX_Escore],"&lt;&gt;0")</f>
        <v>5.5600000000000014</v>
      </c>
      <c r="G39" s="12" cm="1">
        <f t="array" ref="G39">_xlfn.STDEV.S(_xlfn._xlws.FILTER(Bydgoszcz_result[PH_Escore],(Bydgoszcz_result[Category]="junior")*(Bydgoszcz_result[PH_Escore]&gt;0)))</f>
        <v>1.6164674549668501</v>
      </c>
      <c r="H39" s="12">
        <f>AVERAGEIFS(Bydgoszcz_result[PH_Total_Score],Bydgoszcz_result[[Category]:[Category]],"junior",Bydgoszcz_result[FX_Total_Score],"&lt;&gt;0")</f>
        <v>8.3999999999999986</v>
      </c>
      <c r="I39" s="12" cm="1">
        <f t="array" ref="I39">_xlfn.STDEV.S(_xlfn._xlws.FILTER(Bydgoszcz_result[PH_Total_Score],(Bydgoszcz_result[Category]="junior")*(Bydgoszcz_result[PH_Total_Score]&gt;0)))</f>
        <v>3.882985131237537</v>
      </c>
      <c r="J39" s="12" cm="1">
        <f t="array" ref="J39">MAX(_xlfn._xlws.FILTER(Bydgoszcz_result[PH_Total_Score],Bydgoszcz_result[Category]="junior"))</f>
        <v>12.75</v>
      </c>
      <c r="K39" s="10" t="str" cm="1">
        <f t="array" ref="K39">_xlfn.XLOOKUP(J39,_xlfn._xlws.FILTER(Bydgoszcz_result[PH_Total_Score],Bydgoszcz_result[Category]="junior"),_xlfn._xlws.FILTER(Bydgoszcz_result[Name],Bydgoszcz_result[Category]="junior"),0)</f>
        <v>LEKHAC Tomasz</v>
      </c>
      <c r="M39" s="10" t="s">
        <v>238</v>
      </c>
      <c r="N39" s="11">
        <f>AVERAGEIFS(Bydgoszcz_result[PH_Dscore],Bydgoszcz_result[[Category]:[Category]],"senior",Bydgoszcz_result[PH_Dscore],"&lt;&gt;0")</f>
        <v>3.5153846153846144</v>
      </c>
      <c r="O39" s="11" cm="1">
        <f t="array" ref="O39">_xlfn.STDEV.S(_xlfn._xlws.FILTER(Bydgoszcz_result[PH_Dscore],(Bydgoszcz_result[Category]="senior")*(Bydgoszcz_result[PH_Dscore]&gt;0)))</f>
        <v>0.6465886815255345</v>
      </c>
      <c r="P39" s="12">
        <f>AVERAGEIFS(Bydgoszcz_result[PH_Escore],Bydgoszcz_result[[Category]:[Category]],"senior",Bydgoszcz_result[PH_Escore],"&lt;&gt;0")</f>
        <v>5.9884615384615394</v>
      </c>
      <c r="Q39" s="12" cm="1">
        <f t="array" ref="Q39">_xlfn.STDEV.S(_xlfn._xlws.FILTER(Bydgoszcz_result[PH_Escore],(Bydgoszcz_result[Category]="senior")*(Bydgoszcz_result[PH_Escore]&gt;0)))</f>
        <v>2.4123945439951191</v>
      </c>
      <c r="R39" s="12">
        <f>AVERAGEIFS(Bydgoszcz_result[PH_Total_Score],Bydgoszcz_result[[Category]:[Category]],"senior",Bydgoszcz_result[PH_Total_Score],"&lt;&gt;0")</f>
        <v>9.5038461538461547</v>
      </c>
      <c r="S39" s="12" cm="1">
        <f t="array" ref="S39">_xlfn.STDEV.S(_xlfn._xlws.FILTER(Bydgoszcz_result[PH_Total_Score],(Bydgoszcz_result[Category]="senior")*(Bydgoszcz_result[PH_Total_Score]&gt;0)))</f>
        <v>2.9651771685728394</v>
      </c>
      <c r="T39" s="12" cm="1">
        <f t="array" ref="T39">MAX(_xlfn._xlws.FILTER(Bydgoszcz_result[PH_Total_Score],Bydgoszcz_result[Category]="senior"))</f>
        <v>12.65</v>
      </c>
      <c r="U39" s="10" t="str" cm="1">
        <f t="array" ref="U39">_xlfn.XLOOKUP(T39,_xlfn._xlws.FILTER(Bydgoszcz_result[PH_Total_Score],Bydgoszcz_result[Category]="senior"),_xlfn._xlws.FILTER(Bydgoszcz_result[Name],Bydgoszcz_result[Category]="senior"),0)</f>
        <v>SZYMCZYK Radosław</v>
      </c>
    </row>
    <row r="40" spans="1:28" ht="31.5" x14ac:dyDescent="0.25">
      <c r="B40" s="16"/>
      <c r="C40" s="10" t="s">
        <v>239</v>
      </c>
      <c r="D40" s="11">
        <f>AVERAGEIFS(Bydgoszcz_result[SR_Dscore],Bydgoszcz_result[[Category]:[Category]],"junior",Bydgoszcz_result[SR_Dscore],"&lt;&gt;0")</f>
        <v>2.5533333333333337</v>
      </c>
      <c r="E40" s="11" cm="1">
        <f t="array" ref="E40">_xlfn.STDEV.S(_xlfn._xlws.FILTER(Bydgoszcz_result[SR_Dscore],(Bydgoszcz_result[Category]="junior")*(Bydgoszcz_result[SR_Dscore]&gt;0)))</f>
        <v>0.5194319241339731</v>
      </c>
      <c r="F40" s="12">
        <f>AVERAGEIFS(Bydgoszcz_result[SR_Escore],Bydgoszcz_result[[Category]:[Category]],"junior",Bydgoszcz_result[SR_Escore],"&lt;&gt;0")</f>
        <v>7.0366666666666653</v>
      </c>
      <c r="G40" s="12" cm="1">
        <f t="array" ref="G40">_xlfn.STDEV.S(_xlfn._xlws.FILTER(Bydgoszcz_result[SR_Escore],(Bydgoszcz_result[Category]="junior")*(Bydgoszcz_result[SR_Escore]&gt;0)))</f>
        <v>1.3279235491476813</v>
      </c>
      <c r="H40" s="12">
        <f>AVERAGEIFS(Bydgoszcz_result[SR_Total_Score],Bydgoszcz_result[[Category]:[Category]],"junior",Bydgoszcz_result[SR_Total_Score],"&lt;&gt;0")</f>
        <v>9.5900000000000016</v>
      </c>
      <c r="I40" s="12" cm="1">
        <f t="array" ref="I40">_xlfn.STDEV.S(_xlfn._xlws.FILTER(Bydgoszcz_result[SR_Total_Score],(Bydgoszcz_result[Category]="junior")*(Bydgoszcz_result[SR_Total_Score]&gt;0)))</f>
        <v>1.7176811611671539</v>
      </c>
      <c r="J40" s="12" cm="1">
        <f t="array" ref="J40">MAX(_xlfn._xlws.FILTER(Bydgoszcz_result[SR_Total_Score],Bydgoszcz_result[Category]="junior"))</f>
        <v>11.65</v>
      </c>
      <c r="K40" s="10" t="str" cm="1">
        <f t="array" ref="K40">_xlfn.XLOOKUP(J40,_xlfn._xlws.FILTER(Bydgoszcz_result[SR_Total_Score],Bydgoszcz_result[Category]="junior"),_xlfn._xlws.FILTER(Bydgoszcz_result[Name],Bydgoszcz_result[Category]="junior"),0)</f>
        <v>LEKHAC Tomasz</v>
      </c>
      <c r="M40" s="10" t="s">
        <v>239</v>
      </c>
      <c r="N40" s="11">
        <f>AVERAGEIFS(Bydgoszcz_result[SR_Dscore],Bydgoszcz_result[[Category]:[Category]],"senior",Bydgoszcz_result[SR_Dscore],"&lt;&gt;0")</f>
        <v>3.5166666666666671</v>
      </c>
      <c r="O40" s="11" cm="1">
        <f t="array" ref="O40">_xlfn.STDEV.S(_xlfn._xlws.FILTER(Bydgoszcz_result[SR_Dscore],(Bydgoszcz_result[Category]="senior")*(Bydgoszcz_result[SR_Dscore]&gt;0)))</f>
        <v>0.59518268140330244</v>
      </c>
      <c r="P40" s="12">
        <f>AVERAGEIFS(Bydgoszcz_result[SR_Escore],Bydgoszcz_result[[Category]:[Category]],"senior",Bydgoszcz_result[SR_Escore],"&lt;&gt;0")</f>
        <v>7.4541666666666684</v>
      </c>
      <c r="Q40" s="12" cm="1">
        <f t="array" ref="Q40">_xlfn.STDEV.S(_xlfn._xlws.FILTER(Bydgoszcz_result[SR_Escore],(Bydgoszcz_result[Category]="senior")*(Bydgoszcz_result[SR_Escore]&gt;0)))</f>
        <v>0.58986066664985037</v>
      </c>
      <c r="R40" s="12">
        <f>AVERAGEIFS(Bydgoszcz_result[SR_Total_Score],Bydgoszcz_result[[Category]:[Category]],"senior",Bydgoszcz_result[SR_Total_Score],"&lt;&gt;0")</f>
        <v>10.970833333333333</v>
      </c>
      <c r="S40" s="12" cm="1">
        <f t="array" ref="S40">_xlfn.STDEV.S(_xlfn._xlws.FILTER(Bydgoszcz_result[SR_Total_Score],(Bydgoszcz_result[Category]="senior")*(Bydgoszcz_result[SR_Total_Score]&gt;0)))</f>
        <v>0.79500095292491013</v>
      </c>
      <c r="T40" s="12" cm="1">
        <f t="array" ref="T40">MAX(_xlfn._xlws.FILTER(Bydgoszcz_result[SR_Total_Score],Bydgoszcz_result[Category]="senior"))</f>
        <v>12.5</v>
      </c>
      <c r="U40" s="10" t="str" cm="1">
        <f t="array" ref="U40">_xlfn.XLOOKUP(T40,_xlfn._xlws.FILTER(Bydgoszcz_result[SR_Total_Score],Bydgoszcz_result[Category]="senior"),_xlfn._xlws.FILTER(Bydgoszcz_result[Name],Bydgoszcz_result[Category]="senior"),0)</f>
        <v>YAREMCHUK Vladyslav</v>
      </c>
    </row>
    <row r="41" spans="1:28" ht="31.5" x14ac:dyDescent="0.25">
      <c r="B41" s="16"/>
      <c r="C41" s="10" t="s">
        <v>240</v>
      </c>
      <c r="D41" s="11">
        <f>AVERAGEIFS(Bydgoszcz_result[VT_Dscore],Bydgoszcz_result[[Category]:[Category]],"junior",Bydgoszcz_result[VT_Dscore],"&lt;&gt;0")</f>
        <v>2.5749999999999997</v>
      </c>
      <c r="E41" s="11" cm="1">
        <f t="array" ref="E41">_xlfn.STDEV.S(_xlfn._xlws.FILTER(Bydgoszcz_result[VT_Dscore],(Bydgoszcz_result[Category]="junior")*(Bydgoszcz_result[VT_Dscore]&gt;0)))</f>
        <v>0.74072037009027158</v>
      </c>
      <c r="F41" s="12">
        <f>AVERAGEIFS(Bydgoszcz_result[VT_Escore],Bydgoszcz_result[[Category]:[Category]],"junior",Bydgoszcz_result[VT_Escore],"&lt;&gt;0")</f>
        <v>8.5718749999999986</v>
      </c>
      <c r="G41" s="12" cm="1">
        <f t="array" ref="G41">_xlfn.STDEV.S(_xlfn._xlws.FILTER(Bydgoszcz_result[VT_Escore],(Bydgoszcz_result[Category]="junior")*(Bydgoszcz_result[VT_Escore]&gt;0)))</f>
        <v>0.55856027726050594</v>
      </c>
      <c r="H41" s="12">
        <f>AVERAGEIFS(Bydgoszcz_result[VT_total_score],Bydgoszcz_result[[Category]:[Category]],"junior",Bydgoszcz_result[VT_total_score],"&lt;&gt;0")</f>
        <v>11.146875</v>
      </c>
      <c r="I41" s="12" cm="1">
        <f t="array" ref="I41">_xlfn.STDEV.S(_xlfn._xlws.FILTER(Bydgoszcz_result[VT_total_score],(Bydgoszcz_result[Category]="junior")*(Bydgoszcz_result[VT_total_score]&gt;0)))</f>
        <v>0.81924126482984228</v>
      </c>
      <c r="J41" s="12" cm="1">
        <f t="array" ref="J41">MAX(_xlfn._xlws.FILTER(Bydgoszcz_result[VT_total_score],Bydgoszcz_result[Category]="junior"))</f>
        <v>12.5</v>
      </c>
      <c r="K41" s="10" t="str" cm="1">
        <f t="array" ref="K41">_xlfn.XLOOKUP(J41,_xlfn._xlws.FILTER(Bydgoszcz_result[VT_total_score],Bydgoszcz_result[Category]="junior"),_xlfn._xlws.FILTER(Bydgoszcz_result[Name],Bydgoszcz_result[Category]="junior"),0)</f>
        <v>MISHCHENKO Oleksandr</v>
      </c>
      <c r="M41" s="10" t="s">
        <v>240</v>
      </c>
      <c r="N41" s="11">
        <f>AVERAGEIFS(Bydgoszcz_result[VT_Dscore],Bydgoszcz_result[[Category]:[Category]],"senior",Bydgoszcz_result[VT_Dscore],"&lt;&gt;0")</f>
        <v>3.6199999999999997</v>
      </c>
      <c r="O41" s="11" cm="1">
        <f t="array" ref="O41">_xlfn.STDEV.S(_xlfn._xlws.FILTER(Bydgoszcz_result[VT_Dscore],(Bydgoszcz_result[Category]="senior")*(Bydgoszcz_result[VT_Dscore]&gt;0)))</f>
        <v>0.59962951524717389</v>
      </c>
      <c r="P41" s="12">
        <f>AVERAGEIFS(Bydgoszcz_result[VT_Escore],Bydgoszcz_result[[Category]:[Category]],"senior",Bydgoszcz_result[VT_Escore],"&lt;&gt;0")</f>
        <v>8.754999999999999</v>
      </c>
      <c r="Q41" s="12" cm="1">
        <f t="array" ref="Q41">_xlfn.STDEV.S(_xlfn._xlws.FILTER(Bydgoszcz_result[VT_Escore],(Bydgoszcz_result[Category]="senior")*(Bydgoszcz_result[VT_Escore]&gt;0)))</f>
        <v>0.60848171706305199</v>
      </c>
      <c r="R41" s="12">
        <f>AVERAGEIFS(Bydgoszcz_result[VT_total_score],Bydgoszcz_result[[Category]:[Category]],"senior",Bydgoszcz_result[VT_total_score],"&lt;&gt;0")</f>
        <v>12.375</v>
      </c>
      <c r="S41" s="12" cm="1">
        <f t="array" ref="S41">_xlfn.STDEV.S(_xlfn._xlws.FILTER(Bydgoszcz_result[VT_total_score],(Bydgoszcz_result[Category]="senior")*(Bydgoszcz_result[VT_total_score]&gt;0)))</f>
        <v>0.7962586123727502</v>
      </c>
      <c r="T41" s="12" cm="1">
        <f t="array" ref="T41">MAX(_xlfn._xlws.FILTER(Bydgoszcz_result[VT_total_score],Bydgoszcz_result[Category]="senior"))</f>
        <v>13.5</v>
      </c>
      <c r="U41" s="10" t="str" cm="1">
        <f t="array" ref="U41">_xlfn.XLOOKUP(T41,_xlfn._xlws.FILTER(Bydgoszcz_result[VT_total_score],Bydgoszcz_result[Category]="senior"),_xlfn._xlws.FILTER(Bydgoszcz_result[Name],Bydgoszcz_result[Category]="senior"),0)</f>
        <v>SASNAL Filip</v>
      </c>
    </row>
    <row r="42" spans="1:28" ht="31.5" x14ac:dyDescent="0.25">
      <c r="B42" s="16"/>
      <c r="C42" s="10" t="s">
        <v>241</v>
      </c>
      <c r="D42" s="11">
        <f>AVERAGEIFS(Bydgoszcz_result[PB_Dscore],Bydgoszcz_result[[Category]:[Category]],"junior",Bydgoszcz_result[PB_Dscore],"&lt;&gt;0")</f>
        <v>2.8624999999999998</v>
      </c>
      <c r="E42" s="11" cm="1">
        <f t="array" ref="E42">_xlfn.STDEV.S(_xlfn._xlws.FILTER(Bydgoszcz_result[PB_Dscore],(Bydgoszcz_result[Category]="junior")*(Bydgoszcz_result[PB_Dscore]&gt;0)))</f>
        <v>0.66720811345986275</v>
      </c>
      <c r="F42" s="12">
        <f>AVERAGEIFS(Bydgoszcz_result[PB_Escore],Bydgoszcz_result[[Category]:[Category]],"junior",Bydgoszcz_result[PB_Escore],"&lt;&gt;0")</f>
        <v>7.09375</v>
      </c>
      <c r="G42" s="12" cm="1">
        <f t="array" ref="G42">_xlfn.STDEV.S(_xlfn._xlws.FILTER(Bydgoszcz_result[PB_Escore],(Bydgoszcz_result[Category]="junior")*(Bydgoszcz_result[PB_Escore]&gt;0)))</f>
        <v>2.3377250337311559</v>
      </c>
      <c r="H42" s="12">
        <f>AVERAGEIFS(Bydgoszcz_result[PB_total_score],Bydgoszcz_result[[Category]:[Category]],"junior",Bydgoszcz_result[PB_total_score],"&lt;&gt;0")</f>
        <v>9.9562500000000007</v>
      </c>
      <c r="I42" s="12" cm="1">
        <f t="array" ref="I42">_xlfn.STDEV.S(_xlfn._xlws.FILTER(Bydgoszcz_result[PB_total_score],(Bydgoszcz_result[Category]="junior")*(Bydgoszcz_result[PB_total_score]&gt;0)))</f>
        <v>2.9375088652348449</v>
      </c>
      <c r="J42" s="12" cm="1">
        <f t="array" ref="J42">MAX(_xlfn._xlws.FILTER(Bydgoszcz_result[PB_total_score],Bydgoszcz_result[Category]="junior"))</f>
        <v>12.65</v>
      </c>
      <c r="K42" s="10" t="str" cm="1">
        <f t="array" ref="K42">_xlfn.XLOOKUP(J42,_xlfn._xlws.FILTER(Bydgoszcz_result[PB_total_score],Bydgoszcz_result[Category]="junior"),_xlfn._xlws.FILTER(Bydgoszcz_result[Name],Bydgoszcz_result[Category]="junior"),0)</f>
        <v>LEKHAC Tomasz</v>
      </c>
      <c r="M42" s="10" t="s">
        <v>241</v>
      </c>
      <c r="N42" s="11">
        <f>AVERAGEIFS(Bydgoszcz_result[PB_Dscore],Bydgoszcz_result[[Category]:[Category]],"senior",Bydgoszcz_result[PB_Dscore],"&lt;&gt;0")</f>
        <v>3.7076923076923078</v>
      </c>
      <c r="O42" s="11" cm="1">
        <f t="array" ref="O42">_xlfn.STDEV.S(_xlfn._xlws.FILTER(Bydgoszcz_result[PB_Dscore],(Bydgoszcz_result[Category]="senior")*(Bydgoszcz_result[PB_Dscore]&gt;0)))</f>
        <v>1.6126900603554388</v>
      </c>
      <c r="P42" s="12">
        <f>AVERAGEIFS(Bydgoszcz_result[PB_Escore],Bydgoszcz_result[[Category]:[Category]],"senior",Bydgoszcz_result[PB_Escore],"&lt;&gt;0")</f>
        <v>7.361538461538462</v>
      </c>
      <c r="Q42" s="12" cm="1">
        <f t="array" ref="Q42">_xlfn.STDEV.S(_xlfn._xlws.FILTER(Bydgoszcz_result[PB_Escore],(Bydgoszcz_result[Category]="senior")*(Bydgoszcz_result[PB_Escore]&gt;0)))</f>
        <v>1.6191759537588171</v>
      </c>
      <c r="R42" s="12">
        <f>AVERAGEIFS(Bydgoszcz_result[PB_total_score],Bydgoszcz_result[[Category]:[Category]],"senior",Bydgoszcz_result[PB_total_score],"&lt;&gt;0")</f>
        <v>11.065384615384614</v>
      </c>
      <c r="S42" s="12" cm="1">
        <f t="array" ref="S42">_xlfn.STDEV.S(_xlfn._xlws.FILTER(Bydgoszcz_result[PB_total_score],(Bydgoszcz_result[Category]="senior")*(Bydgoszcz_result[PB_total_score]&gt;0)))</f>
        <v>1.2143902131290503</v>
      </c>
      <c r="T42" s="12" cm="1">
        <f t="array" ref="T42">MAX(_xlfn._xlws.FILTER(Bydgoszcz_result[PB_total_score],Bydgoszcz_result[Category]="senior"))</f>
        <v>12.8</v>
      </c>
      <c r="U42" s="10" t="str" cm="1">
        <f t="array" ref="U42">_xlfn.XLOOKUP(T42,_xlfn._xlws.FILTER(Bydgoszcz_result[PB_total_score],Bydgoszcz_result[Category]="senior"),_xlfn._xlws.FILTER(Bydgoszcz_result[Name],Bydgoszcz_result[Category]="senior"),0)</f>
        <v>SASNAL Filip</v>
      </c>
    </row>
    <row r="43" spans="1:28" ht="31.5" x14ac:dyDescent="0.25">
      <c r="B43" s="16"/>
      <c r="C43" s="10" t="s">
        <v>242</v>
      </c>
      <c r="D43" s="11">
        <f>AVERAGEIFS(Bydgoszcz_result[HB_Dscore],Bydgoszcz_result[[Category]:[Category]],"junior",Bydgoszcz_result[HB_Dscore],"&lt;&gt;0")</f>
        <v>2.2071428571428569</v>
      </c>
      <c r="E43" s="11" cm="1">
        <f t="array" ref="E43">_xlfn.STDEV.S(_xlfn._xlws.FILTER(Bydgoszcz_result[HB_Dscore],(Bydgoszcz_result[Category]="junior")*(Bydgoszcz_result[HB_Dscore]&gt;0)))</f>
        <v>0.93188335826249957</v>
      </c>
      <c r="F43" s="12">
        <f>AVERAGEIFS(Bydgoszcz_result[HB_Escore],Bydgoszcz_result[[Category]:[Category]],"junior",Bydgoszcz_result[HB_Escore],"&lt;&gt;0")</f>
        <v>6.9785714285714278</v>
      </c>
      <c r="G43" s="12" cm="1">
        <f t="array" ref="G43">_xlfn.STDEV.S(_xlfn._xlws.FILTER(Bydgoszcz_result[HB_Escore],(Bydgoszcz_result[Category]="junior")*(Bydgoszcz_result[HB_Escore]&gt;0)))</f>
        <v>2.3238491184400809</v>
      </c>
      <c r="H43" s="12">
        <f>AVERAGEIFS(Bydgoszcz_result[HB_total_score],Bydgoszcz_result[[Category]:[Category]],"junior",Bydgoszcz_result[HB_total_score],"&lt;&gt;0")</f>
        <v>9.1857142857142851</v>
      </c>
      <c r="I43" s="12" cm="1">
        <f t="array" ref="I43">_xlfn.STDEV.S(_xlfn._xlws.FILTER(Bydgoszcz_result[HB_total_score],(Bydgoszcz_result[Category]="junior")*(Bydgoszcz_result[HB_total_score]&gt;0)))</f>
        <v>3.1050472913175873</v>
      </c>
      <c r="J43" s="12" cm="1">
        <f t="array" ref="J43">MAX(_xlfn._xlws.FILTER(Bydgoszcz_result[HB_total_score],Bydgoszcz_result[Category]="junior"))</f>
        <v>11.6</v>
      </c>
      <c r="K43" s="10" t="str" cm="1">
        <f t="array" ref="K43">_xlfn.XLOOKUP(J43,_xlfn._xlws.FILTER(Bydgoszcz_result[HB_total_score],Bydgoszcz_result[Category]="junior"),_xlfn._xlws.FILTER(Bydgoszcz_result[Name],Bydgoszcz_result[Category]="junior"),0)</f>
        <v>LEKHAC Tomasz</v>
      </c>
      <c r="M43" s="10" t="s">
        <v>242</v>
      </c>
      <c r="N43" s="11">
        <f>AVERAGEIFS(Bydgoszcz_result[HB_Dscore],Bydgoszcz_result[[Category]:[Category]],"senior",Bydgoszcz_result[HB_Dscore],"&lt;&gt;0")</f>
        <v>3.2727272727272729</v>
      </c>
      <c r="O43" s="11" cm="1">
        <f t="array" ref="O43">_xlfn.STDEV.S(_xlfn._xlws.FILTER(Bydgoszcz_result[HB_Dscore],(Bydgoszcz_result[Category]="senior")*(Bydgoszcz_result[HB_Dscore]&gt;0)))</f>
        <v>0.65588247284236656</v>
      </c>
      <c r="P43" s="12">
        <f>AVERAGEIFS(Bydgoszcz_result[HB_Escore],Bydgoszcz_result[[Category]:[Category]],"senior",Bydgoszcz_result[HB_Escore],"&lt;&gt;0")</f>
        <v>7.6636363636363649</v>
      </c>
      <c r="Q43" s="12" cm="1">
        <f t="array" ref="Q43">_xlfn.STDEV.S(_xlfn._xlws.FILTER(Bydgoszcz_result[HB_Escore],(Bydgoszcz_result[Category]="senior")*(Bydgoszcz_result[HB_Escore]&gt;0)))</f>
        <v>0.60045437340855023</v>
      </c>
      <c r="R43" s="12">
        <f>AVERAGEIFS(Bydgoszcz_result[HB_total_score],Bydgoszcz_result[[Category]:[Category]],"senior",Bydgoszcz_result[HB_total_score],"&lt;&gt;0")</f>
        <v>10.936363636363637</v>
      </c>
      <c r="S43" s="12" cm="1">
        <f t="array" ref="S43">_xlfn.STDEV.S(_xlfn._xlws.FILTER(Bydgoszcz_result[HB_total_score],(Bydgoszcz_result[Category]="senior")*(Bydgoszcz_result[HB_total_score]&gt;0)))</f>
        <v>1.0481151914486568</v>
      </c>
      <c r="T43" s="12" cm="1">
        <f t="array" ref="T43">MAX(_xlfn._xlws.FILTER(Bydgoszcz_result[HB_total_score],Bydgoszcz_result[Category]="senior"))</f>
        <v>12.5</v>
      </c>
      <c r="U43" s="10" t="str" cm="1">
        <f t="array" ref="U43">_xlfn.XLOOKUP(T43,_xlfn._xlws.FILTER(Bydgoszcz_result[HB_total_score],Bydgoszcz_result[Category]="senior"),_xlfn._xlws.FILTER(Bydgoszcz_result[Name],Bydgoszcz_result[Category]="senior"),0)</f>
        <v>KAŚKOW Paweł</v>
      </c>
    </row>
    <row r="44" spans="1:28" ht="31.5" x14ac:dyDescent="0.25">
      <c r="B44" s="16"/>
      <c r="C44" s="10" t="s">
        <v>243</v>
      </c>
      <c r="D44" s="11">
        <f>AVERAGEIFS(Bydgoszcz_result[AA_Dscore],Bydgoszcz_result[[Category]:[Category]],"junior",Bydgoszcz_result[AA_Dscore],"&lt;&gt;0",Bydgoszcz_result[All Around],"Yes")</f>
        <v>16.841666666666665</v>
      </c>
      <c r="E44" s="11" cm="1">
        <f t="array" ref="E44">_xlfn.STDEV.S(_xlfn._xlws.FILTER(Bydgoszcz_result[AA_Dscore],(Bydgoszcz_result[Category]="junior")*(Bydgoszcz_result[All Around]="yes")))</f>
        <v>3.8053690140817351</v>
      </c>
      <c r="F44" s="12">
        <f>AVERAGEIFS(Bydgoszcz_result[AA_Escore],Bydgoszcz_result[[Category]:[Category]],"junior",Bydgoszcz_result[AA_Escore],"&lt;&gt;0",Bydgoszcz_result[All Around],"Yes")</f>
        <v>44.1875</v>
      </c>
      <c r="G44" s="12" cm="1">
        <f t="array" ref="G44">_xlfn.STDEV.S(_xlfn._xlws.FILTER(Bydgoszcz_result[AA_Escore],(Bydgoszcz_result[Category]="junior")*(Bydgoszcz_result[All Around]="yes")))</f>
        <v>9.0092156100900951</v>
      </c>
      <c r="H44" s="12">
        <f>AVERAGEIFS(Bydgoszcz_result[Total_Score],Bydgoszcz_result[[Category]:[Category]],"junior",Bydgoszcz_result[Total_Score],"&lt;&gt;0",Bydgoszcz_result[All Around],"Yes")</f>
        <v>61.029166666666669</v>
      </c>
      <c r="I44" s="12" cm="1">
        <f t="array" ref="I44">_xlfn.STDEV.S(_xlfn._xlws.FILTER(Bydgoszcz_result[Total_Score],(Bydgoszcz_result[Category]="junior")*(Bydgoszcz_result[All Around]="yes")))</f>
        <v>12.546739133288284</v>
      </c>
      <c r="J44" s="12" cm="1">
        <f t="array" ref="J44">MAX(_xlfn._xlws.FILTER(Bydgoszcz_result[Total_Score],Bydgoszcz_result[Category]="junior"))</f>
        <v>73.2</v>
      </c>
      <c r="K44" s="10" t="str" cm="1">
        <f t="array" ref="K44">_xlfn.XLOOKUP(J44,_xlfn._xlws.FILTER(Bydgoszcz_result[Total_Score],Bydgoszcz_result[Category]="junior"),_xlfn._xlws.FILTER(Bydgoszcz_result[Name],Bydgoszcz_result[Category]="junior"),0)</f>
        <v>LEKHAC Tomasz</v>
      </c>
      <c r="M44" s="10" t="s">
        <v>243</v>
      </c>
      <c r="N44" s="11">
        <f>AVERAGEIFS(Bydgoszcz_result[AA_Dscore],Bydgoszcz_result[[Category]:[Category]],"senior",Bydgoszcz_result[AA_Dscore],"&lt;&gt;0",Bydgoszcz_result[All Around],"Yes")</f>
        <v>22.3</v>
      </c>
      <c r="O44" s="11" cm="1">
        <f t="array" ref="O44">_xlfn.STDEV.S(_xlfn._xlws.FILTER(Bydgoszcz_result[AA_Dscore],(Bydgoszcz_result[Category]="senior")*(Bydgoszcz_result[All Around]="yes")))</f>
        <v>2.9056595022227105</v>
      </c>
      <c r="P44" s="12">
        <f>AVERAGEIFS(Bydgoszcz_result[AA_Escore],Bydgoszcz_result[[Category]:[Category]],"senior",Bydgoszcz_result[AA_Escore],"&lt;&gt;0",Bydgoszcz_result[All Around],"Yes")</f>
        <v>46.043750000000003</v>
      </c>
      <c r="Q44" s="12" cm="1">
        <f t="array" ref="Q44">_xlfn.STDEV.S(_xlfn._xlws.FILTER(Bydgoszcz_result[AA_Escore],(Bydgoszcz_result[Category]="senior")*(Bydgoszcz_result[All Around]="yes")))</f>
        <v>3.8497158986086215</v>
      </c>
      <c r="R44" s="12">
        <f>AVERAGEIFS(Bydgoszcz_result[Total_Score],Bydgoszcz_result[[Category]:[Category]],"senior",Bydgoszcz_result[Total_Score],"&lt;&gt;0",Bydgoszcz_result[All Around],"Yes")</f>
        <v>68.34375</v>
      </c>
      <c r="S44" s="12" cm="1">
        <f t="array" ref="S44">_xlfn.STDEV.S(_xlfn._xlws.FILTER(Bydgoszcz_result[Total_Score],(Bydgoszcz_result[Category]="senior")*(Bydgoszcz_result[All Around]="yes")))</f>
        <v>5.9448920151192475</v>
      </c>
      <c r="T44" s="12" cm="1">
        <f t="array" ref="T44">MAX(_xlfn._xlws.FILTER(Bydgoszcz_result[Total_Score],Bydgoszcz_result[Category]="senior"))</f>
        <v>75.600000000000009</v>
      </c>
      <c r="U44" s="10" t="str" cm="1">
        <f t="array" ref="U44">_xlfn.XLOOKUP(T44,_xlfn._xlws.FILTER(Bydgoszcz_result[Total_Score],Bydgoszcz_result[Category]="senior"),_xlfn._xlws.FILTER(Bydgoszcz_result[Name],Bydgoszcz_result[Category]="senior"),0)</f>
        <v>SASNAL Filip</v>
      </c>
    </row>
    <row r="52" ht="27" customHeight="1" x14ac:dyDescent="0.25"/>
  </sheetData>
  <mergeCells count="2">
    <mergeCell ref="C36:K36"/>
    <mergeCell ref="M36:U36"/>
  </mergeCells>
  <conditionalFormatting sqref="H2:AB33">
    <cfRule type="cellIs" dxfId="15" priority="2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ED06-2471-6745-8B18-820FCAFC026A}">
  <sheetPr>
    <tabColor theme="4" tint="0.39997558519241921"/>
  </sheetPr>
  <dimension ref="A1:AJ55"/>
  <sheetViews>
    <sheetView zoomScale="75" zoomScaleNormal="75" workbookViewId="0">
      <selection activeCell="A39" sqref="A39:XFD39"/>
    </sheetView>
  </sheetViews>
  <sheetFormatPr defaultColWidth="11" defaultRowHeight="15.75" x14ac:dyDescent="0.25"/>
  <cols>
    <col min="1" max="1" width="11.25" style="2" customWidth="1"/>
    <col min="2" max="2" width="21.125" bestFit="1" customWidth="1"/>
    <col min="3" max="3" width="16.5" style="2" customWidth="1"/>
    <col min="4" max="4" width="15.125" style="2" bestFit="1" customWidth="1"/>
    <col min="5" max="5" width="15.875" style="2" customWidth="1"/>
    <col min="6" max="6" width="25.125" bestFit="1" customWidth="1"/>
    <col min="7" max="7" width="25.125" customWidth="1"/>
    <col min="8" max="8" width="12.625" style="3" customWidth="1"/>
    <col min="9" max="9" width="15" style="3" bestFit="1" customWidth="1"/>
    <col min="10" max="10" width="9.875" style="3" customWidth="1"/>
    <col min="11" max="11" width="15.5" style="3" bestFit="1" customWidth="1"/>
    <col min="12" max="12" width="12.5" style="3" customWidth="1"/>
    <col min="13" max="13" width="19.625" style="3" bestFit="1" customWidth="1"/>
    <col min="14" max="14" width="15.25" style="3" bestFit="1" customWidth="1"/>
    <col min="15" max="15" width="15" style="3" bestFit="1" customWidth="1"/>
    <col min="16" max="16" width="19.5" style="3" bestFit="1" customWidth="1"/>
    <col min="17" max="17" width="15.25" style="3" bestFit="1" customWidth="1"/>
    <col min="18" max="18" width="15" style="3" bestFit="1" customWidth="1"/>
    <col min="19" max="19" width="19" style="3" bestFit="1" customWidth="1"/>
    <col min="20" max="20" width="15.25" style="3" bestFit="1" customWidth="1"/>
    <col min="21" max="21" width="15" style="3" bestFit="1" customWidth="1"/>
    <col min="22" max="22" width="19" style="3" bestFit="1" customWidth="1"/>
    <col min="23" max="24" width="9.25" style="3" customWidth="1"/>
    <col min="25" max="25" width="14.875" style="3" customWidth="1"/>
    <col min="26" max="28" width="9.25" style="3" customWidth="1"/>
    <col min="30" max="30" width="22.625" bestFit="1" customWidth="1"/>
    <col min="33" max="33" width="26.625" bestFit="1" customWidth="1"/>
    <col min="34" max="34" width="13.75" bestFit="1" customWidth="1"/>
    <col min="35" max="35" width="14" bestFit="1" customWidth="1"/>
  </cols>
  <sheetData>
    <row r="1" spans="1:36" s="2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247</v>
      </c>
      <c r="AA1" s="2" t="s">
        <v>248</v>
      </c>
      <c r="AB1" s="2" t="s">
        <v>24</v>
      </c>
    </row>
    <row r="2" spans="1:36" x14ac:dyDescent="0.25">
      <c r="A2" s="2">
        <v>1</v>
      </c>
      <c r="B2" t="s">
        <v>59</v>
      </c>
      <c r="C2" s="2" t="s">
        <v>60</v>
      </c>
      <c r="D2" s="2">
        <v>2002</v>
      </c>
      <c r="E2" s="2" t="s">
        <v>61</v>
      </c>
      <c r="F2" t="s">
        <v>62</v>
      </c>
      <c r="G2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" s="5">
        <v>5.3</v>
      </c>
      <c r="I2" s="8">
        <v>8.15</v>
      </c>
      <c r="J2" s="8">
        <v>13.45</v>
      </c>
      <c r="K2" s="5">
        <v>4.9000000000000004</v>
      </c>
      <c r="L2" s="8">
        <v>7.4</v>
      </c>
      <c r="M2" s="8">
        <v>12.3</v>
      </c>
      <c r="N2" s="5">
        <v>4.0999999999999996</v>
      </c>
      <c r="O2" s="8">
        <v>8.35</v>
      </c>
      <c r="P2" s="8">
        <v>12.45</v>
      </c>
      <c r="Q2" s="5">
        <v>4.4000000000000004</v>
      </c>
      <c r="R2" s="8">
        <v>9.1</v>
      </c>
      <c r="S2" s="8">
        <v>13.5</v>
      </c>
      <c r="T2" s="5">
        <v>5</v>
      </c>
      <c r="U2" s="8">
        <v>7.45</v>
      </c>
      <c r="V2" s="8">
        <v>12.45</v>
      </c>
      <c r="W2" s="5">
        <v>4.5999999999999996</v>
      </c>
      <c r="X2" s="8">
        <v>7.4</v>
      </c>
      <c r="Y2" s="8">
        <v>12</v>
      </c>
      <c r="Z2" s="4">
        <f>IF(Zabrze_result[[#This Row],[All Around]]="Yes",SUM(H2,K2,N2,Q2,T2,W2),0)</f>
        <v>28.299999999999997</v>
      </c>
      <c r="AA2" s="7">
        <f>IF(Zabrze_result[[#This Row],[All Around]]="Yes",SUM(I2,L2,O2,R2,U2,X2),0)</f>
        <v>47.85</v>
      </c>
      <c r="AB2" s="7">
        <f>SUM(J2,M2,P2,S2,V2,Y2)</f>
        <v>76.150000000000006</v>
      </c>
      <c r="AJ2" s="1"/>
    </row>
    <row r="3" spans="1:36" x14ac:dyDescent="0.25">
      <c r="A3" s="2">
        <v>2</v>
      </c>
      <c r="B3" t="s">
        <v>63</v>
      </c>
      <c r="C3" s="2" t="s">
        <v>60</v>
      </c>
      <c r="D3" s="2">
        <v>1997</v>
      </c>
      <c r="E3" s="2" t="s">
        <v>64</v>
      </c>
      <c r="F3" t="s">
        <v>39</v>
      </c>
      <c r="G3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" s="5">
        <v>6</v>
      </c>
      <c r="I3" s="8">
        <v>6.6</v>
      </c>
      <c r="J3" s="8">
        <v>12.6</v>
      </c>
      <c r="K3" s="5">
        <v>4.5999999999999996</v>
      </c>
      <c r="L3" s="8">
        <v>6.4</v>
      </c>
      <c r="M3" s="8">
        <v>11</v>
      </c>
      <c r="N3" s="5">
        <v>3.9</v>
      </c>
      <c r="O3" s="8">
        <v>8.1</v>
      </c>
      <c r="P3" s="8">
        <v>12</v>
      </c>
      <c r="Q3" s="5">
        <v>5.2</v>
      </c>
      <c r="R3" s="8">
        <v>9.6</v>
      </c>
      <c r="S3" s="8">
        <v>14.8</v>
      </c>
      <c r="T3" s="5">
        <v>4.2</v>
      </c>
      <c r="U3" s="8">
        <v>8.1999999999999993</v>
      </c>
      <c r="V3" s="8">
        <v>12.4</v>
      </c>
      <c r="W3" s="5">
        <v>4.4000000000000004</v>
      </c>
      <c r="X3" s="8">
        <v>6.8</v>
      </c>
      <c r="Y3" s="8">
        <v>11.2</v>
      </c>
      <c r="Z3" s="4">
        <f>IF(Zabrze_result[[#This Row],[All Around]]="Yes",SUM(H3,K3,N3,Q3,T3,W3),0)</f>
        <v>28.299999999999997</v>
      </c>
      <c r="AA3" s="7">
        <f>IF(Zabrze_result[[#This Row],[All Around]]="Yes",SUM(I3,L3,O3,R3,U3,X3),0)</f>
        <v>45.7</v>
      </c>
      <c r="AB3" s="7">
        <f t="shared" ref="AB3:AB38" si="0">SUM(J3,M3,P3,S3,V3,Y3)</f>
        <v>74</v>
      </c>
      <c r="AJ3" s="1"/>
    </row>
    <row r="4" spans="1:36" x14ac:dyDescent="0.25">
      <c r="A4" s="2">
        <v>3</v>
      </c>
      <c r="B4" t="s">
        <v>65</v>
      </c>
      <c r="C4" s="2" t="s">
        <v>60</v>
      </c>
      <c r="D4" s="2">
        <v>2001</v>
      </c>
      <c r="E4" s="2" t="s">
        <v>66</v>
      </c>
      <c r="F4" t="s">
        <v>67</v>
      </c>
      <c r="G4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4" s="5">
        <v>3.8</v>
      </c>
      <c r="I4" s="8">
        <v>8.4</v>
      </c>
      <c r="J4" s="8">
        <v>12.2</v>
      </c>
      <c r="K4" s="5">
        <v>3</v>
      </c>
      <c r="L4" s="8">
        <v>8.4</v>
      </c>
      <c r="M4" s="8">
        <v>11.4</v>
      </c>
      <c r="N4" s="5">
        <v>3.9</v>
      </c>
      <c r="O4" s="8">
        <v>8.4</v>
      </c>
      <c r="P4" s="8">
        <v>12.3</v>
      </c>
      <c r="Q4" s="5">
        <v>4</v>
      </c>
      <c r="R4" s="8">
        <v>9.1</v>
      </c>
      <c r="S4" s="8">
        <v>13.1</v>
      </c>
      <c r="T4" s="5">
        <v>3</v>
      </c>
      <c r="U4" s="8">
        <v>9.35</v>
      </c>
      <c r="V4" s="8">
        <v>12.35</v>
      </c>
      <c r="W4" s="5">
        <v>3.6</v>
      </c>
      <c r="X4" s="8">
        <v>7.1</v>
      </c>
      <c r="Y4" s="8">
        <v>10.7</v>
      </c>
      <c r="Z4" s="4">
        <f>IF(Zabrze_result[[#This Row],[All Around]]="Yes",SUM(H4,K4,N4,Q4,T4,W4),0)</f>
        <v>21.3</v>
      </c>
      <c r="AA4" s="7">
        <f>IF(Zabrze_result[[#This Row],[All Around]]="Yes",SUM(I4,L4,O4,R4,U4,X4),0)</f>
        <v>50.750000000000007</v>
      </c>
      <c r="AB4" s="7">
        <f t="shared" si="0"/>
        <v>72.050000000000011</v>
      </c>
      <c r="AJ4" s="1"/>
    </row>
    <row r="5" spans="1:36" x14ac:dyDescent="0.25">
      <c r="A5" s="2">
        <v>4</v>
      </c>
      <c r="B5" t="s">
        <v>68</v>
      </c>
      <c r="C5" s="2" t="s">
        <v>60</v>
      </c>
      <c r="D5" s="2">
        <v>2004</v>
      </c>
      <c r="E5" s="2" t="s">
        <v>69</v>
      </c>
      <c r="F5" t="s">
        <v>31</v>
      </c>
      <c r="G5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5" s="5">
        <v>4.2</v>
      </c>
      <c r="I5" s="8">
        <v>8.35</v>
      </c>
      <c r="J5" s="8">
        <v>12.55</v>
      </c>
      <c r="K5" s="5">
        <v>3.8</v>
      </c>
      <c r="L5" s="8">
        <v>7.75</v>
      </c>
      <c r="M5" s="8">
        <v>11.55</v>
      </c>
      <c r="N5" s="5">
        <v>3.8</v>
      </c>
      <c r="O5" s="8">
        <v>7.7</v>
      </c>
      <c r="P5" s="8">
        <v>11.5</v>
      </c>
      <c r="Q5" s="5">
        <v>4</v>
      </c>
      <c r="R5" s="8">
        <v>9.6</v>
      </c>
      <c r="S5" s="8">
        <v>13.6</v>
      </c>
      <c r="T5" s="5">
        <v>3.5</v>
      </c>
      <c r="U5" s="8">
        <v>8.6999999999999993</v>
      </c>
      <c r="V5" s="8">
        <v>12.2</v>
      </c>
      <c r="W5" s="5">
        <v>2.2000000000000002</v>
      </c>
      <c r="X5" s="8">
        <v>7.85</v>
      </c>
      <c r="Y5" s="8">
        <v>10.050000000000001</v>
      </c>
      <c r="Z5" s="4">
        <f>IF(Zabrze_result[[#This Row],[All Around]]="Yes",SUM(H5,K5,N5,Q5,T5,W5),0)</f>
        <v>21.5</v>
      </c>
      <c r="AA5" s="7">
        <f>IF(Zabrze_result[[#This Row],[All Around]]="Yes",SUM(I5,L5,O5,R5,U5,X5),0)</f>
        <v>49.949999999999996</v>
      </c>
      <c r="AB5" s="7">
        <f t="shared" si="0"/>
        <v>71.45</v>
      </c>
      <c r="AJ5" s="1"/>
    </row>
    <row r="6" spans="1:36" x14ac:dyDescent="0.25">
      <c r="A6" s="2">
        <v>5</v>
      </c>
      <c r="B6" t="s">
        <v>70</v>
      </c>
      <c r="C6" s="2" t="s">
        <v>60</v>
      </c>
      <c r="D6" s="2">
        <v>2001</v>
      </c>
      <c r="E6" s="2" t="s">
        <v>71</v>
      </c>
      <c r="F6" t="s">
        <v>72</v>
      </c>
      <c r="G6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6" s="5">
        <v>5</v>
      </c>
      <c r="I6" s="8">
        <v>6.8</v>
      </c>
      <c r="J6" s="8">
        <v>11.8</v>
      </c>
      <c r="K6" s="5">
        <v>3.3</v>
      </c>
      <c r="L6" s="8">
        <v>6</v>
      </c>
      <c r="M6" s="8">
        <v>9.3000000000000007</v>
      </c>
      <c r="N6" s="5">
        <v>4.0999999999999996</v>
      </c>
      <c r="O6" s="8">
        <v>7.6</v>
      </c>
      <c r="P6" s="8">
        <v>11.7</v>
      </c>
      <c r="Q6" s="5">
        <v>5.2</v>
      </c>
      <c r="R6" s="8">
        <v>8.25</v>
      </c>
      <c r="S6" s="8">
        <v>13.45</v>
      </c>
      <c r="T6" s="5">
        <v>4.3</v>
      </c>
      <c r="U6" s="8">
        <v>8.1999999999999993</v>
      </c>
      <c r="V6" s="8">
        <v>12.5</v>
      </c>
      <c r="W6" s="5">
        <v>3.7</v>
      </c>
      <c r="X6" s="8">
        <v>7.95</v>
      </c>
      <c r="Y6" s="8">
        <v>11.65</v>
      </c>
      <c r="Z6" s="4">
        <f>IF(Zabrze_result[[#This Row],[All Around]]="Yes",SUM(H6,K6,N6,Q6,T6,W6),0)</f>
        <v>25.6</v>
      </c>
      <c r="AA6" s="7">
        <f>IF(Zabrze_result[[#This Row],[All Around]]="Yes",SUM(I6,L6,O6,R6,U6,X6),0)</f>
        <v>44.8</v>
      </c>
      <c r="AB6" s="7">
        <f t="shared" si="0"/>
        <v>70.400000000000006</v>
      </c>
      <c r="AJ6" s="1"/>
    </row>
    <row r="7" spans="1:36" x14ac:dyDescent="0.25">
      <c r="A7" s="2">
        <v>6</v>
      </c>
      <c r="B7" t="s">
        <v>73</v>
      </c>
      <c r="C7" s="2" t="s">
        <v>60</v>
      </c>
      <c r="D7" s="2">
        <v>2001</v>
      </c>
      <c r="E7" s="2" t="s">
        <v>74</v>
      </c>
      <c r="F7" t="s">
        <v>62</v>
      </c>
      <c r="G7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7" s="5">
        <v>4.7</v>
      </c>
      <c r="I7" s="8">
        <v>8.6999999999999993</v>
      </c>
      <c r="J7" s="8">
        <v>13.4</v>
      </c>
      <c r="K7" s="5">
        <v>3</v>
      </c>
      <c r="L7" s="8">
        <v>7.5</v>
      </c>
      <c r="M7" s="8">
        <v>10.5</v>
      </c>
      <c r="N7" s="5">
        <v>2.5</v>
      </c>
      <c r="O7" s="8">
        <v>8.15</v>
      </c>
      <c r="P7" s="8">
        <v>10.65</v>
      </c>
      <c r="Q7" s="5">
        <v>4</v>
      </c>
      <c r="R7" s="8">
        <v>9.1</v>
      </c>
      <c r="S7" s="8">
        <v>13.1</v>
      </c>
      <c r="T7" s="5">
        <v>4.0999999999999996</v>
      </c>
      <c r="U7" s="8">
        <v>7.9</v>
      </c>
      <c r="V7" s="8">
        <v>12</v>
      </c>
      <c r="W7" s="5">
        <v>2.7</v>
      </c>
      <c r="X7" s="8">
        <v>7.55</v>
      </c>
      <c r="Y7" s="8">
        <v>10.25</v>
      </c>
      <c r="Z7" s="4">
        <f>IF(Zabrze_result[[#This Row],[All Around]]="Yes",SUM(H7,K7,N7,Q7,T7,W7),0)</f>
        <v>20.999999999999996</v>
      </c>
      <c r="AA7" s="7">
        <f>IF(Zabrze_result[[#This Row],[All Around]]="Yes",SUM(I7,L7,O7,R7,U7,X7),0)</f>
        <v>48.9</v>
      </c>
      <c r="AB7" s="7">
        <f t="shared" si="0"/>
        <v>69.900000000000006</v>
      </c>
      <c r="AJ7" s="1"/>
    </row>
    <row r="8" spans="1:36" x14ac:dyDescent="0.25">
      <c r="A8" s="2">
        <v>7</v>
      </c>
      <c r="B8" t="s">
        <v>75</v>
      </c>
      <c r="C8" s="2" t="s">
        <v>60</v>
      </c>
      <c r="D8" s="2">
        <v>2003</v>
      </c>
      <c r="E8" s="2" t="s">
        <v>76</v>
      </c>
      <c r="F8" t="s">
        <v>28</v>
      </c>
      <c r="G8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8" s="5">
        <v>3.8</v>
      </c>
      <c r="I8" s="8">
        <v>7.3</v>
      </c>
      <c r="J8" s="8">
        <v>11.1</v>
      </c>
      <c r="K8" s="5">
        <v>4.2</v>
      </c>
      <c r="L8" s="8">
        <v>8.25</v>
      </c>
      <c r="M8" s="8">
        <v>12.45</v>
      </c>
      <c r="N8" s="5">
        <v>3.8</v>
      </c>
      <c r="O8" s="8">
        <v>7.8</v>
      </c>
      <c r="P8" s="8">
        <v>11.6</v>
      </c>
      <c r="Q8" s="5">
        <v>3.2</v>
      </c>
      <c r="R8" s="8">
        <v>9.4499999999999993</v>
      </c>
      <c r="S8" s="8">
        <v>12.65</v>
      </c>
      <c r="T8" s="5">
        <v>3.5</v>
      </c>
      <c r="U8" s="8">
        <v>8.0500000000000007</v>
      </c>
      <c r="V8" s="8">
        <v>11.55</v>
      </c>
      <c r="W8" s="5">
        <v>2.2000000000000002</v>
      </c>
      <c r="X8" s="8">
        <v>8.1</v>
      </c>
      <c r="Y8" s="8">
        <v>10.3</v>
      </c>
      <c r="Z8" s="4">
        <f>IF(Zabrze_result[[#This Row],[All Around]]="Yes",SUM(H8,K8,N8,Q8,T8,W8),0)</f>
        <v>20.7</v>
      </c>
      <c r="AA8" s="7">
        <f>IF(Zabrze_result[[#This Row],[All Around]]="Yes",SUM(I8,L8,O8,R8,U8,X8),0)</f>
        <v>48.949999999999996</v>
      </c>
      <c r="AB8" s="7">
        <f t="shared" si="0"/>
        <v>69.649999999999991</v>
      </c>
      <c r="AJ8" s="1"/>
    </row>
    <row r="9" spans="1:36" x14ac:dyDescent="0.25">
      <c r="A9" s="2">
        <v>8</v>
      </c>
      <c r="B9" t="s">
        <v>77</v>
      </c>
      <c r="C9" s="2" t="s">
        <v>60</v>
      </c>
      <c r="D9" s="2">
        <v>2002</v>
      </c>
      <c r="E9" s="2" t="s">
        <v>78</v>
      </c>
      <c r="F9" t="s">
        <v>79</v>
      </c>
      <c r="G9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9" s="5">
        <v>3.9</v>
      </c>
      <c r="I9" s="8">
        <v>7.85</v>
      </c>
      <c r="J9" s="8">
        <v>11.75</v>
      </c>
      <c r="K9" s="5">
        <v>3.8</v>
      </c>
      <c r="L9" s="8">
        <v>6.2</v>
      </c>
      <c r="M9" s="8">
        <v>10</v>
      </c>
      <c r="N9" s="5">
        <v>3.8</v>
      </c>
      <c r="O9" s="8">
        <v>8.4</v>
      </c>
      <c r="P9" s="8">
        <v>12.2</v>
      </c>
      <c r="Q9" s="5">
        <v>3.2</v>
      </c>
      <c r="R9" s="8">
        <v>9.15</v>
      </c>
      <c r="S9" s="8">
        <v>12.35</v>
      </c>
      <c r="T9" s="5">
        <v>3.8</v>
      </c>
      <c r="U9" s="8">
        <v>8.75</v>
      </c>
      <c r="V9" s="8">
        <v>12.55</v>
      </c>
      <c r="W9" s="5">
        <v>2.6</v>
      </c>
      <c r="X9" s="8">
        <v>7.5</v>
      </c>
      <c r="Y9" s="8">
        <v>10.1</v>
      </c>
      <c r="Z9" s="4">
        <f>IF(Zabrze_result[[#This Row],[All Around]]="Yes",SUM(H9,K9,N9,Q9,T9,W9),0)</f>
        <v>21.1</v>
      </c>
      <c r="AA9" s="7">
        <f>IF(Zabrze_result[[#This Row],[All Around]]="Yes",SUM(I9,L9,O9,R9,U9,X9),0)</f>
        <v>47.85</v>
      </c>
      <c r="AB9" s="7">
        <f t="shared" si="0"/>
        <v>68.95</v>
      </c>
      <c r="AJ9" s="1"/>
    </row>
    <row r="10" spans="1:36" x14ac:dyDescent="0.25">
      <c r="A10" s="2">
        <v>9</v>
      </c>
      <c r="B10" t="s">
        <v>80</v>
      </c>
      <c r="C10" s="2" t="s">
        <v>60</v>
      </c>
      <c r="D10" s="2">
        <v>2004</v>
      </c>
      <c r="E10" s="2" t="s">
        <v>81</v>
      </c>
      <c r="F10" t="s">
        <v>62</v>
      </c>
      <c r="G10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10" s="5">
        <v>3.4</v>
      </c>
      <c r="I10" s="8">
        <v>8.6999999999999993</v>
      </c>
      <c r="J10" s="8">
        <v>12.1</v>
      </c>
      <c r="K10" s="5">
        <v>4.0999999999999996</v>
      </c>
      <c r="L10" s="8">
        <v>6.7</v>
      </c>
      <c r="M10" s="8">
        <v>10.8</v>
      </c>
      <c r="N10" s="5">
        <v>3.7</v>
      </c>
      <c r="O10" s="8">
        <v>7.9</v>
      </c>
      <c r="P10" s="8">
        <v>11.6</v>
      </c>
      <c r="Q10" s="5">
        <v>3.6</v>
      </c>
      <c r="R10" s="8">
        <v>8.15</v>
      </c>
      <c r="S10" s="8">
        <v>11.75</v>
      </c>
      <c r="T10" s="5">
        <v>3.6</v>
      </c>
      <c r="U10" s="8">
        <v>8.65</v>
      </c>
      <c r="V10" s="8">
        <v>12.25</v>
      </c>
      <c r="W10" s="5">
        <v>2.5</v>
      </c>
      <c r="X10" s="8">
        <v>7.9</v>
      </c>
      <c r="Y10" s="8">
        <v>10.4</v>
      </c>
      <c r="Z10" s="4">
        <f>IF(Zabrze_result[[#This Row],[All Around]]="Yes",SUM(H10,K10,N10,Q10,T10,W10),0)</f>
        <v>20.9</v>
      </c>
      <c r="AA10" s="7">
        <f>IF(Zabrze_result[[#This Row],[All Around]]="Yes",SUM(I10,L10,O10,R10,U10,X10),0)</f>
        <v>47.999999999999993</v>
      </c>
      <c r="AB10" s="7">
        <f t="shared" si="0"/>
        <v>68.900000000000006</v>
      </c>
      <c r="AJ10" s="1"/>
    </row>
    <row r="11" spans="1:36" x14ac:dyDescent="0.25">
      <c r="A11" s="2">
        <v>10</v>
      </c>
      <c r="B11" t="s">
        <v>82</v>
      </c>
      <c r="C11" s="2" t="s">
        <v>60</v>
      </c>
      <c r="D11" s="2">
        <v>2003</v>
      </c>
      <c r="E11" s="2" t="s">
        <v>83</v>
      </c>
      <c r="F11" t="s">
        <v>36</v>
      </c>
      <c r="G11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11" s="5">
        <v>4.4000000000000004</v>
      </c>
      <c r="I11" s="8">
        <v>8.1</v>
      </c>
      <c r="J11" s="8">
        <v>12.5</v>
      </c>
      <c r="K11" s="5">
        <v>3.4</v>
      </c>
      <c r="L11" s="8">
        <v>5.5</v>
      </c>
      <c r="M11" s="8">
        <v>8.9</v>
      </c>
      <c r="N11" s="5">
        <v>3.8</v>
      </c>
      <c r="O11" s="8">
        <v>7.5</v>
      </c>
      <c r="P11" s="8">
        <v>11.3</v>
      </c>
      <c r="Q11" s="5">
        <v>4</v>
      </c>
      <c r="R11" s="8">
        <v>9.3000000000000007</v>
      </c>
      <c r="S11" s="8">
        <v>13.3</v>
      </c>
      <c r="T11" s="5">
        <v>3</v>
      </c>
      <c r="U11" s="8">
        <v>8.75</v>
      </c>
      <c r="V11" s="8">
        <v>11.75</v>
      </c>
      <c r="W11" s="5">
        <v>3.3</v>
      </c>
      <c r="X11" s="8">
        <v>7.8</v>
      </c>
      <c r="Y11" s="8">
        <v>11.1</v>
      </c>
      <c r="Z11" s="4">
        <f>IF(Zabrze_result[[#This Row],[All Around]]="Yes",SUM(H11,K11,N11,Q11,T11,W11),0)</f>
        <v>21.900000000000002</v>
      </c>
      <c r="AA11" s="7">
        <f>IF(Zabrze_result[[#This Row],[All Around]]="Yes",SUM(I11,L11,O11,R11,U11,X11),0)</f>
        <v>46.95</v>
      </c>
      <c r="AB11" s="7">
        <f t="shared" si="0"/>
        <v>68.849999999999994</v>
      </c>
      <c r="AJ11" s="1"/>
    </row>
    <row r="12" spans="1:36" x14ac:dyDescent="0.25">
      <c r="A12" s="2">
        <v>11</v>
      </c>
      <c r="B12" t="s">
        <v>84</v>
      </c>
      <c r="C12" s="2" t="s">
        <v>60</v>
      </c>
      <c r="D12" s="2">
        <v>2004</v>
      </c>
      <c r="E12" s="2" t="s">
        <v>85</v>
      </c>
      <c r="F12" t="s">
        <v>39</v>
      </c>
      <c r="G12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12" s="5">
        <v>4.0999999999999996</v>
      </c>
      <c r="I12" s="8">
        <v>6.25</v>
      </c>
      <c r="J12" s="8">
        <v>10.35</v>
      </c>
      <c r="K12" s="5">
        <v>3.2</v>
      </c>
      <c r="L12" s="8">
        <v>4.75</v>
      </c>
      <c r="M12" s="8">
        <v>7.95</v>
      </c>
      <c r="N12" s="5">
        <v>3.4</v>
      </c>
      <c r="O12" s="8">
        <v>7.3</v>
      </c>
      <c r="P12" s="8">
        <v>10.7</v>
      </c>
      <c r="Q12" s="5">
        <v>3.2</v>
      </c>
      <c r="R12" s="8">
        <v>9.25</v>
      </c>
      <c r="S12" s="8">
        <v>12.45</v>
      </c>
      <c r="T12" s="5">
        <v>4.2</v>
      </c>
      <c r="U12" s="8">
        <v>7.5</v>
      </c>
      <c r="V12" s="8">
        <v>11.7</v>
      </c>
      <c r="W12" s="5">
        <v>2.8</v>
      </c>
      <c r="X12" s="8">
        <v>8</v>
      </c>
      <c r="Y12" s="8">
        <v>10.8</v>
      </c>
      <c r="Z12" s="4">
        <f>IF(Zabrze_result[[#This Row],[All Around]]="Yes",SUM(H12,K12,N12,Q12,T12,W12),0)</f>
        <v>20.9</v>
      </c>
      <c r="AA12" s="7">
        <f>IF(Zabrze_result[[#This Row],[All Around]]="Yes",SUM(I12,L12,O12,R12,U12,X12),0)</f>
        <v>43.05</v>
      </c>
      <c r="AB12" s="7">
        <f t="shared" si="0"/>
        <v>63.95</v>
      </c>
      <c r="AJ12" s="1"/>
    </row>
    <row r="13" spans="1:36" x14ac:dyDescent="0.25">
      <c r="A13" s="2">
        <v>12</v>
      </c>
      <c r="B13" t="s">
        <v>86</v>
      </c>
      <c r="C13" s="2" t="s">
        <v>60</v>
      </c>
      <c r="D13" s="2">
        <v>2003</v>
      </c>
      <c r="E13" s="2" t="s">
        <v>87</v>
      </c>
      <c r="F13" t="s">
        <v>72</v>
      </c>
      <c r="G13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3" s="5">
        <v>3.9</v>
      </c>
      <c r="I13" s="8">
        <v>8</v>
      </c>
      <c r="J13" s="8">
        <v>11.9</v>
      </c>
      <c r="K13" s="5">
        <v>4</v>
      </c>
      <c r="L13" s="8">
        <v>7.8</v>
      </c>
      <c r="M13" s="8">
        <v>11.8</v>
      </c>
      <c r="N13" s="5">
        <v>2.6</v>
      </c>
      <c r="O13" s="8">
        <v>3</v>
      </c>
      <c r="P13" s="8">
        <v>5.6</v>
      </c>
      <c r="Q13" s="5">
        <v>0</v>
      </c>
      <c r="R13" s="8">
        <v>0</v>
      </c>
      <c r="S13" s="8">
        <v>0</v>
      </c>
      <c r="T13" s="5">
        <v>2.8</v>
      </c>
      <c r="U13" s="8">
        <v>7.5</v>
      </c>
      <c r="V13" s="8">
        <v>10.3</v>
      </c>
      <c r="W13" s="5">
        <v>0</v>
      </c>
      <c r="X13" s="8">
        <v>0</v>
      </c>
      <c r="Y13" s="8">
        <v>0</v>
      </c>
      <c r="Z13" s="4">
        <f>IF(Zabrze_result[[#This Row],[All Around]]="Yes",SUM(H13,K13,N13,Q13,T13,W13),0)</f>
        <v>0</v>
      </c>
      <c r="AA13" s="7">
        <f>IF(Zabrze_result[[#This Row],[All Around]]="Yes",SUM(I13,L13,O13,R13,U13,X13),0)</f>
        <v>0</v>
      </c>
      <c r="AB13" s="7">
        <f t="shared" si="0"/>
        <v>39.600000000000009</v>
      </c>
      <c r="AJ13" s="1"/>
    </row>
    <row r="14" spans="1:36" x14ac:dyDescent="0.25">
      <c r="A14" s="2">
        <v>13</v>
      </c>
      <c r="B14" t="s">
        <v>88</v>
      </c>
      <c r="C14" s="2" t="s">
        <v>60</v>
      </c>
      <c r="D14" s="2">
        <v>2003</v>
      </c>
      <c r="E14" s="2" t="s">
        <v>89</v>
      </c>
      <c r="F14" t="s">
        <v>36</v>
      </c>
      <c r="G14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4" s="5">
        <v>0</v>
      </c>
      <c r="I14" s="8">
        <v>0</v>
      </c>
      <c r="J14" s="8">
        <v>0</v>
      </c>
      <c r="K14" s="5">
        <v>2.7</v>
      </c>
      <c r="L14" s="8">
        <v>7</v>
      </c>
      <c r="M14" s="8">
        <v>9.6999999999999993</v>
      </c>
      <c r="N14" s="5">
        <v>2.5</v>
      </c>
      <c r="O14" s="8">
        <v>7.2</v>
      </c>
      <c r="P14" s="8">
        <v>9.6999999999999993</v>
      </c>
      <c r="Q14" s="5">
        <v>0</v>
      </c>
      <c r="R14" s="8">
        <v>0</v>
      </c>
      <c r="S14" s="8">
        <v>0</v>
      </c>
      <c r="T14" s="5">
        <v>2.8</v>
      </c>
      <c r="U14" s="8">
        <v>7.4</v>
      </c>
      <c r="V14" s="8">
        <v>10.199999999999999</v>
      </c>
      <c r="W14" s="5">
        <v>2.1</v>
      </c>
      <c r="X14" s="8">
        <v>6.9</v>
      </c>
      <c r="Y14" s="8">
        <v>9</v>
      </c>
      <c r="Z14" s="4">
        <f>IF(Zabrze_result[[#This Row],[All Around]]="Yes",SUM(H14,K14,N14,Q14,T14,W14),0)</f>
        <v>0</v>
      </c>
      <c r="AA14" s="7">
        <f>IF(Zabrze_result[[#This Row],[All Around]]="Yes",SUM(I14,L14,O14,R14,U14,X14),0)</f>
        <v>0</v>
      </c>
      <c r="AB14" s="7">
        <f t="shared" si="0"/>
        <v>38.599999999999994</v>
      </c>
      <c r="AJ14" s="1"/>
    </row>
    <row r="15" spans="1:36" x14ac:dyDescent="0.25">
      <c r="A15" s="2">
        <v>14</v>
      </c>
      <c r="B15" t="s">
        <v>90</v>
      </c>
      <c r="C15" s="2" t="s">
        <v>60</v>
      </c>
      <c r="D15" s="2">
        <v>2004</v>
      </c>
      <c r="E15" s="2" t="s">
        <v>91</v>
      </c>
      <c r="F15" t="s">
        <v>36</v>
      </c>
      <c r="G15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5" s="5">
        <v>4</v>
      </c>
      <c r="I15" s="8">
        <v>7.85</v>
      </c>
      <c r="J15" s="8">
        <v>11.85</v>
      </c>
      <c r="K15" s="5">
        <v>2.6</v>
      </c>
      <c r="L15" s="8">
        <v>0</v>
      </c>
      <c r="M15" s="8">
        <v>2.6</v>
      </c>
      <c r="N15" s="5">
        <v>3.8</v>
      </c>
      <c r="O15" s="8">
        <v>7</v>
      </c>
      <c r="P15" s="8">
        <v>10.8</v>
      </c>
      <c r="Q15" s="5">
        <v>4</v>
      </c>
      <c r="R15" s="8">
        <v>8.4</v>
      </c>
      <c r="S15" s="8">
        <v>12.4</v>
      </c>
      <c r="T15" s="5">
        <v>0</v>
      </c>
      <c r="U15" s="8">
        <v>0</v>
      </c>
      <c r="V15" s="8">
        <v>0</v>
      </c>
      <c r="W15" s="5">
        <v>0</v>
      </c>
      <c r="X15" s="8">
        <v>0</v>
      </c>
      <c r="Y15" s="8">
        <v>0</v>
      </c>
      <c r="Z15" s="4">
        <f>IF(Zabrze_result[[#This Row],[All Around]]="Yes",SUM(H15,K15,N15,Q15,T15,W15),0)</f>
        <v>0</v>
      </c>
      <c r="AA15" s="7">
        <f>IF(Zabrze_result[[#This Row],[All Around]]="Yes",SUM(I15,L15,O15,R15,U15,X15),0)</f>
        <v>0</v>
      </c>
      <c r="AB15" s="7">
        <f t="shared" si="0"/>
        <v>37.65</v>
      </c>
      <c r="AJ15" s="1"/>
    </row>
    <row r="16" spans="1:36" x14ac:dyDescent="0.25">
      <c r="A16" s="2">
        <v>15</v>
      </c>
      <c r="B16" t="s">
        <v>92</v>
      </c>
      <c r="C16" s="2" t="s">
        <v>60</v>
      </c>
      <c r="D16" s="2">
        <v>2004</v>
      </c>
      <c r="E16" s="2" t="s">
        <v>93</v>
      </c>
      <c r="F16" t="s">
        <v>39</v>
      </c>
      <c r="G16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6" s="5">
        <v>3.7</v>
      </c>
      <c r="I16" s="8">
        <v>7.95</v>
      </c>
      <c r="J16" s="8">
        <v>11.65</v>
      </c>
      <c r="K16" s="5">
        <v>3.7</v>
      </c>
      <c r="L16" s="8">
        <v>8.6</v>
      </c>
      <c r="M16" s="8">
        <v>12.3</v>
      </c>
      <c r="N16" s="5">
        <v>0</v>
      </c>
      <c r="O16" s="8">
        <v>0</v>
      </c>
      <c r="P16" s="8">
        <v>0</v>
      </c>
      <c r="Q16" s="5">
        <v>4</v>
      </c>
      <c r="R16" s="8">
        <v>8.9</v>
      </c>
      <c r="S16" s="8">
        <v>12.9</v>
      </c>
      <c r="T16" s="5">
        <v>0</v>
      </c>
      <c r="U16" s="8">
        <v>0</v>
      </c>
      <c r="V16" s="8">
        <v>0</v>
      </c>
      <c r="W16" s="5">
        <v>0</v>
      </c>
      <c r="X16" s="8">
        <v>0</v>
      </c>
      <c r="Y16" s="8">
        <v>0</v>
      </c>
      <c r="Z16" s="4">
        <f>IF(Zabrze_result[[#This Row],[All Around]]="Yes",SUM(H16,K16,N16,Q16,T16,W16),0)</f>
        <v>0</v>
      </c>
      <c r="AA16" s="7">
        <f>IF(Zabrze_result[[#This Row],[All Around]]="Yes",SUM(I16,L16,O16,R16,U16,X16),0)</f>
        <v>0</v>
      </c>
      <c r="AB16" s="7">
        <f t="shared" si="0"/>
        <v>36.85</v>
      </c>
      <c r="AJ16" s="1"/>
    </row>
    <row r="17" spans="1:36" x14ac:dyDescent="0.25">
      <c r="A17" s="2">
        <v>16</v>
      </c>
      <c r="B17" t="s">
        <v>94</v>
      </c>
      <c r="C17" s="2" t="s">
        <v>60</v>
      </c>
      <c r="D17" s="2">
        <v>2002</v>
      </c>
      <c r="E17" s="2" t="s">
        <v>95</v>
      </c>
      <c r="F17" t="s">
        <v>72</v>
      </c>
      <c r="G17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7" s="5">
        <v>0</v>
      </c>
      <c r="I17" s="8">
        <v>0</v>
      </c>
      <c r="J17" s="8">
        <v>0</v>
      </c>
      <c r="K17" s="5">
        <v>0</v>
      </c>
      <c r="L17" s="8">
        <v>0</v>
      </c>
      <c r="M17" s="8">
        <v>0</v>
      </c>
      <c r="N17" s="5">
        <v>4</v>
      </c>
      <c r="O17" s="8">
        <v>8.4</v>
      </c>
      <c r="P17" s="8">
        <v>12.4</v>
      </c>
      <c r="Q17" s="5">
        <v>2.8</v>
      </c>
      <c r="R17" s="8">
        <v>9.4</v>
      </c>
      <c r="S17" s="8">
        <v>12.2</v>
      </c>
      <c r="T17" s="5">
        <v>3.1</v>
      </c>
      <c r="U17" s="8">
        <v>8.85</v>
      </c>
      <c r="V17" s="8">
        <v>11.95</v>
      </c>
      <c r="W17" s="5">
        <v>0</v>
      </c>
      <c r="X17" s="8">
        <v>0</v>
      </c>
      <c r="Y17" s="8">
        <v>0</v>
      </c>
      <c r="Z17" s="4">
        <f>IF(Zabrze_result[[#This Row],[All Around]]="Yes",SUM(H17,K17,N17,Q17,T17,W17),0)</f>
        <v>0</v>
      </c>
      <c r="AA17" s="7">
        <f>IF(Zabrze_result[[#This Row],[All Around]]="Yes",SUM(I17,L17,O17,R17,U17,X17),0)</f>
        <v>0</v>
      </c>
      <c r="AB17" s="7">
        <f t="shared" si="0"/>
        <v>36.549999999999997</v>
      </c>
      <c r="AJ17" s="1"/>
    </row>
    <row r="18" spans="1:36" x14ac:dyDescent="0.25">
      <c r="A18" s="2">
        <v>17</v>
      </c>
      <c r="B18" t="s">
        <v>96</v>
      </c>
      <c r="C18" s="2" t="s">
        <v>60</v>
      </c>
      <c r="D18" s="2">
        <v>2002</v>
      </c>
      <c r="E18" s="2" t="s">
        <v>97</v>
      </c>
      <c r="F18" t="s">
        <v>62</v>
      </c>
      <c r="G18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8" s="5">
        <v>0</v>
      </c>
      <c r="I18" s="8">
        <v>0</v>
      </c>
      <c r="J18" s="8">
        <v>0</v>
      </c>
      <c r="K18" s="5">
        <v>4.5</v>
      </c>
      <c r="L18" s="8">
        <v>7.3</v>
      </c>
      <c r="M18" s="8">
        <v>11.8</v>
      </c>
      <c r="N18" s="5">
        <v>4.5999999999999996</v>
      </c>
      <c r="O18" s="8">
        <v>8.1</v>
      </c>
      <c r="P18" s="8">
        <v>12.7</v>
      </c>
      <c r="Q18" s="5">
        <v>0</v>
      </c>
      <c r="R18" s="8">
        <v>0</v>
      </c>
      <c r="S18" s="8">
        <v>0</v>
      </c>
      <c r="T18" s="5">
        <v>4</v>
      </c>
      <c r="U18" s="8">
        <v>6.6</v>
      </c>
      <c r="V18" s="8">
        <v>10.6</v>
      </c>
      <c r="W18" s="5">
        <v>0</v>
      </c>
      <c r="X18" s="8">
        <v>0</v>
      </c>
      <c r="Y18" s="8">
        <v>0</v>
      </c>
      <c r="Z18" s="4">
        <f>IF(Zabrze_result[[#This Row],[All Around]]="Yes",SUM(H18,K18,N18,Q18,T18,W18),0)</f>
        <v>0</v>
      </c>
      <c r="AA18" s="7">
        <f>IF(Zabrze_result[[#This Row],[All Around]]="Yes",SUM(I18,L18,O18,R18,U18,X18),0)</f>
        <v>0</v>
      </c>
      <c r="AB18" s="7">
        <f t="shared" si="0"/>
        <v>35.1</v>
      </c>
      <c r="AJ18" s="1"/>
    </row>
    <row r="19" spans="1:36" x14ac:dyDescent="0.25">
      <c r="A19" s="2">
        <v>18</v>
      </c>
      <c r="B19" t="s">
        <v>98</v>
      </c>
      <c r="C19" s="2" t="s">
        <v>60</v>
      </c>
      <c r="D19" s="2">
        <v>2003</v>
      </c>
      <c r="E19" s="2" t="s">
        <v>99</v>
      </c>
      <c r="F19" t="s">
        <v>72</v>
      </c>
      <c r="G19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19" s="5">
        <v>0</v>
      </c>
      <c r="I19" s="8">
        <v>0</v>
      </c>
      <c r="J19" s="8">
        <v>0</v>
      </c>
      <c r="K19" s="5">
        <v>3.4</v>
      </c>
      <c r="L19" s="8">
        <v>7</v>
      </c>
      <c r="M19" s="8">
        <v>10.4</v>
      </c>
      <c r="N19" s="5">
        <v>2.9</v>
      </c>
      <c r="O19" s="8">
        <v>6.7</v>
      </c>
      <c r="P19" s="8">
        <v>9.6</v>
      </c>
      <c r="Q19" s="5">
        <v>0</v>
      </c>
      <c r="R19" s="8">
        <v>0</v>
      </c>
      <c r="S19" s="8">
        <v>0</v>
      </c>
      <c r="T19" s="5">
        <v>2.4</v>
      </c>
      <c r="U19" s="8">
        <v>8.6</v>
      </c>
      <c r="V19" s="8">
        <v>11</v>
      </c>
      <c r="W19" s="5">
        <v>0</v>
      </c>
      <c r="X19" s="8">
        <v>0</v>
      </c>
      <c r="Y19" s="8">
        <v>0</v>
      </c>
      <c r="Z19" s="4">
        <f>IF(Zabrze_result[[#This Row],[All Around]]="Yes",SUM(H19,K19,N19,Q19,T19,W19),0)</f>
        <v>0</v>
      </c>
      <c r="AA19" s="7">
        <f>IF(Zabrze_result[[#This Row],[All Around]]="Yes",SUM(I19,L19,O19,R19,U19,X19),0)</f>
        <v>0</v>
      </c>
      <c r="AB19" s="7">
        <f t="shared" si="0"/>
        <v>31</v>
      </c>
      <c r="AJ19" s="1"/>
    </row>
    <row r="20" spans="1:36" x14ac:dyDescent="0.25">
      <c r="A20" s="2">
        <v>19</v>
      </c>
      <c r="B20" t="s">
        <v>100</v>
      </c>
      <c r="C20" s="2" t="s">
        <v>60</v>
      </c>
      <c r="D20" s="2">
        <v>2004</v>
      </c>
      <c r="E20" s="2" t="s">
        <v>101</v>
      </c>
      <c r="F20" t="s">
        <v>31</v>
      </c>
      <c r="G20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0" s="5">
        <v>4.2</v>
      </c>
      <c r="I20" s="8">
        <v>7.3</v>
      </c>
      <c r="J20" s="8">
        <v>11.5</v>
      </c>
      <c r="K20" s="5">
        <v>0</v>
      </c>
      <c r="L20" s="8">
        <v>0</v>
      </c>
      <c r="M20" s="8">
        <v>0</v>
      </c>
      <c r="N20" s="5">
        <v>0</v>
      </c>
      <c r="O20" s="8">
        <v>0</v>
      </c>
      <c r="P20" s="8">
        <v>0</v>
      </c>
      <c r="Q20" s="5">
        <v>0</v>
      </c>
      <c r="R20" s="8">
        <v>0</v>
      </c>
      <c r="S20" s="8">
        <v>0</v>
      </c>
      <c r="T20" s="5">
        <v>2.4</v>
      </c>
      <c r="U20" s="8">
        <v>8.0500000000000007</v>
      </c>
      <c r="V20" s="8">
        <v>10.45</v>
      </c>
      <c r="W20" s="5">
        <v>2</v>
      </c>
      <c r="X20" s="8">
        <v>5.2</v>
      </c>
      <c r="Y20" s="8">
        <v>7.2</v>
      </c>
      <c r="Z20" s="4">
        <f>IF(Zabrze_result[[#This Row],[All Around]]="Yes",SUM(H20,K20,N20,Q20,T20,W20),0)</f>
        <v>0</v>
      </c>
      <c r="AA20" s="7">
        <f>IF(Zabrze_result[[#This Row],[All Around]]="Yes",SUM(I20,L20,O20,R20,U20,X20),0)</f>
        <v>0</v>
      </c>
      <c r="AB20" s="7">
        <f t="shared" si="0"/>
        <v>29.15</v>
      </c>
      <c r="AJ20" s="1"/>
    </row>
    <row r="21" spans="1:36" x14ac:dyDescent="0.25">
      <c r="A21" s="2">
        <v>20</v>
      </c>
      <c r="B21" t="s">
        <v>102</v>
      </c>
      <c r="C21" s="2" t="s">
        <v>60</v>
      </c>
      <c r="D21" s="2">
        <v>2003</v>
      </c>
      <c r="E21" s="2" t="s">
        <v>103</v>
      </c>
      <c r="F21" t="s">
        <v>31</v>
      </c>
      <c r="G21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1" s="5">
        <v>0</v>
      </c>
      <c r="I21" s="8">
        <v>0</v>
      </c>
      <c r="J21" s="8">
        <v>0</v>
      </c>
      <c r="K21" s="5">
        <v>0</v>
      </c>
      <c r="L21" s="8">
        <v>0</v>
      </c>
      <c r="M21" s="8">
        <v>0</v>
      </c>
      <c r="N21" s="5">
        <v>3.2</v>
      </c>
      <c r="O21" s="8">
        <v>6.9</v>
      </c>
      <c r="P21" s="8">
        <v>10.1</v>
      </c>
      <c r="Q21" s="5">
        <v>4</v>
      </c>
      <c r="R21" s="8">
        <v>8.85</v>
      </c>
      <c r="S21" s="8">
        <v>12.85</v>
      </c>
      <c r="T21" s="5">
        <v>0</v>
      </c>
      <c r="U21" s="8">
        <v>0</v>
      </c>
      <c r="V21" s="8">
        <v>0</v>
      </c>
      <c r="W21" s="5">
        <v>0</v>
      </c>
      <c r="X21" s="8">
        <v>0</v>
      </c>
      <c r="Y21" s="8">
        <v>0</v>
      </c>
      <c r="Z21" s="4">
        <f>IF(Zabrze_result[[#This Row],[All Around]]="Yes",SUM(H21,K21,N21,Q21,T21,W21),0)</f>
        <v>0</v>
      </c>
      <c r="AA21" s="7">
        <f>IF(Zabrze_result[[#This Row],[All Around]]="Yes",SUM(I21,L21,O21,R21,U21,X21),0)</f>
        <v>0</v>
      </c>
      <c r="AB21" s="7">
        <f t="shared" si="0"/>
        <v>22.95</v>
      </c>
      <c r="AJ21" s="1"/>
    </row>
    <row r="22" spans="1:36" x14ac:dyDescent="0.25">
      <c r="A22" s="2">
        <v>21</v>
      </c>
      <c r="B22" t="s">
        <v>104</v>
      </c>
      <c r="C22" s="2" t="s">
        <v>60</v>
      </c>
      <c r="D22" s="2">
        <v>2004</v>
      </c>
      <c r="E22" s="2" t="s">
        <v>105</v>
      </c>
      <c r="F22" t="s">
        <v>28</v>
      </c>
      <c r="G22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2" s="5">
        <v>4.5</v>
      </c>
      <c r="I22" s="8">
        <v>6.2</v>
      </c>
      <c r="J22" s="8">
        <v>10.7</v>
      </c>
      <c r="K22" s="5">
        <v>0</v>
      </c>
      <c r="L22" s="8">
        <v>0</v>
      </c>
      <c r="M22" s="8">
        <v>0</v>
      </c>
      <c r="N22" s="5">
        <v>0</v>
      </c>
      <c r="O22" s="8">
        <v>0</v>
      </c>
      <c r="P22" s="8">
        <v>0</v>
      </c>
      <c r="Q22" s="5">
        <v>3.2</v>
      </c>
      <c r="R22" s="8">
        <v>8.8000000000000007</v>
      </c>
      <c r="S22" s="8">
        <v>12</v>
      </c>
      <c r="T22" s="5">
        <v>0</v>
      </c>
      <c r="U22" s="8">
        <v>0</v>
      </c>
      <c r="V22" s="8">
        <v>0</v>
      </c>
      <c r="W22" s="5">
        <v>0</v>
      </c>
      <c r="X22" s="8">
        <v>0</v>
      </c>
      <c r="Y22" s="8">
        <v>0</v>
      </c>
      <c r="Z22" s="4">
        <f>IF(Zabrze_result[[#This Row],[All Around]]="Yes",SUM(H22,K22,N22,Q22,T22,W22),0)</f>
        <v>0</v>
      </c>
      <c r="AA22" s="7">
        <f>IF(Zabrze_result[[#This Row],[All Around]]="Yes",SUM(I22,L22,O22,R22,U22,X22),0)</f>
        <v>0</v>
      </c>
      <c r="AB22" s="7">
        <f t="shared" si="0"/>
        <v>22.7</v>
      </c>
      <c r="AJ22" s="1"/>
    </row>
    <row r="23" spans="1:36" x14ac:dyDescent="0.25">
      <c r="A23" s="2">
        <v>22</v>
      </c>
      <c r="B23" t="s">
        <v>106</v>
      </c>
      <c r="C23" s="2" t="s">
        <v>60</v>
      </c>
      <c r="D23" s="2">
        <v>2004</v>
      </c>
      <c r="E23" s="2" t="s">
        <v>107</v>
      </c>
      <c r="F23" t="s">
        <v>31</v>
      </c>
      <c r="G23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3" s="5">
        <v>4</v>
      </c>
      <c r="I23" s="8">
        <v>6</v>
      </c>
      <c r="J23" s="8">
        <v>10</v>
      </c>
      <c r="K23" s="5">
        <v>0</v>
      </c>
      <c r="L23" s="8">
        <v>0</v>
      </c>
      <c r="M23" s="8">
        <v>0</v>
      </c>
      <c r="N23" s="5">
        <v>0</v>
      </c>
      <c r="O23" s="8">
        <v>0</v>
      </c>
      <c r="P23" s="8">
        <v>0</v>
      </c>
      <c r="Q23" s="5">
        <v>3.2</v>
      </c>
      <c r="R23" s="8">
        <v>9.0500000000000007</v>
      </c>
      <c r="S23" s="8">
        <v>12.25</v>
      </c>
      <c r="T23" s="5">
        <v>0</v>
      </c>
      <c r="U23" s="8">
        <v>0</v>
      </c>
      <c r="V23" s="8">
        <v>0</v>
      </c>
      <c r="W23" s="5">
        <v>0</v>
      </c>
      <c r="X23" s="8">
        <v>0</v>
      </c>
      <c r="Y23" s="8">
        <v>0</v>
      </c>
      <c r="Z23" s="4">
        <f>IF(Zabrze_result[[#This Row],[All Around]]="Yes",SUM(H23,K23,N23,Q23,T23,W23),0)</f>
        <v>0</v>
      </c>
      <c r="AA23" s="7">
        <f>IF(Zabrze_result[[#This Row],[All Around]]="Yes",SUM(I23,L23,O23,R23,U23,X23),0)</f>
        <v>0</v>
      </c>
      <c r="AB23" s="7">
        <f t="shared" si="0"/>
        <v>22.25</v>
      </c>
      <c r="AJ23" s="1"/>
    </row>
    <row r="24" spans="1:36" x14ac:dyDescent="0.25">
      <c r="A24" s="2">
        <v>23</v>
      </c>
      <c r="B24" t="s">
        <v>108</v>
      </c>
      <c r="C24" s="2" t="s">
        <v>60</v>
      </c>
      <c r="D24" s="2">
        <v>2000</v>
      </c>
      <c r="E24" s="2" t="s">
        <v>109</v>
      </c>
      <c r="F24" t="s">
        <v>62</v>
      </c>
      <c r="G24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4" s="5">
        <v>3.3</v>
      </c>
      <c r="I24" s="8">
        <v>8.4</v>
      </c>
      <c r="J24" s="8">
        <v>11.7</v>
      </c>
      <c r="K24" s="5">
        <v>0</v>
      </c>
      <c r="L24" s="8">
        <v>0</v>
      </c>
      <c r="M24" s="8">
        <v>0</v>
      </c>
      <c r="N24" s="5">
        <v>2.6</v>
      </c>
      <c r="O24" s="8">
        <v>1.7</v>
      </c>
      <c r="P24" s="8">
        <v>4.3</v>
      </c>
      <c r="Q24" s="5">
        <v>0</v>
      </c>
      <c r="R24" s="8">
        <v>0</v>
      </c>
      <c r="S24" s="8">
        <v>0</v>
      </c>
      <c r="T24" s="5">
        <v>0</v>
      </c>
      <c r="U24" s="8">
        <v>0</v>
      </c>
      <c r="V24" s="8">
        <v>0</v>
      </c>
      <c r="W24" s="5">
        <v>0</v>
      </c>
      <c r="X24" s="8">
        <v>0</v>
      </c>
      <c r="Y24" s="8">
        <v>0</v>
      </c>
      <c r="Z24" s="4">
        <f>IF(Zabrze_result[[#This Row],[All Around]]="Yes",SUM(H24,K24,N24,Q24,T24,W24),0)</f>
        <v>0</v>
      </c>
      <c r="AA24" s="7">
        <f>IF(Zabrze_result[[#This Row],[All Around]]="Yes",SUM(I24,L24,O24,R24,U24,X24),0)</f>
        <v>0</v>
      </c>
      <c r="AB24" s="7">
        <f t="shared" si="0"/>
        <v>16</v>
      </c>
      <c r="AJ24" s="1"/>
    </row>
    <row r="25" spans="1:36" x14ac:dyDescent="0.25">
      <c r="A25" s="2">
        <v>24</v>
      </c>
      <c r="B25" t="s">
        <v>110</v>
      </c>
      <c r="C25" s="2" t="s">
        <v>60</v>
      </c>
      <c r="D25" s="2">
        <v>2004</v>
      </c>
      <c r="E25" s="2" t="s">
        <v>111</v>
      </c>
      <c r="F25" t="s">
        <v>36</v>
      </c>
      <c r="G25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25" s="5">
        <v>0</v>
      </c>
      <c r="I25" s="8">
        <v>0</v>
      </c>
      <c r="J25" s="8">
        <v>0</v>
      </c>
      <c r="K25" s="5">
        <v>3.1</v>
      </c>
      <c r="L25" s="8">
        <v>6</v>
      </c>
      <c r="M25" s="8">
        <v>9.1</v>
      </c>
      <c r="N25" s="5">
        <v>0</v>
      </c>
      <c r="O25" s="8">
        <v>0</v>
      </c>
      <c r="P25" s="8">
        <v>0</v>
      </c>
      <c r="Q25" s="5">
        <v>0</v>
      </c>
      <c r="R25" s="8">
        <v>0</v>
      </c>
      <c r="S25" s="8">
        <v>0</v>
      </c>
      <c r="T25" s="5">
        <v>0</v>
      </c>
      <c r="U25" s="8">
        <v>0</v>
      </c>
      <c r="V25" s="8">
        <v>0</v>
      </c>
      <c r="W25" s="5">
        <v>0</v>
      </c>
      <c r="X25" s="8">
        <v>0</v>
      </c>
      <c r="Y25" s="8">
        <v>0</v>
      </c>
      <c r="Z25" s="4">
        <f>IF(Zabrze_result[[#This Row],[All Around]]="Yes",SUM(H25,K25,N25,Q25,T25,W25),0)</f>
        <v>0</v>
      </c>
      <c r="AA25" s="7">
        <f>IF(Zabrze_result[[#This Row],[All Around]]="Yes",SUM(I25,L25,O25,R25,U25,X25),0)</f>
        <v>0</v>
      </c>
      <c r="AB25" s="7">
        <f t="shared" si="0"/>
        <v>9.1</v>
      </c>
      <c r="AJ25" s="1"/>
    </row>
    <row r="26" spans="1:36" x14ac:dyDescent="0.25">
      <c r="A26" s="2">
        <v>1</v>
      </c>
      <c r="B26" t="s">
        <v>25</v>
      </c>
      <c r="C26" s="2" t="s">
        <v>26</v>
      </c>
      <c r="D26" s="2">
        <v>2008</v>
      </c>
      <c r="E26" s="2" t="s">
        <v>27</v>
      </c>
      <c r="F26" t="s">
        <v>28</v>
      </c>
      <c r="G26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6" s="5">
        <v>4</v>
      </c>
      <c r="I26" s="8">
        <v>8.6999999999999993</v>
      </c>
      <c r="J26" s="8">
        <v>12.7</v>
      </c>
      <c r="K26" s="5">
        <v>3.8</v>
      </c>
      <c r="L26" s="8">
        <v>8.9</v>
      </c>
      <c r="M26" s="8">
        <v>12.7</v>
      </c>
      <c r="N26" s="5">
        <v>2.6</v>
      </c>
      <c r="O26" s="8">
        <v>8.1999999999999993</v>
      </c>
      <c r="P26" s="8">
        <v>10.8</v>
      </c>
      <c r="Q26" s="5">
        <v>2.2000000000000002</v>
      </c>
      <c r="R26" s="8">
        <v>9.0500000000000007</v>
      </c>
      <c r="S26" s="8">
        <v>11.25</v>
      </c>
      <c r="T26" s="5">
        <v>4.2</v>
      </c>
      <c r="U26" s="8">
        <v>9.1</v>
      </c>
      <c r="V26" s="8">
        <v>13.3</v>
      </c>
      <c r="W26" s="5">
        <v>2.7</v>
      </c>
      <c r="X26" s="8">
        <v>9.1</v>
      </c>
      <c r="Y26" s="8">
        <v>11.8</v>
      </c>
      <c r="Z26" s="4">
        <f>IF(Zabrze_result[[#This Row],[All Around]]="Yes",SUM(H26,K26,N26,Q26,T26,W26),0)</f>
        <v>19.5</v>
      </c>
      <c r="AA26" s="7">
        <f>IF(Zabrze_result[[#This Row],[All Around]]="Yes",SUM(I26,L26,O26,R26,U26,X26),0)</f>
        <v>53.050000000000004</v>
      </c>
      <c r="AB26" s="7">
        <f t="shared" si="0"/>
        <v>72.55</v>
      </c>
      <c r="AJ26" s="1"/>
    </row>
    <row r="27" spans="1:36" x14ac:dyDescent="0.25">
      <c r="A27" s="2">
        <v>2</v>
      </c>
      <c r="B27" t="s">
        <v>29</v>
      </c>
      <c r="C27" s="2" t="s">
        <v>26</v>
      </c>
      <c r="D27" s="2">
        <v>2005</v>
      </c>
      <c r="E27" s="2" t="s">
        <v>30</v>
      </c>
      <c r="F27" t="s">
        <v>31</v>
      </c>
      <c r="G27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7" s="5">
        <v>4.3</v>
      </c>
      <c r="I27" s="8">
        <v>8.15</v>
      </c>
      <c r="J27" s="8">
        <v>12.45</v>
      </c>
      <c r="K27" s="5">
        <v>3.6</v>
      </c>
      <c r="L27" s="8">
        <v>8.35</v>
      </c>
      <c r="M27" s="8">
        <v>11.95</v>
      </c>
      <c r="N27" s="5">
        <v>2.9</v>
      </c>
      <c r="O27" s="8">
        <v>8.1</v>
      </c>
      <c r="P27" s="8">
        <v>11</v>
      </c>
      <c r="Q27" s="5">
        <v>4</v>
      </c>
      <c r="R27" s="8">
        <v>8.9499999999999993</v>
      </c>
      <c r="S27" s="8">
        <v>12.95</v>
      </c>
      <c r="T27" s="5">
        <v>3.4</v>
      </c>
      <c r="U27" s="8">
        <v>8.35</v>
      </c>
      <c r="V27" s="8">
        <v>11.75</v>
      </c>
      <c r="W27" s="5">
        <v>3</v>
      </c>
      <c r="X27" s="8">
        <v>7.9</v>
      </c>
      <c r="Y27" s="8">
        <v>10.9</v>
      </c>
      <c r="Z27" s="4">
        <f>IF(Zabrze_result[[#This Row],[All Around]]="Yes",SUM(H27,K27,N27,Q27,T27,W27),0)</f>
        <v>21.2</v>
      </c>
      <c r="AA27" s="7">
        <f>IF(Zabrze_result[[#This Row],[All Around]]="Yes",SUM(I27,L27,O27,R27,U27,X27),0)</f>
        <v>49.8</v>
      </c>
      <c r="AB27" s="7">
        <f t="shared" si="0"/>
        <v>71</v>
      </c>
      <c r="AJ27" s="1"/>
    </row>
    <row r="28" spans="1:36" x14ac:dyDescent="0.25">
      <c r="A28" s="2">
        <v>3</v>
      </c>
      <c r="B28" t="s">
        <v>32</v>
      </c>
      <c r="C28" s="2" t="s">
        <v>26</v>
      </c>
      <c r="D28" s="2">
        <v>2005</v>
      </c>
      <c r="E28" s="2" t="s">
        <v>33</v>
      </c>
      <c r="F28" t="s">
        <v>31</v>
      </c>
      <c r="G28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8" s="5">
        <v>4.2</v>
      </c>
      <c r="I28" s="8">
        <v>8.5500000000000007</v>
      </c>
      <c r="J28" s="8">
        <v>12.75</v>
      </c>
      <c r="K28" s="5">
        <v>3.6</v>
      </c>
      <c r="L28" s="8">
        <v>6.2</v>
      </c>
      <c r="M28" s="8">
        <v>9.8000000000000007</v>
      </c>
      <c r="N28" s="5">
        <v>3.2</v>
      </c>
      <c r="O28" s="8">
        <v>9</v>
      </c>
      <c r="P28" s="8">
        <v>12.2</v>
      </c>
      <c r="Q28" s="5">
        <v>3.2</v>
      </c>
      <c r="R28" s="8">
        <v>9.4499999999999993</v>
      </c>
      <c r="S28" s="8">
        <v>12.65</v>
      </c>
      <c r="T28" s="5">
        <v>3.4</v>
      </c>
      <c r="U28" s="8">
        <v>7.95</v>
      </c>
      <c r="V28" s="8">
        <v>11.35</v>
      </c>
      <c r="W28" s="5">
        <v>3.2</v>
      </c>
      <c r="X28" s="8">
        <v>7.8</v>
      </c>
      <c r="Y28" s="8">
        <v>11</v>
      </c>
      <c r="Z28" s="4">
        <f>IF(Zabrze_result[[#This Row],[All Around]]="Yes",SUM(H28,K28,N28,Q28,T28,W28),0)</f>
        <v>20.799999999999997</v>
      </c>
      <c r="AA28" s="7">
        <f>IF(Zabrze_result[[#This Row],[All Around]]="Yes",SUM(I28,L28,O28,R28,U28,X28),0)</f>
        <v>48.95</v>
      </c>
      <c r="AB28" s="7">
        <f t="shared" si="0"/>
        <v>69.75</v>
      </c>
      <c r="AJ28" s="1"/>
    </row>
    <row r="29" spans="1:36" x14ac:dyDescent="0.25">
      <c r="A29" s="2">
        <v>4</v>
      </c>
      <c r="B29" t="s">
        <v>34</v>
      </c>
      <c r="C29" s="2" t="s">
        <v>26</v>
      </c>
      <c r="D29" s="2">
        <v>2006</v>
      </c>
      <c r="E29" s="2" t="s">
        <v>35</v>
      </c>
      <c r="F29" t="s">
        <v>36</v>
      </c>
      <c r="G29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29" s="5">
        <v>3.7</v>
      </c>
      <c r="I29" s="8">
        <v>8.1</v>
      </c>
      <c r="J29" s="8">
        <v>11.8</v>
      </c>
      <c r="K29" s="5">
        <v>3.9</v>
      </c>
      <c r="L29" s="8">
        <v>7</v>
      </c>
      <c r="M29" s="8">
        <v>10.9</v>
      </c>
      <c r="N29" s="5">
        <v>3.9</v>
      </c>
      <c r="O29" s="8">
        <v>8.1</v>
      </c>
      <c r="P29" s="8">
        <v>12</v>
      </c>
      <c r="Q29" s="5">
        <v>2.4</v>
      </c>
      <c r="R29" s="8">
        <v>8.9</v>
      </c>
      <c r="S29" s="8">
        <v>11.3</v>
      </c>
      <c r="T29" s="5">
        <v>3.7</v>
      </c>
      <c r="U29" s="8">
        <v>7.45</v>
      </c>
      <c r="V29" s="8">
        <v>11.15</v>
      </c>
      <c r="W29" s="5">
        <v>3.4</v>
      </c>
      <c r="X29" s="8">
        <v>7.5</v>
      </c>
      <c r="Y29" s="8">
        <v>10.9</v>
      </c>
      <c r="Z29" s="4">
        <f>IF(Zabrze_result[[#This Row],[All Around]]="Yes",SUM(H29,K29,N29,Q29,T29,W29),0)</f>
        <v>21</v>
      </c>
      <c r="AA29" s="7">
        <f>IF(Zabrze_result[[#This Row],[All Around]]="Yes",SUM(I29,L29,O29,R29,U29,X29),0)</f>
        <v>47.050000000000004</v>
      </c>
      <c r="AB29" s="7">
        <f t="shared" si="0"/>
        <v>68.05</v>
      </c>
      <c r="AJ29" s="1"/>
    </row>
    <row r="30" spans="1:36" x14ac:dyDescent="0.25">
      <c r="A30" s="2">
        <v>5</v>
      </c>
      <c r="B30" t="s">
        <v>37</v>
      </c>
      <c r="C30" s="2" t="s">
        <v>26</v>
      </c>
      <c r="D30" s="2">
        <v>2006</v>
      </c>
      <c r="E30" s="2" t="s">
        <v>38</v>
      </c>
      <c r="F30" t="s">
        <v>39</v>
      </c>
      <c r="G30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0" s="5">
        <v>3.3</v>
      </c>
      <c r="I30" s="8">
        <v>8.3000000000000007</v>
      </c>
      <c r="J30" s="8">
        <v>11.6</v>
      </c>
      <c r="K30" s="5">
        <v>4.3</v>
      </c>
      <c r="L30" s="8">
        <v>7.9</v>
      </c>
      <c r="M30" s="8">
        <v>12.2</v>
      </c>
      <c r="N30" s="5">
        <v>3</v>
      </c>
      <c r="O30" s="8">
        <v>8</v>
      </c>
      <c r="P30" s="8">
        <v>11</v>
      </c>
      <c r="Q30" s="5">
        <v>3.2</v>
      </c>
      <c r="R30" s="8">
        <v>8.6</v>
      </c>
      <c r="S30" s="8">
        <v>11.8</v>
      </c>
      <c r="T30" s="5">
        <v>3.1</v>
      </c>
      <c r="U30" s="8">
        <v>8</v>
      </c>
      <c r="V30" s="8">
        <v>11.1</v>
      </c>
      <c r="W30" s="5">
        <v>3</v>
      </c>
      <c r="X30" s="8">
        <v>7.2</v>
      </c>
      <c r="Y30" s="8">
        <v>10.199999999999999</v>
      </c>
      <c r="Z30" s="4">
        <f>IF(Zabrze_result[[#This Row],[All Around]]="Yes",SUM(H30,K30,N30,Q30,T30,W30),0)</f>
        <v>19.900000000000002</v>
      </c>
      <c r="AA30" s="7">
        <f>IF(Zabrze_result[[#This Row],[All Around]]="Yes",SUM(I30,L30,O30,R30,U30,X30),0)</f>
        <v>48.000000000000007</v>
      </c>
      <c r="AB30" s="7">
        <f t="shared" si="0"/>
        <v>67.899999999999991</v>
      </c>
      <c r="AJ30" s="1"/>
    </row>
    <row r="31" spans="1:36" x14ac:dyDescent="0.25">
      <c r="A31" s="2">
        <v>6</v>
      </c>
      <c r="B31" t="s">
        <v>40</v>
      </c>
      <c r="C31" s="2" t="s">
        <v>26</v>
      </c>
      <c r="D31" s="2">
        <v>2007</v>
      </c>
      <c r="E31" s="2" t="s">
        <v>41</v>
      </c>
      <c r="F31" t="s">
        <v>39</v>
      </c>
      <c r="G31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1" s="5">
        <v>3.4</v>
      </c>
      <c r="I31" s="8">
        <v>8.1999999999999993</v>
      </c>
      <c r="J31" s="8">
        <v>11.6</v>
      </c>
      <c r="K31" s="5">
        <v>2.9</v>
      </c>
      <c r="L31" s="8">
        <v>7.2</v>
      </c>
      <c r="M31" s="8">
        <v>10.1</v>
      </c>
      <c r="N31" s="5">
        <v>3.4</v>
      </c>
      <c r="O31" s="8">
        <v>8.1999999999999993</v>
      </c>
      <c r="P31" s="8">
        <v>11.6</v>
      </c>
      <c r="Q31" s="5">
        <v>4</v>
      </c>
      <c r="R31" s="8">
        <v>7.95</v>
      </c>
      <c r="S31" s="8">
        <v>11.95</v>
      </c>
      <c r="T31" s="5">
        <v>3</v>
      </c>
      <c r="U31" s="8">
        <v>8.1999999999999993</v>
      </c>
      <c r="V31" s="8">
        <v>11.2</v>
      </c>
      <c r="W31" s="5">
        <v>2.7</v>
      </c>
      <c r="X31" s="8">
        <v>8</v>
      </c>
      <c r="Y31" s="8">
        <v>10.7</v>
      </c>
      <c r="Z31" s="4">
        <f>IF(Zabrze_result[[#This Row],[All Around]]="Yes",SUM(H31,K31,N31,Q31,T31,W31),0)</f>
        <v>19.399999999999999</v>
      </c>
      <c r="AA31" s="7">
        <f>IF(Zabrze_result[[#This Row],[All Around]]="Yes",SUM(I31,L31,O31,R31,U31,X31),0)</f>
        <v>47.75</v>
      </c>
      <c r="AB31" s="7">
        <f t="shared" si="0"/>
        <v>67.150000000000006</v>
      </c>
      <c r="AJ31" s="1"/>
    </row>
    <row r="32" spans="1:36" x14ac:dyDescent="0.25">
      <c r="A32" s="2">
        <v>7</v>
      </c>
      <c r="B32" t="s">
        <v>42</v>
      </c>
      <c r="C32" s="2" t="s">
        <v>26</v>
      </c>
      <c r="D32" s="2">
        <v>2007</v>
      </c>
      <c r="E32" s="2" t="s">
        <v>43</v>
      </c>
      <c r="F32" t="s">
        <v>36</v>
      </c>
      <c r="G32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2" s="5">
        <v>3.4</v>
      </c>
      <c r="I32" s="8">
        <v>8.4</v>
      </c>
      <c r="J32" s="8">
        <v>11.8</v>
      </c>
      <c r="K32" s="5">
        <v>2.6</v>
      </c>
      <c r="L32" s="8">
        <v>8.5500000000000007</v>
      </c>
      <c r="M32" s="8">
        <v>11.15</v>
      </c>
      <c r="N32" s="5">
        <v>2.4</v>
      </c>
      <c r="O32" s="8">
        <v>7.9</v>
      </c>
      <c r="P32" s="8">
        <v>10.3</v>
      </c>
      <c r="Q32" s="5">
        <v>2.8</v>
      </c>
      <c r="R32" s="8">
        <v>9.0500000000000007</v>
      </c>
      <c r="S32" s="8">
        <v>11.85</v>
      </c>
      <c r="T32" s="5">
        <v>3.1</v>
      </c>
      <c r="U32" s="8">
        <v>8.5500000000000007</v>
      </c>
      <c r="V32" s="8">
        <v>11.65</v>
      </c>
      <c r="W32" s="5">
        <v>1.8</v>
      </c>
      <c r="X32" s="8">
        <v>8.4</v>
      </c>
      <c r="Y32" s="8">
        <v>10.199999999999999</v>
      </c>
      <c r="Z32" s="4">
        <f>IF(Zabrze_result[[#This Row],[All Around]]="Yes",SUM(H32,K32,N32,Q32,T32,W32),0)</f>
        <v>16.099999999999998</v>
      </c>
      <c r="AA32" s="7">
        <f>IF(Zabrze_result[[#This Row],[All Around]]="Yes",SUM(I32,L32,O32,R32,U32,X32),0)</f>
        <v>50.85</v>
      </c>
      <c r="AB32" s="7">
        <f t="shared" si="0"/>
        <v>66.95</v>
      </c>
      <c r="AJ32" s="1"/>
    </row>
    <row r="33" spans="1:36" x14ac:dyDescent="0.25">
      <c r="A33" s="2">
        <v>8</v>
      </c>
      <c r="B33" t="s">
        <v>44</v>
      </c>
      <c r="C33" s="2" t="s">
        <v>26</v>
      </c>
      <c r="D33" s="2">
        <v>2007</v>
      </c>
      <c r="E33" s="2" t="s">
        <v>45</v>
      </c>
      <c r="F33" t="s">
        <v>39</v>
      </c>
      <c r="G33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3" s="5">
        <v>3.1</v>
      </c>
      <c r="I33" s="8">
        <v>8.35</v>
      </c>
      <c r="J33" s="8">
        <v>11.45</v>
      </c>
      <c r="K33" s="5">
        <v>3</v>
      </c>
      <c r="L33" s="8">
        <v>7.2</v>
      </c>
      <c r="M33" s="8">
        <v>10.199999999999999</v>
      </c>
      <c r="N33" s="5">
        <v>2.1</v>
      </c>
      <c r="O33" s="8">
        <v>8.0500000000000007</v>
      </c>
      <c r="P33" s="8">
        <v>10.15</v>
      </c>
      <c r="Q33" s="5">
        <v>2.4</v>
      </c>
      <c r="R33" s="8">
        <v>8.9</v>
      </c>
      <c r="S33" s="8">
        <v>11.3</v>
      </c>
      <c r="T33" s="5">
        <v>3</v>
      </c>
      <c r="U33" s="8">
        <v>9</v>
      </c>
      <c r="V33" s="8">
        <v>12</v>
      </c>
      <c r="W33" s="5">
        <v>2.4</v>
      </c>
      <c r="X33" s="8">
        <v>7.9</v>
      </c>
      <c r="Y33" s="8">
        <v>10.3</v>
      </c>
      <c r="Z33" s="4">
        <f>IF(Zabrze_result[[#This Row],[All Around]]="Yes",SUM(H33,K33,N33,Q33,T33,W33),0)</f>
        <v>16</v>
      </c>
      <c r="AA33" s="7">
        <f>IF(Zabrze_result[[#This Row],[All Around]]="Yes",SUM(I33,L33,O33,R33,U33,X33),0)</f>
        <v>49.4</v>
      </c>
      <c r="AB33" s="7">
        <f t="shared" si="0"/>
        <v>65.399999999999991</v>
      </c>
      <c r="AJ33" s="1"/>
    </row>
    <row r="34" spans="1:36" x14ac:dyDescent="0.25">
      <c r="A34" s="2">
        <v>9</v>
      </c>
      <c r="B34" t="s">
        <v>46</v>
      </c>
      <c r="C34" s="2" t="s">
        <v>26</v>
      </c>
      <c r="D34" s="2">
        <v>2006</v>
      </c>
      <c r="E34" s="2" t="s">
        <v>47</v>
      </c>
      <c r="F34" t="s">
        <v>36</v>
      </c>
      <c r="G34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4" s="5">
        <v>2.9</v>
      </c>
      <c r="I34" s="8">
        <v>8.1999999999999993</v>
      </c>
      <c r="J34" s="8">
        <v>11.1</v>
      </c>
      <c r="K34" s="5">
        <v>2.2000000000000002</v>
      </c>
      <c r="L34" s="8">
        <v>5.75</v>
      </c>
      <c r="M34" s="8">
        <v>7.95</v>
      </c>
      <c r="N34" s="5">
        <v>1.7</v>
      </c>
      <c r="O34" s="8">
        <v>6.8</v>
      </c>
      <c r="P34" s="8">
        <v>8.5</v>
      </c>
      <c r="Q34" s="5">
        <v>1.6</v>
      </c>
      <c r="R34" s="8">
        <v>9</v>
      </c>
      <c r="S34" s="8">
        <v>10.6</v>
      </c>
      <c r="T34" s="5">
        <v>2.4</v>
      </c>
      <c r="U34" s="8">
        <v>8.6</v>
      </c>
      <c r="V34" s="8">
        <v>11</v>
      </c>
      <c r="W34" s="5">
        <v>1.8</v>
      </c>
      <c r="X34" s="8">
        <v>7.7</v>
      </c>
      <c r="Y34" s="8">
        <v>9.5</v>
      </c>
      <c r="Z34" s="4">
        <f>IF(Zabrze_result[[#This Row],[All Around]]="Yes",SUM(H34,K34,N34,Q34,T34,W34),0)</f>
        <v>12.600000000000001</v>
      </c>
      <c r="AA34" s="7">
        <f>IF(Zabrze_result[[#This Row],[All Around]]="Yes",SUM(I34,L34,O34,R34,U34,X34),0)</f>
        <v>46.050000000000004</v>
      </c>
      <c r="AB34" s="7">
        <f t="shared" si="0"/>
        <v>58.65</v>
      </c>
      <c r="AJ34" s="1"/>
    </row>
    <row r="35" spans="1:36" x14ac:dyDescent="0.25">
      <c r="A35" s="2">
        <v>10</v>
      </c>
      <c r="B35" t="s">
        <v>48</v>
      </c>
      <c r="C35" s="2" t="s">
        <v>26</v>
      </c>
      <c r="D35" s="2">
        <v>2006</v>
      </c>
      <c r="E35" s="2" t="s">
        <v>49</v>
      </c>
      <c r="F35" t="s">
        <v>36</v>
      </c>
      <c r="G35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Yes</v>
      </c>
      <c r="H35" s="5">
        <v>3.2</v>
      </c>
      <c r="I35" s="8">
        <v>8.15</v>
      </c>
      <c r="J35" s="8">
        <v>11.35</v>
      </c>
      <c r="K35" s="5">
        <v>2.7</v>
      </c>
      <c r="L35" s="8">
        <v>1.95</v>
      </c>
      <c r="M35" s="8">
        <v>4.6500000000000004</v>
      </c>
      <c r="N35" s="5">
        <v>2.5</v>
      </c>
      <c r="O35" s="8">
        <v>6.5</v>
      </c>
      <c r="P35" s="8">
        <v>9</v>
      </c>
      <c r="Q35" s="5">
        <v>1.6</v>
      </c>
      <c r="R35" s="8">
        <v>9.5</v>
      </c>
      <c r="S35" s="8">
        <v>11.1</v>
      </c>
      <c r="T35" s="5">
        <v>3.1</v>
      </c>
      <c r="U35" s="8">
        <v>7.8</v>
      </c>
      <c r="V35" s="8">
        <v>10.9</v>
      </c>
      <c r="W35" s="5">
        <v>1.9</v>
      </c>
      <c r="X35" s="8">
        <v>8.1999999999999993</v>
      </c>
      <c r="Y35" s="8">
        <v>10.1</v>
      </c>
      <c r="Z35" s="4">
        <f>IF(Zabrze_result[[#This Row],[All Around]]="Yes",SUM(H35,K35,N35,Q35,T35,W35),0)</f>
        <v>15</v>
      </c>
      <c r="AA35" s="7">
        <f>IF(Zabrze_result[[#This Row],[All Around]]="Yes",SUM(I35,L35,O35,R35,U35,X35),0)</f>
        <v>42.099999999999994</v>
      </c>
      <c r="AB35" s="7">
        <f t="shared" si="0"/>
        <v>57.1</v>
      </c>
      <c r="AJ35" s="1"/>
    </row>
    <row r="36" spans="1:36" x14ac:dyDescent="0.25">
      <c r="A36" s="2">
        <v>11</v>
      </c>
      <c r="B36" t="s">
        <v>50</v>
      </c>
      <c r="C36" s="2" t="s">
        <v>26</v>
      </c>
      <c r="D36" s="2">
        <v>2007</v>
      </c>
      <c r="E36" s="2" t="s">
        <v>51</v>
      </c>
      <c r="F36" t="s">
        <v>36</v>
      </c>
      <c r="G36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36" s="5">
        <v>3.7</v>
      </c>
      <c r="I36" s="8">
        <v>8.3000000000000007</v>
      </c>
      <c r="J36" s="8">
        <v>12</v>
      </c>
      <c r="K36" s="5">
        <v>0</v>
      </c>
      <c r="L36" s="8">
        <v>0</v>
      </c>
      <c r="M36" s="8">
        <v>0</v>
      </c>
      <c r="N36" s="5">
        <v>3.7</v>
      </c>
      <c r="O36" s="8">
        <v>8.1</v>
      </c>
      <c r="P36" s="8">
        <v>11.8</v>
      </c>
      <c r="Q36" s="5">
        <v>0</v>
      </c>
      <c r="R36" s="8">
        <v>0</v>
      </c>
      <c r="S36" s="8">
        <v>0</v>
      </c>
      <c r="T36" s="5">
        <v>0</v>
      </c>
      <c r="U36" s="8">
        <v>0</v>
      </c>
      <c r="V36" s="8">
        <v>0</v>
      </c>
      <c r="W36" s="5">
        <v>2.7</v>
      </c>
      <c r="X36" s="8">
        <v>8</v>
      </c>
      <c r="Y36" s="8">
        <v>10.7</v>
      </c>
      <c r="Z36" s="4">
        <f>IF(Zabrze_result[[#This Row],[All Around]]="Yes",SUM(H36,K36,N36,Q36,T36,W36),0)</f>
        <v>0</v>
      </c>
      <c r="AA36" s="7">
        <f>IF(Zabrze_result[[#This Row],[All Around]]="Yes",SUM(I36,L36,O36,R36,U36,X36),0)</f>
        <v>0</v>
      </c>
      <c r="AB36" s="7">
        <f t="shared" si="0"/>
        <v>34.5</v>
      </c>
      <c r="AJ36" s="1"/>
    </row>
    <row r="37" spans="1:36" x14ac:dyDescent="0.25">
      <c r="A37" s="2">
        <v>12</v>
      </c>
      <c r="B37" t="s">
        <v>52</v>
      </c>
      <c r="C37" s="2" t="s">
        <v>26</v>
      </c>
      <c r="D37" s="2">
        <v>2006</v>
      </c>
      <c r="E37" s="2" t="s">
        <v>53</v>
      </c>
      <c r="F37" t="s">
        <v>36</v>
      </c>
      <c r="G37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37" s="5">
        <v>0</v>
      </c>
      <c r="I37" s="8">
        <v>0</v>
      </c>
      <c r="J37" s="8">
        <v>0</v>
      </c>
      <c r="K37" s="5">
        <v>2.2000000000000002</v>
      </c>
      <c r="L37" s="8">
        <v>6.5</v>
      </c>
      <c r="M37" s="8">
        <v>8.6999999999999993</v>
      </c>
      <c r="N37" s="5">
        <v>0</v>
      </c>
      <c r="O37" s="8">
        <v>0</v>
      </c>
      <c r="P37" s="8">
        <v>0</v>
      </c>
      <c r="Q37" s="5">
        <v>0</v>
      </c>
      <c r="R37" s="8">
        <v>0</v>
      </c>
      <c r="S37" s="8">
        <v>0</v>
      </c>
      <c r="T37" s="5">
        <v>3.1</v>
      </c>
      <c r="U37" s="8">
        <v>8</v>
      </c>
      <c r="V37" s="8">
        <v>11.1</v>
      </c>
      <c r="W37" s="5">
        <v>0</v>
      </c>
      <c r="X37" s="8">
        <v>0</v>
      </c>
      <c r="Y37" s="8">
        <v>0</v>
      </c>
      <c r="Z37" s="4">
        <f>IF(Zabrze_result[[#This Row],[All Around]]="Yes",SUM(H37,K37,N37,Q37,T37,W37),0)</f>
        <v>0</v>
      </c>
      <c r="AA37" s="7">
        <f>IF(Zabrze_result[[#This Row],[All Around]]="Yes",SUM(I37,L37,O37,R37,U37,X37),0)</f>
        <v>0</v>
      </c>
      <c r="AB37" s="7">
        <f t="shared" si="0"/>
        <v>19.799999999999997</v>
      </c>
      <c r="AJ37" s="1"/>
    </row>
    <row r="38" spans="1:36" x14ac:dyDescent="0.25">
      <c r="A38" s="2">
        <v>13</v>
      </c>
      <c r="B38" t="s">
        <v>54</v>
      </c>
      <c r="C38" s="2" t="s">
        <v>26</v>
      </c>
      <c r="D38" s="2">
        <v>2008</v>
      </c>
      <c r="E38" s="2" t="s">
        <v>55</v>
      </c>
      <c r="F38" t="s">
        <v>56</v>
      </c>
      <c r="G38" s="2" t="str">
        <f>IF((COUNTIF(Zabrze_result[[#This Row],[FX_total_score]],"&gt;0")+COUNTIF(Zabrze_result[[#This Row],[PH_Total_Score]],"&gt;0")+COUNTIF(Zabrze_result[[#This Row],[SR_Total_Score]],"&gt;0")+COUNTIF(Zabrze_result[[#This Row],[VT_total_score]],"&gt;0")+COUNTIF(Zabrze_result[[#This Row],[PB_total_score]],"&gt;0")+COUNTIF(Zabrze_result[[#This Row],[HB_total_score]],"&gt;0"))=6,"Yes","No")</f>
        <v>No</v>
      </c>
      <c r="H38" s="5">
        <v>0</v>
      </c>
      <c r="I38" s="8">
        <v>0</v>
      </c>
      <c r="J38" s="8">
        <v>0</v>
      </c>
      <c r="K38" s="5">
        <v>0</v>
      </c>
      <c r="L38" s="8">
        <v>0</v>
      </c>
      <c r="M38" s="8">
        <v>0</v>
      </c>
      <c r="N38" s="5">
        <v>0</v>
      </c>
      <c r="O38" s="8">
        <v>0</v>
      </c>
      <c r="P38" s="8">
        <v>0</v>
      </c>
      <c r="Q38" s="5">
        <v>1.6</v>
      </c>
      <c r="R38" s="8">
        <v>8.3000000000000007</v>
      </c>
      <c r="S38" s="8">
        <v>9.9</v>
      </c>
      <c r="T38" s="5">
        <v>0</v>
      </c>
      <c r="U38" s="8">
        <v>0</v>
      </c>
      <c r="V38" s="8">
        <v>0</v>
      </c>
      <c r="W38" s="5">
        <v>0</v>
      </c>
      <c r="X38" s="8">
        <v>0</v>
      </c>
      <c r="Y38" s="8">
        <v>0</v>
      </c>
      <c r="Z38" s="4">
        <f>IF(Zabrze_result[[#This Row],[All Around]]="Yes",SUM(H38,K38,N38,Q38,T38,W38),0)</f>
        <v>0</v>
      </c>
      <c r="AA38" s="7">
        <f>IF(Zabrze_result[[#This Row],[All Around]]="Yes",SUM(I38,L38,O38,R38,U38,X38),0)</f>
        <v>0</v>
      </c>
      <c r="AB38" s="7">
        <f t="shared" si="0"/>
        <v>9.9</v>
      </c>
      <c r="AJ38" s="1"/>
    </row>
    <row r="41" spans="1:36" ht="15" customHeight="1" x14ac:dyDescent="0.25"/>
    <row r="42" spans="1:36" ht="30.75" customHeight="1" x14ac:dyDescent="0.25">
      <c r="A42" s="15" t="s">
        <v>249</v>
      </c>
      <c r="B42" s="15"/>
      <c r="C42" s="15"/>
      <c r="D42" s="15"/>
      <c r="E42" s="15"/>
      <c r="F42" s="15"/>
      <c r="G42" s="15"/>
      <c r="H42" s="15"/>
      <c r="I42" s="15"/>
      <c r="J42" s="14"/>
      <c r="K42" s="15" t="s">
        <v>250</v>
      </c>
      <c r="L42" s="15"/>
      <c r="M42" s="15"/>
      <c r="N42" s="15"/>
      <c r="O42" s="15"/>
      <c r="P42" s="15"/>
      <c r="Q42" s="15"/>
      <c r="R42" s="15"/>
      <c r="S42" s="15"/>
      <c r="T42" s="14"/>
      <c r="U42" s="14"/>
      <c r="V42" s="14"/>
      <c r="Z42" s="5"/>
    </row>
    <row r="43" spans="1:36" x14ac:dyDescent="0.25">
      <c r="A43" s="10" t="s">
        <v>217</v>
      </c>
      <c r="B43" s="10" t="s">
        <v>244</v>
      </c>
      <c r="C43" s="10" t="s">
        <v>251</v>
      </c>
      <c r="D43" s="10" t="s">
        <v>245</v>
      </c>
      <c r="E43" s="10" t="s">
        <v>252</v>
      </c>
      <c r="F43" s="10" t="s">
        <v>246</v>
      </c>
      <c r="G43" s="10" t="s">
        <v>253</v>
      </c>
      <c r="H43" s="10" t="s">
        <v>254</v>
      </c>
      <c r="I43" s="10" t="s">
        <v>255</v>
      </c>
      <c r="K43" s="10" t="s">
        <v>217</v>
      </c>
      <c r="L43" s="10" t="s">
        <v>244</v>
      </c>
      <c r="M43" s="10" t="s">
        <v>251</v>
      </c>
      <c r="N43" s="10" t="s">
        <v>245</v>
      </c>
      <c r="O43" s="10" t="s">
        <v>252</v>
      </c>
      <c r="P43" s="10" t="s">
        <v>246</v>
      </c>
      <c r="Q43" s="10" t="s">
        <v>253</v>
      </c>
      <c r="R43" s="10" t="s">
        <v>254</v>
      </c>
      <c r="S43" s="10" t="s">
        <v>255</v>
      </c>
    </row>
    <row r="44" spans="1:36" ht="47.25" customHeight="1" x14ac:dyDescent="0.25">
      <c r="A44" s="10" t="s">
        <v>218</v>
      </c>
      <c r="B44" s="11">
        <f>AVERAGEIFS(Zabrze_result[FX_Dscore],Zabrze_result[[Category]:[Category]],"junior",Zabrze_result[FX_Dscore],"&lt;&gt;0")</f>
        <v>3.5636363636363639</v>
      </c>
      <c r="C44" s="11" cm="1">
        <f t="array" ref="C44">_xlfn.STDEV.S(_xlfn._xlws.FILTER(Zabrze_result[FX_Dscore],(Zabrze_result[Category]="junior")*(Zabrze_result[FX_Dscore]&gt;0)))</f>
        <v>0.45666777261533625</v>
      </c>
      <c r="D44" s="12">
        <f>AVERAGEIFS(Zabrze_result[FX_Escore],Zabrze_result[[Category]:[Category]],"junior",Zabrze_result[FX_Escore],"&lt;&gt;0")</f>
        <v>8.3090909090909104</v>
      </c>
      <c r="E44" s="12" cm="1">
        <f t="array" ref="E44">_xlfn.STDEV.S(_xlfn._xlws.FILTER(Zabrze_result[FX_Escore],(Zabrze_result[Category]="junior")*(Zabrze_result[FX_Escore]&gt;0)))</f>
        <v>0.18414421226063801</v>
      </c>
      <c r="F44" s="12">
        <f>AVERAGEIFS(Zabrze_result[FX_total_score],Zabrze_result[[Category]:[Category]],"junior",Zabrze_result[FX_total_score],"&lt;&gt;0")</f>
        <v>11.872727272727273</v>
      </c>
      <c r="G44" s="12" cm="1">
        <f t="array" ref="G44">_xlfn.STDEV.S(_xlfn._xlws.FILTER(Zabrze_result[FX_total_score],(Zabrze_result[Category]="junior")*(Zabrze_result[FX_total_score]&gt;0)))</f>
        <v>0.54880034455329763</v>
      </c>
      <c r="H44" s="12" cm="1">
        <f t="array" ref="H44">MAX(_xlfn._xlws.FILTER(Zabrze_result[FX_total_score],Zabrze_result[Category]="junior"))</f>
        <v>12.75</v>
      </c>
      <c r="I44" s="10" t="str" cm="1">
        <f t="array" ref="I44">_xlfn.XLOOKUP(H44,_xlfn._xlws.FILTER(Zabrze_result[FX_total_score],Zabrze_result[Category]="junior"),_xlfn._xlws.FILTER(Zabrze_result[Name],Zabrze_result[Category]="junior"),0)</f>
        <v>KWIATKOWSKI Michał</v>
      </c>
      <c r="K44" s="10" t="s">
        <v>218</v>
      </c>
      <c r="L44" s="11">
        <f>AVERAGEIFS(Zabrze_result[FX_Dscore],Zabrze_result[[Category]:[Category]],"senior",Zabrze_result[FX_Dscore],"&lt;&gt;0")</f>
        <v>4.2333333333333325</v>
      </c>
      <c r="M44" s="11" cm="1">
        <f t="array" ref="M44">_xlfn.STDEV.S(_xlfn._xlws.FILTER(Zabrze_result[FX_Dscore],(Zabrze_result[Category]="senior")*(Zabrze_result[FX_Dscore]&gt;0)))</f>
        <v>0.67475485744606734</v>
      </c>
      <c r="N44" s="12">
        <f>AVERAGEIFS(Zabrze_result[FX_Escore],Zabrze_result[[Category]:[Category]],"senior",Zabrze_result[FX_Escore],"&lt;&gt;0")</f>
        <v>7.6055555555555561</v>
      </c>
      <c r="O44" s="12" cm="1">
        <f t="array" ref="O44">_xlfn.STDEV.S(_xlfn._xlws.FILTER(Zabrze_result[FX_Escore],(Zabrze_result[Category]="senior")*(Zabrze_result[FX_Escore]&gt;0)))</f>
        <v>0.88731069047876676</v>
      </c>
      <c r="P44" s="12">
        <f>AVERAGEIFS(Zabrze_result[FX_total_score],Zabrze_result[[Category]:[Category]],"senior",Zabrze_result[FX_total_score],"&lt;&gt;0")</f>
        <v>11.838888888888887</v>
      </c>
      <c r="Q44" s="12" cm="1">
        <f t="array" ref="Q44">_xlfn.STDEV.S(_xlfn._xlws.FILTER(Zabrze_result[FX_total_score],(Zabrze_result[Category]="senior")*(Zabrze_result[FX_total_score]&gt;0)))</f>
        <v>0.91964755965909473</v>
      </c>
      <c r="R44" s="12" cm="1">
        <f t="array" ref="R44">MAX(_xlfn._xlws.FILTER(Zabrze_result[FX_total_score],Zabrze_result[Category]="senior"))</f>
        <v>13.45</v>
      </c>
      <c r="S44" s="10" t="str" cm="1">
        <f t="array" ref="S44">_xlfn.XLOOKUP(R44,_xlfn._xlws.FILTER(Zabrze_result[FX_total_score],Zabrze_result[Category]="senior"),_xlfn._xlws.FILTER(Zabrze_result[Name],Zabrze_result[Category]="senior"),0)</f>
        <v>GARNCZAREK Kacper</v>
      </c>
    </row>
    <row r="45" spans="1:36" ht="31.5" customHeight="1" x14ac:dyDescent="0.25">
      <c r="A45" s="10" t="s">
        <v>238</v>
      </c>
      <c r="B45" s="11">
        <f>AVERAGEIFS(Zabrze_result[PH_Dscore],Zabrze_result[[Category]:[Category]],"junior",Zabrze_result[PH_Dscore],"&lt;&gt;0")</f>
        <v>3.163636363636364</v>
      </c>
      <c r="C45" s="11" cm="1">
        <f t="array" ref="C45">_xlfn.STDEV.S(_xlfn._xlws.FILTER(Zabrze_result[PH_Dscore],(Zabrze_result[Category]="junior")*(Zabrze_result[PH_Dscore]&gt;0)))</f>
        <v>0.71452463536637756</v>
      </c>
      <c r="D45" s="12">
        <f>AVERAGEIFS(Zabrze_result[PH_Escore],Zabrze_result[[Category]:[Category]],"junior",Zabrze_result[PH_Escore],"&lt;&gt;0")</f>
        <v>6.8636363636363651</v>
      </c>
      <c r="E45" s="12" cm="1">
        <f t="array" ref="E45">_xlfn.STDEV.S(_xlfn._xlws.FILTER(Zabrze_result[PH_Escore],(Zabrze_result[Category]="junior")*(Zabrze_result[PH_Escore]&gt;0)))</f>
        <v>1.9098548255156582</v>
      </c>
      <c r="F45" s="12">
        <f>AVERAGEIFS(Zabrze_result[PH_Total_Score],Zabrze_result[[Category]:[Category]],"junior",Zabrze_result[PH_Total_Score],"&lt;&gt;0")</f>
        <v>10.027272727272729</v>
      </c>
      <c r="G45" s="12" cm="1">
        <f t="array" ref="G45">_xlfn.STDEV.S(_xlfn._xlws.FILTER(Zabrze_result[PH_Total_Score],(Zabrze_result[Category]="junior")*(Zabrze_result[PH_Total_Score]&gt;0)))</f>
        <v>2.2948162929049034</v>
      </c>
      <c r="H45" s="12" cm="1">
        <f t="array" ref="H45">MAX(_xlfn._xlws.FILTER(Zabrze_result[PH_Total_Score],Zabrze_result[Category]="junior"))</f>
        <v>12.7</v>
      </c>
      <c r="I45" s="10" t="str" cm="1">
        <f t="array" ref="I45">_xlfn.XLOOKUP(H45,_xlfn._xlws.FILTER(Zabrze_result[PH_Total_Score],Zabrze_result[Category]="junior"),_xlfn._xlws.FILTER(Zabrze_result[Name],Zabrze_result[Category]="junior"),0)</f>
        <v>LEKHAC Tomasz</v>
      </c>
      <c r="K45" s="10" t="s">
        <v>238</v>
      </c>
      <c r="L45" s="11">
        <f>AVERAGEIFS(Zabrze_result[PH_Dscore],Zabrze_result[[Category]:[Category]],"senior",Zabrze_result[PH_Dscore],"&lt;&gt;0")</f>
        <v>3.6277777777777782</v>
      </c>
      <c r="M45" s="11" cm="1">
        <f t="array" ref="M45">_xlfn.STDEV.S(_xlfn._xlws.FILTER(Zabrze_result[PH_Dscore],(Zabrze_result[Category]="senior")*(Zabrze_result[PH_Dscore]&gt;0)))</f>
        <v>0.66226487997011196</v>
      </c>
      <c r="N45" s="12">
        <f>AVERAGEIFS(Zabrze_result[PH_Escore],Zabrze_result[[Category]:[Category]],"senior",Zabrze_result[PH_Escore],"&lt;&gt;0")</f>
        <v>6.973529411764706</v>
      </c>
      <c r="O45" s="12" cm="1">
        <f t="array" ref="O45">_xlfn.STDEV.S(_xlfn._xlws.FILTER(Zabrze_result[PH_Escore],(Zabrze_result[Category]="senior")*(Zabrze_result[PH_Escore]&gt;0)))</f>
        <v>1.0658209346348413</v>
      </c>
      <c r="P45" s="12">
        <f>AVERAGEIFS(Zabrze_result[PH_Total_Score],Zabrze_result[[Category]:[Category]],"senior",Zabrze_result[PH_Total_Score],"&lt;&gt;0")</f>
        <v>10.21388888888889</v>
      </c>
      <c r="Q45" s="12" cm="1">
        <f t="array" ref="Q45">_xlfn.STDEV.S(_xlfn._xlws.FILTER(Zabrze_result[PH_Total_Score],(Zabrze_result[Category]="senior")*(Zabrze_result[PH_Total_Score]&gt;0)))</f>
        <v>2.3036292054798757</v>
      </c>
      <c r="R45" s="12" cm="1">
        <f t="array" ref="R45">MAX(_xlfn._xlws.FILTER(Zabrze_result[PH_Total_Score],Zabrze_result[Category]="senior"))</f>
        <v>12.45</v>
      </c>
      <c r="S45" s="10" t="str" cm="1">
        <f t="array" ref="S45">_xlfn.XLOOKUP(R45,_xlfn._xlws.FILTER(Zabrze_result[PH_Total_Score],Zabrze_result[Category]="senior"),_xlfn._xlws.FILTER(Zabrze_result[Name],Zabrze_result[Category]="senior"),0)</f>
        <v>LAKHIN Yaroslav</v>
      </c>
    </row>
    <row r="46" spans="1:36" ht="47.25" customHeight="1" x14ac:dyDescent="0.25">
      <c r="A46" s="10" t="s">
        <v>239</v>
      </c>
      <c r="B46" s="11">
        <f>AVERAGEIFS(Zabrze_result[SR_Dscore],Zabrze_result[[Category]:[Category]],"junior",Zabrze_result[SR_Dscore],"&lt;&gt;0")</f>
        <v>2.8545454545454545</v>
      </c>
      <c r="C46" s="11" cm="1">
        <f t="array" ref="C46">_xlfn.STDEV.S(_xlfn._xlws.FILTER(Zabrze_result[SR_Dscore],(Zabrze_result[Category]="junior")*(Zabrze_result[SR_Dscore]&gt;0)))</f>
        <v>0.6743346889544346</v>
      </c>
      <c r="D46" s="12">
        <f>AVERAGEIFS(Zabrze_result[SR_Escore],Zabrze_result[[Category]:[Category]],"junior",Zabrze_result[SR_Escore],"&lt;&gt;0")</f>
        <v>7.9045454545454534</v>
      </c>
      <c r="E46" s="12" cm="1">
        <f t="array" ref="E46">_xlfn.STDEV.S(_xlfn._xlws.FILTER(Zabrze_result[SR_Escore],(Zabrze_result[Category]="junior")*(Zabrze_result[SR_Escore]&gt;0)))</f>
        <v>0.68645995711860186</v>
      </c>
      <c r="F46" s="12">
        <f>AVERAGEIFS(Zabrze_result[SR_Total_Score],Zabrze_result[[Category]:[Category]],"junior",Zabrze_result[SR_Total_Score],"&lt;&gt;0")</f>
        <v>10.759090909090908</v>
      </c>
      <c r="G46" s="12" cm="1">
        <f t="array" ref="G46">_xlfn.STDEV.S(_xlfn._xlws.FILTER(Zabrze_result[SR_Total_Score],(Zabrze_result[Category]="junior")*(Zabrze_result[SR_Total_Score]&gt;0)))</f>
        <v>1.1959971115805925</v>
      </c>
      <c r="H46" s="12" cm="1">
        <f t="array" ref="H46">MAX(_xlfn._xlws.FILTER(Zabrze_result[SR_Total_Score],Zabrze_result[Category]="junior"))</f>
        <v>12.2</v>
      </c>
      <c r="I46" s="10" t="str" cm="1">
        <f t="array" ref="I46">_xlfn.XLOOKUP(H46,_xlfn._xlws.FILTER(Zabrze_result[SR_Total_Score],Zabrze_result[Category]="junior"),_xlfn._xlws.FILTER(Zabrze_result[Name],Zabrze_result[Category]="junior"),0)</f>
        <v>KWIATKOWSKI Michał</v>
      </c>
      <c r="K46" s="10" t="s">
        <v>239</v>
      </c>
      <c r="L46" s="11">
        <f>AVERAGEIFS(Zabrze_result[SR_Dscore],Zabrze_result[[Category]:[Category]],"senior",Zabrze_result[SR_Dscore],"&lt;&gt;0")</f>
        <v>3.5263157894736836</v>
      </c>
      <c r="M46" s="11" cm="1">
        <f t="array" ref="M46">_xlfn.STDEV.S(_xlfn._xlws.FILTER(Zabrze_result[SR_Dscore],(Zabrze_result[Category]="senior")*(Zabrze_result[SR_Dscore]&gt;0)))</f>
        <v>0.62613639378791497</v>
      </c>
      <c r="N46" s="12">
        <f>AVERAGEIFS(Zabrze_result[SR_Escore],Zabrze_result[[Category]:[Category]],"senior",Zabrze_result[SR_Escore],"&lt;&gt;0")</f>
        <v>7.1684210526315786</v>
      </c>
      <c r="O46" s="12" cm="1">
        <f t="array" ref="O46">_xlfn.STDEV.S(_xlfn._xlws.FILTER(Zabrze_result[SR_Escore],(Zabrze_result[Category]="senior")*(Zabrze_result[SR_Escore]&gt;0)))</f>
        <v>1.7915860854992114</v>
      </c>
      <c r="P46" s="12">
        <f>AVERAGEIFS(Zabrze_result[SR_Total_Score],Zabrze_result[[Category]:[Category]],"senior",Zabrze_result[SR_Total_Score],"&lt;&gt;0")</f>
        <v>10.694736842105263</v>
      </c>
      <c r="Q46" s="12" cm="1">
        <f t="array" ref="Q46">_xlfn.STDEV.S(_xlfn._xlws.FILTER(Zabrze_result[SR_Total_Score],(Zabrze_result[Category]="senior")*(Zabrze_result[SR_Total_Score]&gt;0)))</f>
        <v>2.2313980879485746</v>
      </c>
      <c r="R46" s="12" cm="1">
        <f t="array" ref="R46">MAX(_xlfn._xlws.FILTER(Zabrze_result[SR_Total_Score],Zabrze_result[Category]="senior"))</f>
        <v>12.7</v>
      </c>
      <c r="S46" s="10" t="str" cm="1">
        <f t="array" ref="S46">_xlfn.XLOOKUP(R46,_xlfn._xlws.FILTER(Zabrze_result[SR_Total_Score],Zabrze_result[Category]="senior"),_xlfn._xlws.FILTER(Zabrze_result[Name],Zabrze_result[Category]="senior"),0)</f>
        <v>IAREMCHUK Vladyslav</v>
      </c>
    </row>
    <row r="47" spans="1:36" ht="31.5" x14ac:dyDescent="0.25">
      <c r="A47" s="10" t="s">
        <v>240</v>
      </c>
      <c r="B47" s="11">
        <f>AVERAGEIFS(Zabrze_result[VT_Dscore],Zabrze_result[[Category]:[Category]],"junior",Zabrze_result[VT_Dscore],"&lt;&gt;0")</f>
        <v>2.6363636363636367</v>
      </c>
      <c r="C47" s="11" cm="1">
        <f t="array" ref="C47">_xlfn.STDEV.S(_xlfn._xlws.FILTER(Zabrze_result[VT_Dscore],(Zabrze_result[Category]="junior")*(Zabrze_result[VT_Dscore]&gt;0)))</f>
        <v>0.88912623093993426</v>
      </c>
      <c r="D47" s="12">
        <f>AVERAGEIFS(Zabrze_result[VT_Escore],Zabrze_result[[Category]:[Category]],"junior",Zabrze_result[VT_Escore],"&lt;&gt;0")</f>
        <v>8.877272727272727</v>
      </c>
      <c r="E47" s="12" cm="1">
        <f t="array" ref="E47">_xlfn.STDEV.S(_xlfn._xlws.FILTER(Zabrze_result[VT_Escore],(Zabrze_result[Category]="junior")*(Zabrze_result[VT_Escore]&gt;0)))</f>
        <v>0.45462272070566168</v>
      </c>
      <c r="F47" s="12">
        <f>AVERAGEIFS(Zabrze_result[VT_total_score],Zabrze_result[[Category]:[Category]],"junior",Zabrze_result[VT_total_score],"&lt;&gt;0")</f>
        <v>11.513636363636364</v>
      </c>
      <c r="G47" s="12" cm="1">
        <f t="array" ref="G47">_xlfn.STDEV.S(_xlfn._xlws.FILTER(Zabrze_result[VT_total_score],(Zabrze_result[Category]="junior")*(Zabrze_result[VT_total_score]&gt;0)))</f>
        <v>0.8666287870509809</v>
      </c>
      <c r="H47" s="12" cm="1">
        <f t="array" ref="H47">MAX(_xlfn._xlws.FILTER(Zabrze_result[VT_total_score],Zabrze_result[Category]="junior"))</f>
        <v>12.95</v>
      </c>
      <c r="I47" s="10" t="str" cm="1">
        <f t="array" ref="I47">_xlfn.XLOOKUP(H47,_xlfn._xlws.FILTER(Zabrze_result[VT_total_score],Zabrze_result[Category]="junior"),_xlfn._xlws.FILTER(Zabrze_result[Name],Zabrze_result[Category]="junior"),0)</f>
        <v>CZARNECKI Aleksander</v>
      </c>
      <c r="K47" s="10" t="s">
        <v>240</v>
      </c>
      <c r="L47" s="11">
        <f>AVERAGEIFS(Zabrze_result[VT_Dscore],Zabrze_result[[Category]:[Category]],"senior",Zabrze_result[VT_Dscore],"&lt;&gt;0")</f>
        <v>3.835294117647059</v>
      </c>
      <c r="M47" s="11" cm="1">
        <f t="array" ref="M47">_xlfn.STDEV.S(_xlfn._xlws.FILTER(Zabrze_result[VT_Dscore],(Zabrze_result[Category]="senior")*(Zabrze_result[VT_Dscore]&gt;0)))</f>
        <v>0.67909975010173473</v>
      </c>
      <c r="N47" s="12">
        <f>AVERAGEIFS(Zabrze_result[VT_Escore],Zabrze_result[[Category]:[Category]],"senior",Zabrze_result[VT_Escore],"&lt;&gt;0")</f>
        <v>9.0264705882352967</v>
      </c>
      <c r="O47" s="12" cm="1">
        <f t="array" ref="O47">_xlfn.STDEV.S(_xlfn._xlws.FILTER(Zabrze_result[VT_Escore],(Zabrze_result[Category]="senior")*(Zabrze_result[VT_Escore]&gt;0)))</f>
        <v>0.43269419305773249</v>
      </c>
      <c r="P47" s="12">
        <f>AVERAGEIFS(Zabrze_result[VT_total_score],Zabrze_result[[Category]:[Category]],"senior",Zabrze_result[VT_total_score],"&lt;&gt;0")</f>
        <v>12.861764705882351</v>
      </c>
      <c r="Q47" s="12" cm="1">
        <f t="array" ref="Q47">_xlfn.STDEV.S(_xlfn._xlws.FILTER(Zabrze_result[VT_total_score],(Zabrze_result[Category]="senior")*(Zabrze_result[VT_total_score]&gt;0)))</f>
        <v>0.74341471681455884</v>
      </c>
      <c r="R47" s="12" cm="1">
        <f t="array" ref="R47">MAX(_xlfn._xlws.FILTER(Zabrze_result[VT_total_score],Zabrze_result[Category]="senior"))</f>
        <v>14.8</v>
      </c>
      <c r="S47" s="10" t="str" cm="1">
        <f t="array" ref="S47">_xlfn.XLOOKUP(R47,_xlfn._xlws.FILTER(Zabrze_result[VT_total_score],Zabrze_result[Category]="senior"),_xlfn._xlws.FILTER(Zabrze_result[Name],Zabrze_result[Category]="senior"),0)</f>
        <v>SASNAL Filip</v>
      </c>
    </row>
    <row r="48" spans="1:36" ht="31.5" customHeight="1" x14ac:dyDescent="0.25">
      <c r="A48" s="10" t="s">
        <v>241</v>
      </c>
      <c r="B48" s="11">
        <f>AVERAGEIFS(Zabrze_result[PB_Dscore],Zabrze_result[[Category]:[Category]],"junior",Zabrze_result[PB_Dscore],"&lt;&gt;0")</f>
        <v>3.2272727272727271</v>
      </c>
      <c r="C48" s="11" cm="1">
        <f t="array" ref="C48">_xlfn.STDEV.S(_xlfn._xlws.FILTER(Zabrze_result[PB_Dscore],(Zabrze_result[Category]="junior")*(Zabrze_result[PB_Dscore]&gt;0)))</f>
        <v>0.45626945786653228</v>
      </c>
      <c r="D48" s="12">
        <f>AVERAGEIFS(Zabrze_result[PB_Escore],Zabrze_result[[Category]:[Category]],"junior",Zabrze_result[PB_Escore],"&lt;&gt;0")</f>
        <v>8.2727272727272716</v>
      </c>
      <c r="E48" s="12" cm="1">
        <f t="array" ref="E48">_xlfn.STDEV.S(_xlfn._xlws.FILTER(Zabrze_result[PB_Escore],(Zabrze_result[Category]="junior")*(Zabrze_result[PB_Escore]&gt;0)))</f>
        <v>0.50614406860282191</v>
      </c>
      <c r="F48" s="12">
        <f>AVERAGEIFS(Zabrze_result[PB_total_score],Zabrze_result[[Category]:[Category]],"junior",Zabrze_result[PB_total_score],"&lt;&gt;0")</f>
        <v>11.5</v>
      </c>
      <c r="G48" s="12" cm="1">
        <f t="array" ref="G48">_xlfn.STDEV.S(_xlfn._xlws.FILTER(Zabrze_result[PB_total_score],(Zabrze_result[Category]="junior")*(Zabrze_result[PB_total_score]&gt;0)))</f>
        <v>0.68847657912234039</v>
      </c>
      <c r="H48" s="12" cm="1">
        <f t="array" ref="H48">MAX(_xlfn._xlws.FILTER(Zabrze_result[PB_total_score],Zabrze_result[Category]="junior"))</f>
        <v>13.3</v>
      </c>
      <c r="I48" s="10" t="str" cm="1">
        <f t="array" ref="I48">_xlfn.XLOOKUP(H48,_xlfn._xlws.FILTER(Zabrze_result[PB_total_score],Zabrze_result[Category]="junior"),_xlfn._xlws.FILTER(Zabrze_result[Name],Zabrze_result[Category]="junior"),0)</f>
        <v>LEKHAC Tomasz</v>
      </c>
      <c r="K48" s="10" t="s">
        <v>241</v>
      </c>
      <c r="L48" s="11">
        <f>AVERAGEIFS(Zabrze_result[PB_Dscore],Zabrze_result[[Category]:[Category]],"senior",Zabrze_result[PB_Dscore],"&lt;&gt;0")</f>
        <v>3.5117647058823529</v>
      </c>
      <c r="M48" s="11" cm="1">
        <f t="array" ref="M48">_xlfn.STDEV.S(_xlfn._xlws.FILTER(Zabrze_result[PB_Dscore],(Zabrze_result[Category]="senior")*(Zabrze_result[PB_Dscore]&gt;0)))</f>
        <v>0.73474685516609961</v>
      </c>
      <c r="N48" s="12">
        <f>AVERAGEIFS(Zabrze_result[PB_Escore],Zabrze_result[[Category]:[Category]],"senior",Zabrze_result[PB_Escore],"&lt;&gt;0")</f>
        <v>8.147058823529413</v>
      </c>
      <c r="O48" s="12" cm="1">
        <f t="array" ref="O48">_xlfn.STDEV.S(_xlfn._xlws.FILTER(Zabrze_result[PB_Escore],(Zabrze_result[Category]="senior")*(Zabrze_result[PB_Escore]&gt;0)))</f>
        <v>0.69786965747446661</v>
      </c>
      <c r="P48" s="12">
        <f>AVERAGEIFS(Zabrze_result[PB_total_score],Zabrze_result[[Category]:[Category]],"senior",Zabrze_result[PB_total_score],"&lt;&gt;0")</f>
        <v>11.658823529411762</v>
      </c>
      <c r="Q48" s="12" cm="1">
        <f t="array" ref="Q48">_xlfn.STDEV.S(_xlfn._xlws.FILTER(Zabrze_result[PB_total_score],(Zabrze_result[Category]="senior")*(Zabrze_result[PB_total_score]&gt;0)))</f>
        <v>0.82957731973081617</v>
      </c>
      <c r="R48" s="12" cm="1">
        <f t="array" ref="R48">MAX(_xlfn._xlws.FILTER(Zabrze_result[PB_total_score],Zabrze_result[Category]="senior"))</f>
        <v>12.55</v>
      </c>
      <c r="S48" s="10" t="str" cm="1">
        <f t="array" ref="S48">_xlfn.XLOOKUP(R48,_xlfn._xlws.FILTER(Zabrze_result[PB_total_score],Zabrze_result[Category]="senior"),_xlfn._xlws.FILTER(Zabrze_result[Name],Zabrze_result[Category]="senior"),0)</f>
        <v>BOBER Michał</v>
      </c>
    </row>
    <row r="49" spans="1:19" ht="47.25" customHeight="1" x14ac:dyDescent="0.25">
      <c r="A49" s="10" t="s">
        <v>242</v>
      </c>
      <c r="B49" s="11">
        <f>AVERAGEIFS(Zabrze_result[HB_Dscore],Zabrze_result[[Category]:[Category]],"junior",Zabrze_result[HB_Dscore],"&lt;&gt;0")</f>
        <v>2.5999999999999996</v>
      </c>
      <c r="C49" s="11" cm="1">
        <f t="array" ref="C49">_xlfn.STDEV.S(_xlfn._xlws.FILTER(Zabrze_result[HB_Dscore],(Zabrze_result[Category]="junior")*(Zabrze_result[HB_Dscore]&gt;0)))</f>
        <v>0.56213877290220882</v>
      </c>
      <c r="D49" s="12">
        <f>AVERAGEIFS(Zabrze_result[HB_Escore],Zabrze_result[[Category]:[Category]],"junior",Zabrze_result[HB_Escore],"&lt;&gt;0")</f>
        <v>7.9727272727272727</v>
      </c>
      <c r="E49" s="12" cm="1">
        <f t="array" ref="E49">_xlfn.STDEV.S(_xlfn._xlws.FILTER(Zabrze_result[HB_Escore],(Zabrze_result[Category]="junior")*(Zabrze_result[HB_Escore]&gt;0)))</f>
        <v>0.49414756721228326</v>
      </c>
      <c r="F49" s="12">
        <f>AVERAGEIFS(Zabrze_result[HB_total_score],Zabrze_result[[Category]:[Category]],"junior",Zabrze_result[HB_total_score],"&lt;&gt;0")</f>
        <v>10.572727272727272</v>
      </c>
      <c r="G49" s="12" cm="1">
        <f t="array" ref="G49">_xlfn.STDEV.S(_xlfn._xlws.FILTER(Zabrze_result[HB_total_score],(Zabrze_result[Category]="junior")*(Zabrze_result[HB_total_score]&gt;0)))</f>
        <v>0.60512958792461846</v>
      </c>
      <c r="H49" s="12" cm="1">
        <f t="array" ref="H49">MAX(_xlfn._xlws.FILTER(Zabrze_result[HB_total_score],Zabrze_result[Category]="junior"))</f>
        <v>11.8</v>
      </c>
      <c r="I49" s="10" t="str" cm="1">
        <f t="array" ref="I49">_xlfn.XLOOKUP(H49,_xlfn._xlws.FILTER(Zabrze_result[HB_total_score],Zabrze_result[Category]="junior"),_xlfn._xlws.FILTER(Zabrze_result[Name],Zabrze_result[Category]="junior"),0)</f>
        <v>LEKHAC Tomasz</v>
      </c>
      <c r="K49" s="10" t="s">
        <v>242</v>
      </c>
      <c r="L49" s="11">
        <f>AVERAGEIFS(Zabrze_result[HB_Dscore],Zabrze_result[[Category]:[Category]],"senior",Zabrze_result[HB_Dscore],"&lt;&gt;0")</f>
        <v>2.976923076923077</v>
      </c>
      <c r="M49" s="11" cm="1">
        <f t="array" ref="M49">_xlfn.STDEV.S(_xlfn._xlws.FILTER(Zabrze_result[HB_Dscore],(Zabrze_result[Category]="senior")*(Zabrze_result[HB_Dscore]&gt;0)))</f>
        <v>0.87001326249838074</v>
      </c>
      <c r="N49" s="12">
        <f>AVERAGEIFS(Zabrze_result[HB_Escore],Zabrze_result[[Category]:[Category]],"senior",Zabrze_result[HB_Escore],"&lt;&gt;0")</f>
        <v>7.3884615384615397</v>
      </c>
      <c r="O49" s="12" cm="1">
        <f t="array" ref="O49">_xlfn.STDEV.S(_xlfn._xlws.FILTER(Zabrze_result[HB_Escore],(Zabrze_result[Category]="senior")*(Zabrze_result[HB_Escore]&gt;0)))</f>
        <v>0.78186578296027864</v>
      </c>
      <c r="P49" s="12">
        <f>AVERAGEIFS(Zabrze_result[HB_total_score],Zabrze_result[[Category]:[Category]],"senior",Zabrze_result[HB_total_score],"&lt;&gt;0")</f>
        <v>10.365384615384613</v>
      </c>
      <c r="Q49" s="12" cm="1">
        <f t="array" ref="Q49">_xlfn.STDEV.S(_xlfn._xlws.FILTER(Zabrze_result[HB_total_score],(Zabrze_result[Category]="senior")*(Zabrze_result[HB_total_score]&gt;0)))</f>
        <v>1.2224266534549073</v>
      </c>
      <c r="R49" s="12" cm="1">
        <f t="array" ref="R49">MAX(_xlfn._xlws.FILTER(Zabrze_result[HB_total_score],Zabrze_result[Category]="senior"))</f>
        <v>12</v>
      </c>
      <c r="S49" s="10" t="str" cm="1">
        <f t="array" ref="S49">_xlfn.XLOOKUP(R49,_xlfn._xlws.FILTER(Zabrze_result[HB_total_score],Zabrze_result[Category]="senior"),_xlfn._xlws.FILTER(Zabrze_result[Name],Zabrze_result[Category]="senior"),0)</f>
        <v>GARNCZAREK Kacper</v>
      </c>
    </row>
    <row r="50" spans="1:19" ht="47.25" customHeight="1" x14ac:dyDescent="0.25">
      <c r="A50" s="10" t="s">
        <v>243</v>
      </c>
      <c r="B50" s="11">
        <f>AVERAGEIFS(Zabrze_result[AA_Dscore],Zabrze_result[[Category]:[Category]],"junior",Zabrze_result[AA_Dscore],"&lt;&gt;0",Zabrze_result[All Around],"Yes")</f>
        <v>18.149999999999999</v>
      </c>
      <c r="C50" s="11" cm="1">
        <f t="array" ref="C50">_xlfn.STDEV.S(_xlfn._xlws.FILTER(Zabrze_result[AA_Dscore],(Zabrze_result[Category]="junior")*(Zabrze_result[All Around]="yes")))</f>
        <v>2.9897045561950435</v>
      </c>
      <c r="D50" s="12">
        <f>AVERAGEIFS(Zabrze_result[AA_Escore],Zabrze_result[[Category]:[Category]],"junior",Zabrze_result[AA_Escore],"&lt;&gt;0",Zabrze_result[All Around],"Yes")</f>
        <v>48.3</v>
      </c>
      <c r="E50" s="12" cm="1">
        <f t="array" ref="E50">_xlfn.STDEV.S(_xlfn._xlws.FILTER(Zabrze_result[AA_Escore],(Zabrze_result[Category]="junior")*(Zabrze_result[All Around]="yes"),""))</f>
        <v>2.9515532633965242</v>
      </c>
      <c r="F50" s="12">
        <f>AVERAGEIFS(Zabrze_result[Total_Score],Zabrze_result[[Category]:[Category]],"junior",Zabrze_result[Total_Score],"&lt;&gt;0",Zabrze_result[All Around],"Yes")</f>
        <v>66.45</v>
      </c>
      <c r="G50" s="12" cm="1">
        <f t="array" ref="G50">_xlfn.STDEV.S(_xlfn._xlws.FILTER(Zabrze_result[Total_Score],(Zabrze_result[Category]="junior")*(Zabrze_result[All Around]="yes")))</f>
        <v>4.9840857848868447</v>
      </c>
      <c r="H50" s="12" cm="1">
        <f t="array" ref="H50">MAX(_xlfn._xlws.FILTER(Zabrze_result[Total_Score],Zabrze_result[Category]="junior"))</f>
        <v>72.55</v>
      </c>
      <c r="I50" s="10" t="str" cm="1">
        <f t="array" ref="I50">_xlfn.XLOOKUP(H50,_xlfn._xlws.FILTER(Zabrze_result[Total_Score],Zabrze_result[Category]="junior"),_xlfn._xlws.FILTER(Zabrze_result[Name],Zabrze_result[Category]="junior"),0)</f>
        <v>LEKHAC Tomasz</v>
      </c>
      <c r="K50" s="10" t="s">
        <v>243</v>
      </c>
      <c r="L50" s="11">
        <f>AVERAGEIFS(Zabrze_result[AA_Dscore],Zabrze_result[[Category]:[Category]],"senior",Zabrze_result[AA_Dscore],"&lt;&gt;0",Zabrze_result[All Around],"Yes")</f>
        <v>22.863636363636363</v>
      </c>
      <c r="M50" s="11" cm="1">
        <f t="array" ref="M50">_xlfn.STDEV.S(_xlfn._xlws.FILTER(Zabrze_result[AA_Dscore],(Zabrze_result[Category]="senior")*(Zabrze_result[All Around]="yes")))</f>
        <v>3.0133943410289863</v>
      </c>
      <c r="N50" s="12">
        <f>AVERAGEIFS(Zabrze_result[AA_Escore],Zabrze_result[[Category]:[Category]],"senior",Zabrze_result[AA_Escore],"&lt;&gt;0",Zabrze_result[All Around],"Yes")</f>
        <v>47.522727272727273</v>
      </c>
      <c r="O50" s="12" cm="1">
        <f t="array" ref="O50">_xlfn.STDEV.S(_xlfn._xlws.FILTER(Zabrze_result[AA_Escore],(Zabrze_result[Category]="senior")*(Zabrze_result[All Around]="yes"),""))</f>
        <v>2.2749025953173954</v>
      </c>
      <c r="P50" s="12">
        <f>AVERAGEIFS(Zabrze_result[Total_Score],Zabrze_result[[Category]:[Category]],"senior",Zabrze_result[Total_Score],"&lt;&gt;0",Zabrze_result[All Around],"Yes")</f>
        <v>70.38636363636364</v>
      </c>
      <c r="Q50" s="12" cm="1">
        <f t="array" ref="Q50">_xlfn.STDEV.S(_xlfn._xlws.FILTER(Zabrze_result[Total_Score],(Zabrze_result[Category]="senior")*(Zabrze_result[All Around]="yes")))</f>
        <v>3.1466721237754438</v>
      </c>
      <c r="R50" s="12" cm="1">
        <f t="array" ref="R50">MAX(_xlfn._xlws.FILTER(Zabrze_result[Total_Score],Zabrze_result[Category]="senior"))</f>
        <v>76.150000000000006</v>
      </c>
      <c r="S50" s="10" t="str" cm="1">
        <f t="array" ref="S50">_xlfn.XLOOKUP(R50,_xlfn._xlws.FILTER(Zabrze_result[Total_Score],Zabrze_result[Category]="senior"),_xlfn._xlws.FILTER(Zabrze_result[Name],Zabrze_result[Category]="senior"),0)</f>
        <v>GARNCZAREK Kacper</v>
      </c>
    </row>
    <row r="55" spans="1:19" x14ac:dyDescent="0.25">
      <c r="C55" s="11"/>
      <c r="D55" s="11"/>
    </row>
  </sheetData>
  <mergeCells count="2">
    <mergeCell ref="A42:I42"/>
    <mergeCell ref="K42:S42"/>
  </mergeCells>
  <phoneticPr fontId="1" type="noConversion"/>
  <conditionalFormatting sqref="H2:Y38">
    <cfRule type="cellIs" dxfId="14" priority="2" operator="equal">
      <formula>0</formula>
    </cfRule>
  </conditionalFormatting>
  <conditionalFormatting sqref="Z2:AB38">
    <cfRule type="cellIs" dxfId="13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98A1-811F-6445-AF48-6D5EC1CBDD04}">
  <sheetPr>
    <tabColor theme="4" tint="0.39997558519241921"/>
  </sheetPr>
  <dimension ref="A1:AB60"/>
  <sheetViews>
    <sheetView zoomScale="70" zoomScaleNormal="70" workbookViewId="0">
      <selection activeCell="A41" sqref="A41:XFD41"/>
    </sheetView>
  </sheetViews>
  <sheetFormatPr defaultColWidth="11" defaultRowHeight="15.75" x14ac:dyDescent="0.25"/>
  <cols>
    <col min="1" max="1" width="16.5" style="2" customWidth="1"/>
    <col min="2" max="2" width="21.125" bestFit="1" customWidth="1"/>
    <col min="3" max="3" width="13.75" style="2" bestFit="1" customWidth="1"/>
    <col min="4" max="4" width="15.125" style="2" bestFit="1" customWidth="1"/>
    <col min="5" max="5" width="20" style="2" bestFit="1" customWidth="1"/>
    <col min="6" max="6" width="26.625" bestFit="1" customWidth="1"/>
    <col min="7" max="7" width="15" bestFit="1" customWidth="1"/>
    <col min="8" max="8" width="15.25" style="2" bestFit="1" customWidth="1"/>
    <col min="9" max="9" width="15" style="2" bestFit="1" customWidth="1"/>
    <col min="10" max="10" width="19" style="2" bestFit="1" customWidth="1"/>
    <col min="11" max="11" width="15.5" style="2" bestFit="1" customWidth="1"/>
    <col min="12" max="12" width="13.125" style="2" customWidth="1"/>
    <col min="13" max="13" width="19.625" style="2" bestFit="1" customWidth="1"/>
    <col min="14" max="14" width="15.25" style="2" bestFit="1" customWidth="1"/>
    <col min="15" max="15" width="15" style="2" bestFit="1" customWidth="1"/>
    <col min="16" max="16" width="19.5" style="2" bestFit="1" customWidth="1"/>
    <col min="17" max="17" width="15.25" style="2" bestFit="1" customWidth="1"/>
    <col min="18" max="18" width="15" style="2" bestFit="1" customWidth="1"/>
    <col min="19" max="19" width="19" style="2" bestFit="1" customWidth="1"/>
    <col min="20" max="20" width="15.25" style="2" bestFit="1" customWidth="1"/>
    <col min="21" max="21" width="15" style="2" bestFit="1" customWidth="1"/>
    <col min="22" max="23" width="9" style="2" customWidth="1"/>
    <col min="24" max="24" width="12.375" style="2" customWidth="1"/>
    <col min="25" max="25" width="14.875" style="2" customWidth="1"/>
    <col min="26" max="28" width="9" style="2" customWidth="1"/>
  </cols>
  <sheetData>
    <row r="1" spans="1:28" s="14" customFormat="1" x14ac:dyDescent="0.25">
      <c r="A1" s="4" t="s">
        <v>0</v>
      </c>
      <c r="B1" s="14" t="s">
        <v>1</v>
      </c>
      <c r="C1" s="2" t="s">
        <v>2</v>
      </c>
      <c r="D1" s="2" t="s">
        <v>3</v>
      </c>
      <c r="E1" s="2" t="s">
        <v>4</v>
      </c>
      <c r="F1" s="14" t="s">
        <v>5</v>
      </c>
      <c r="G1" s="2" t="s">
        <v>243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247</v>
      </c>
      <c r="AA1" s="2" t="s">
        <v>248</v>
      </c>
      <c r="AB1" s="2" t="s">
        <v>24</v>
      </c>
    </row>
    <row r="2" spans="1:28" x14ac:dyDescent="0.25">
      <c r="A2" s="2">
        <v>1</v>
      </c>
      <c r="B2" t="s">
        <v>63</v>
      </c>
      <c r="C2" s="2" t="s">
        <v>60</v>
      </c>
      <c r="D2" s="2">
        <v>1997</v>
      </c>
      <c r="E2" s="2" t="s">
        <v>64</v>
      </c>
      <c r="F2" t="s">
        <v>39</v>
      </c>
      <c r="G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" s="4">
        <v>5.6</v>
      </c>
      <c r="I2" s="7">
        <v>7.65</v>
      </c>
      <c r="J2" s="7">
        <v>13.25</v>
      </c>
      <c r="K2" s="4">
        <v>4.4000000000000004</v>
      </c>
      <c r="L2" s="7">
        <v>7</v>
      </c>
      <c r="M2" s="7">
        <v>11.4</v>
      </c>
      <c r="N2" s="4">
        <v>4.3</v>
      </c>
      <c r="O2" s="7">
        <v>7.85</v>
      </c>
      <c r="P2" s="7">
        <v>12.15</v>
      </c>
      <c r="Q2" s="4">
        <v>5.2</v>
      </c>
      <c r="R2" s="7">
        <v>8.0500000000000007</v>
      </c>
      <c r="S2" s="7">
        <v>13.25</v>
      </c>
      <c r="T2" s="4">
        <v>4.2</v>
      </c>
      <c r="U2" s="7">
        <v>8.8000000000000007</v>
      </c>
      <c r="V2" s="7">
        <v>13</v>
      </c>
      <c r="W2" s="4">
        <v>4.4000000000000004</v>
      </c>
      <c r="X2" s="7">
        <v>8.4</v>
      </c>
      <c r="Y2" s="7">
        <v>12.8</v>
      </c>
      <c r="Z2" s="4">
        <f>IF(Cracow_result[[#This Row],[All Around]]="Yes",SUM(H2,K2,N2,Q2,T2,W2),0)</f>
        <v>28.1</v>
      </c>
      <c r="AA2" s="7">
        <f>IF(Cracow_result[[#This Row],[All Around]]="Yes",SUM(I2,L2,O2,R2,U2,X2),0)</f>
        <v>47.75</v>
      </c>
      <c r="AB2" s="7">
        <v>75.849999999999994</v>
      </c>
    </row>
    <row r="3" spans="1:28" x14ac:dyDescent="0.25">
      <c r="A3" s="2">
        <v>2</v>
      </c>
      <c r="B3" t="s">
        <v>59</v>
      </c>
      <c r="C3" s="2" t="s">
        <v>60</v>
      </c>
      <c r="D3" s="2">
        <v>2002</v>
      </c>
      <c r="E3" s="2" t="s">
        <v>61</v>
      </c>
      <c r="F3" t="s">
        <v>62</v>
      </c>
      <c r="G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3" s="4">
        <v>5.3</v>
      </c>
      <c r="I3" s="7">
        <v>7.25</v>
      </c>
      <c r="J3" s="7">
        <v>12.55</v>
      </c>
      <c r="K3" s="4">
        <v>5.2</v>
      </c>
      <c r="L3" s="7">
        <v>7.7</v>
      </c>
      <c r="M3" s="7">
        <v>12.9</v>
      </c>
      <c r="N3" s="4">
        <v>4.0999999999999996</v>
      </c>
      <c r="O3" s="7">
        <v>8.1</v>
      </c>
      <c r="P3" s="7">
        <v>12.2</v>
      </c>
      <c r="Q3" s="4">
        <v>4.4000000000000004</v>
      </c>
      <c r="R3" s="7">
        <v>9.15</v>
      </c>
      <c r="S3" s="7">
        <v>13.55</v>
      </c>
      <c r="T3" s="4">
        <v>5.3</v>
      </c>
      <c r="U3" s="7">
        <v>6.6</v>
      </c>
      <c r="V3" s="7">
        <v>11.9</v>
      </c>
      <c r="W3" s="4">
        <v>4.5999999999999996</v>
      </c>
      <c r="X3" s="7">
        <v>8.15</v>
      </c>
      <c r="Y3" s="7">
        <v>12.75</v>
      </c>
      <c r="Z3" s="4">
        <f>IF(Cracow_result[[#This Row],[All Around]]="Yes",SUM(H3,K3,N3,Q3,T3,W3),0)</f>
        <v>28.9</v>
      </c>
      <c r="AA3" s="7">
        <f>IF(Cracow_result[[#This Row],[All Around]]="Yes",SUM(I3,L3,O3,R3,U3,X3),0)</f>
        <v>46.949999999999996</v>
      </c>
      <c r="AB3" s="7">
        <v>75.849999999999994</v>
      </c>
    </row>
    <row r="4" spans="1:28" x14ac:dyDescent="0.25">
      <c r="A4" s="2">
        <v>3</v>
      </c>
      <c r="B4" t="s">
        <v>68</v>
      </c>
      <c r="C4" s="2" t="s">
        <v>60</v>
      </c>
      <c r="D4" s="2">
        <v>2004</v>
      </c>
      <c r="E4" s="2" t="s">
        <v>69</v>
      </c>
      <c r="F4" t="s">
        <v>31</v>
      </c>
      <c r="G4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4" s="4">
        <v>4.5</v>
      </c>
      <c r="I4" s="7">
        <v>8</v>
      </c>
      <c r="J4" s="7">
        <v>12.5</v>
      </c>
      <c r="K4" s="4">
        <v>3.8</v>
      </c>
      <c r="L4" s="7">
        <v>8</v>
      </c>
      <c r="M4" s="7">
        <v>11.8</v>
      </c>
      <c r="N4" s="4">
        <v>3.8</v>
      </c>
      <c r="O4" s="7">
        <v>8.5500000000000007</v>
      </c>
      <c r="P4" s="7">
        <v>12.35</v>
      </c>
      <c r="Q4" s="4">
        <v>4</v>
      </c>
      <c r="R4" s="7">
        <v>9.35</v>
      </c>
      <c r="S4" s="7">
        <v>13.35</v>
      </c>
      <c r="T4" s="4">
        <v>3.4</v>
      </c>
      <c r="U4" s="7">
        <v>8.75</v>
      </c>
      <c r="V4" s="7">
        <v>12.15</v>
      </c>
      <c r="W4" s="4">
        <v>2.6</v>
      </c>
      <c r="X4" s="7">
        <v>8.9</v>
      </c>
      <c r="Y4" s="7">
        <v>11.5</v>
      </c>
      <c r="Z4" s="4">
        <f>IF(Cracow_result[[#This Row],[All Around]]="Yes",SUM(H4,K4,N4,Q4,T4,W4),0)</f>
        <v>22.1</v>
      </c>
      <c r="AA4" s="7">
        <f>IF(Cracow_result[[#This Row],[All Around]]="Yes",SUM(I4,L4,O4,R4,U4,X4),0)</f>
        <v>51.55</v>
      </c>
      <c r="AB4" s="7">
        <v>73.650000000000006</v>
      </c>
    </row>
    <row r="5" spans="1:28" x14ac:dyDescent="0.25">
      <c r="A5" s="2">
        <v>4</v>
      </c>
      <c r="B5" t="s">
        <v>118</v>
      </c>
      <c r="C5" s="2" t="s">
        <v>60</v>
      </c>
      <c r="D5" s="2">
        <v>2000</v>
      </c>
      <c r="E5" s="2" t="s">
        <v>119</v>
      </c>
      <c r="F5" t="s">
        <v>31</v>
      </c>
      <c r="G5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5" s="4">
        <v>4.8</v>
      </c>
      <c r="I5" s="7">
        <v>7.7</v>
      </c>
      <c r="J5" s="7">
        <v>12.5</v>
      </c>
      <c r="K5" s="4">
        <v>4.5999999999999996</v>
      </c>
      <c r="L5" s="7">
        <v>7.7</v>
      </c>
      <c r="M5" s="7">
        <v>12.3</v>
      </c>
      <c r="N5" s="4">
        <v>4</v>
      </c>
      <c r="O5" s="7">
        <v>7.65</v>
      </c>
      <c r="P5" s="7">
        <v>11.65</v>
      </c>
      <c r="Q5" s="4">
        <v>4</v>
      </c>
      <c r="R5" s="7">
        <v>9.3000000000000007</v>
      </c>
      <c r="S5" s="7">
        <v>13.3</v>
      </c>
      <c r="T5" s="4">
        <v>4.3</v>
      </c>
      <c r="U5" s="7">
        <v>7.1</v>
      </c>
      <c r="V5" s="7">
        <v>11.4</v>
      </c>
      <c r="W5" s="4">
        <v>3.7</v>
      </c>
      <c r="X5" s="7">
        <v>8.15</v>
      </c>
      <c r="Y5" s="7">
        <v>11.85</v>
      </c>
      <c r="Z5" s="4">
        <f>IF(Cracow_result[[#This Row],[All Around]]="Yes",SUM(H5,K5,N5,Q5,T5,W5),0)</f>
        <v>25.4</v>
      </c>
      <c r="AA5" s="7">
        <f>IF(Cracow_result[[#This Row],[All Around]]="Yes",SUM(I5,L5,O5,R5,U5,X5),0)</f>
        <v>47.6</v>
      </c>
      <c r="AB5" s="7">
        <v>73</v>
      </c>
    </row>
    <row r="6" spans="1:28" x14ac:dyDescent="0.25">
      <c r="A6" s="2">
        <v>5</v>
      </c>
      <c r="B6" t="s">
        <v>116</v>
      </c>
      <c r="C6" s="2" t="s">
        <v>60</v>
      </c>
      <c r="D6" s="2">
        <v>1996</v>
      </c>
      <c r="E6" s="2" t="s">
        <v>117</v>
      </c>
      <c r="F6" t="s">
        <v>62</v>
      </c>
      <c r="G6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6" s="4">
        <v>5.4</v>
      </c>
      <c r="I6" s="7">
        <v>8.25</v>
      </c>
      <c r="J6" s="7">
        <v>13.65</v>
      </c>
      <c r="K6" s="4">
        <v>4.2</v>
      </c>
      <c r="L6" s="7">
        <v>6.5</v>
      </c>
      <c r="M6" s="7">
        <v>10.7</v>
      </c>
      <c r="N6" s="4">
        <v>5</v>
      </c>
      <c r="O6" s="7">
        <v>8.1</v>
      </c>
      <c r="P6" s="7">
        <v>13.1</v>
      </c>
      <c r="Q6" s="4">
        <v>5.2</v>
      </c>
      <c r="R6" s="7">
        <v>8.1</v>
      </c>
      <c r="S6" s="7">
        <v>13.3</v>
      </c>
      <c r="T6" s="4">
        <v>4.5</v>
      </c>
      <c r="U6" s="7">
        <v>6.45</v>
      </c>
      <c r="V6" s="7">
        <v>10.95</v>
      </c>
      <c r="W6" s="4">
        <v>4.5999999999999996</v>
      </c>
      <c r="X6" s="7">
        <v>6.65</v>
      </c>
      <c r="Y6" s="7">
        <v>11.25</v>
      </c>
      <c r="Z6" s="4">
        <f>IF(Cracow_result[[#This Row],[All Around]]="Yes",SUM(H6,K6,N6,Q6,T6,W6),0)</f>
        <v>28.9</v>
      </c>
      <c r="AA6" s="7">
        <f>IF(Cracow_result[[#This Row],[All Around]]="Yes",SUM(I6,L6,O6,R6,U6,X6),0)</f>
        <v>44.050000000000004</v>
      </c>
      <c r="AB6" s="7">
        <v>72.95</v>
      </c>
    </row>
    <row r="7" spans="1:28" x14ac:dyDescent="0.25">
      <c r="A7" s="2">
        <v>1</v>
      </c>
      <c r="B7" t="s">
        <v>25</v>
      </c>
      <c r="C7" s="2" t="s">
        <v>26</v>
      </c>
      <c r="D7" s="2">
        <v>2008</v>
      </c>
      <c r="E7" s="2" t="s">
        <v>27</v>
      </c>
      <c r="F7" t="s">
        <v>28</v>
      </c>
      <c r="G7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7" s="4">
        <v>4</v>
      </c>
      <c r="I7" s="7">
        <v>8.4499999999999993</v>
      </c>
      <c r="J7" s="7">
        <v>12.45</v>
      </c>
      <c r="K7" s="4">
        <v>3.8</v>
      </c>
      <c r="L7" s="7">
        <v>8.5500000000000007</v>
      </c>
      <c r="M7" s="7">
        <v>12.35</v>
      </c>
      <c r="N7" s="4">
        <v>2.8</v>
      </c>
      <c r="O7" s="7">
        <v>8.4</v>
      </c>
      <c r="P7" s="7">
        <v>11.2</v>
      </c>
      <c r="Q7" s="4">
        <v>2.2000000000000002</v>
      </c>
      <c r="R7" s="7">
        <v>9.0500000000000007</v>
      </c>
      <c r="S7" s="7">
        <v>11.25</v>
      </c>
      <c r="T7" s="4">
        <v>4.2</v>
      </c>
      <c r="U7" s="7">
        <v>8.6</v>
      </c>
      <c r="V7" s="7">
        <v>12.8</v>
      </c>
      <c r="W7" s="4">
        <v>2.7</v>
      </c>
      <c r="X7" s="7">
        <v>9.4499999999999993</v>
      </c>
      <c r="Y7" s="7">
        <v>12.15</v>
      </c>
      <c r="Z7" s="4">
        <f>IF(Cracow_result[[#This Row],[All Around]]="Yes",SUM(H7,K7,N7,Q7,T7,W7),0)</f>
        <v>19.7</v>
      </c>
      <c r="AA7" s="7">
        <f>IF(Cracow_result[[#This Row],[All Around]]="Yes",SUM(I7,L7,O7,R7,U7,X7),0)</f>
        <v>52.5</v>
      </c>
      <c r="AB7" s="7">
        <v>72.2</v>
      </c>
    </row>
    <row r="8" spans="1:28" x14ac:dyDescent="0.25">
      <c r="A8" s="2">
        <v>6</v>
      </c>
      <c r="B8" t="s">
        <v>127</v>
      </c>
      <c r="C8" s="2" t="s">
        <v>60</v>
      </c>
      <c r="D8" s="2">
        <v>2000</v>
      </c>
      <c r="E8" s="2" t="s">
        <v>128</v>
      </c>
      <c r="F8" t="s">
        <v>72</v>
      </c>
      <c r="G8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8" s="4">
        <v>3.7</v>
      </c>
      <c r="I8" s="7">
        <v>7.1</v>
      </c>
      <c r="J8" s="7">
        <v>10.8</v>
      </c>
      <c r="K8" s="4">
        <v>4.4000000000000004</v>
      </c>
      <c r="L8" s="7">
        <v>7.2</v>
      </c>
      <c r="M8" s="7">
        <v>11.6</v>
      </c>
      <c r="N8" s="4">
        <v>3.8</v>
      </c>
      <c r="O8" s="7">
        <v>8.35</v>
      </c>
      <c r="P8" s="7">
        <v>12.15</v>
      </c>
      <c r="Q8" s="4">
        <v>4</v>
      </c>
      <c r="R8" s="7">
        <v>9.15</v>
      </c>
      <c r="S8" s="7">
        <v>13.15</v>
      </c>
      <c r="T8" s="4">
        <v>4</v>
      </c>
      <c r="U8" s="7">
        <v>8.3000000000000007</v>
      </c>
      <c r="V8" s="7">
        <v>12.3</v>
      </c>
      <c r="W8" s="4">
        <v>4</v>
      </c>
      <c r="X8" s="7">
        <v>8.0500000000000007</v>
      </c>
      <c r="Y8" s="7">
        <v>12.05</v>
      </c>
      <c r="Z8" s="4">
        <f>IF(Cracow_result[[#This Row],[All Around]]="Yes",SUM(H8,K8,N8,Q8,T8,W8),0)</f>
        <v>23.900000000000002</v>
      </c>
      <c r="AA8" s="7">
        <f>IF(Cracow_result[[#This Row],[All Around]]="Yes",SUM(I8,L8,O8,R8,U8,X8),0)</f>
        <v>48.149999999999991</v>
      </c>
      <c r="AB8" s="7">
        <v>72.05</v>
      </c>
    </row>
    <row r="9" spans="1:28" x14ac:dyDescent="0.25">
      <c r="A9" s="2">
        <v>7</v>
      </c>
      <c r="B9" t="s">
        <v>75</v>
      </c>
      <c r="C9" s="2" t="s">
        <v>60</v>
      </c>
      <c r="D9" s="2">
        <v>2003</v>
      </c>
      <c r="E9" s="2" t="s">
        <v>76</v>
      </c>
      <c r="F9" t="s">
        <v>28</v>
      </c>
      <c r="G9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9" s="4">
        <v>3.9</v>
      </c>
      <c r="I9" s="7">
        <v>7.9</v>
      </c>
      <c r="J9" s="7">
        <v>11.8</v>
      </c>
      <c r="K9" s="4">
        <v>4.2</v>
      </c>
      <c r="L9" s="7">
        <v>8.5</v>
      </c>
      <c r="M9" s="7">
        <v>12.7</v>
      </c>
      <c r="N9" s="4">
        <v>3.4</v>
      </c>
      <c r="O9" s="7">
        <v>7.7</v>
      </c>
      <c r="P9" s="7">
        <v>11.1</v>
      </c>
      <c r="Q9" s="4">
        <v>3.2</v>
      </c>
      <c r="R9" s="7">
        <v>9.0500000000000007</v>
      </c>
      <c r="S9" s="7">
        <v>12.25</v>
      </c>
      <c r="T9" s="4">
        <v>3.5</v>
      </c>
      <c r="U9" s="7">
        <v>9.1</v>
      </c>
      <c r="V9" s="7">
        <v>12.6</v>
      </c>
      <c r="W9" s="4">
        <v>2.5</v>
      </c>
      <c r="X9" s="7">
        <v>8.15</v>
      </c>
      <c r="Y9" s="7">
        <v>10.65</v>
      </c>
      <c r="Z9" s="4">
        <f>IF(Cracow_result[[#This Row],[All Around]]="Yes",SUM(H9,K9,N9,Q9,T9,W9),0)</f>
        <v>20.7</v>
      </c>
      <c r="AA9" s="7">
        <f>IF(Cracow_result[[#This Row],[All Around]]="Yes",SUM(I9,L9,O9,R9,U9,X9),0)</f>
        <v>50.4</v>
      </c>
      <c r="AB9" s="7">
        <v>71.099999999999994</v>
      </c>
    </row>
    <row r="10" spans="1:28" x14ac:dyDescent="0.25">
      <c r="A10" s="2">
        <v>8</v>
      </c>
      <c r="B10" t="s">
        <v>80</v>
      </c>
      <c r="C10" s="2" t="s">
        <v>60</v>
      </c>
      <c r="D10" s="2">
        <v>2004</v>
      </c>
      <c r="E10" s="2" t="s">
        <v>81</v>
      </c>
      <c r="F10" t="s">
        <v>62</v>
      </c>
      <c r="G10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0" s="4">
        <v>3.6</v>
      </c>
      <c r="I10" s="7">
        <v>8.4</v>
      </c>
      <c r="J10" s="7">
        <v>12</v>
      </c>
      <c r="K10" s="4">
        <v>3.6</v>
      </c>
      <c r="L10" s="7">
        <v>8</v>
      </c>
      <c r="M10" s="7">
        <v>11.6</v>
      </c>
      <c r="N10" s="4">
        <v>3.9</v>
      </c>
      <c r="O10" s="7">
        <v>8.1999999999999993</v>
      </c>
      <c r="P10" s="7">
        <v>12.1</v>
      </c>
      <c r="Q10" s="4">
        <v>4</v>
      </c>
      <c r="R10" s="7">
        <v>8.65</v>
      </c>
      <c r="S10" s="7">
        <v>12.65</v>
      </c>
      <c r="T10" s="4">
        <v>4</v>
      </c>
      <c r="U10" s="7">
        <v>8.85</v>
      </c>
      <c r="V10" s="7">
        <v>12.85</v>
      </c>
      <c r="W10" s="4">
        <v>2.5</v>
      </c>
      <c r="X10" s="7">
        <v>7.2</v>
      </c>
      <c r="Y10" s="7">
        <v>9.6999999999999993</v>
      </c>
      <c r="Z10" s="4">
        <f>IF(Cracow_result[[#This Row],[All Around]]="Yes",SUM(H10,K10,N10,Q10,T10,W10),0)</f>
        <v>21.6</v>
      </c>
      <c r="AA10" s="7">
        <f>IF(Cracow_result[[#This Row],[All Around]]="Yes",SUM(I10,L10,O10,R10,U10,X10),0)</f>
        <v>49.300000000000004</v>
      </c>
      <c r="AB10" s="7">
        <v>70.900000000000006</v>
      </c>
    </row>
    <row r="11" spans="1:28" x14ac:dyDescent="0.25">
      <c r="A11" s="2">
        <v>2</v>
      </c>
      <c r="B11" t="s">
        <v>34</v>
      </c>
      <c r="C11" s="2" t="s">
        <v>26</v>
      </c>
      <c r="D11" s="2">
        <v>2006</v>
      </c>
      <c r="E11" s="2" t="s">
        <v>35</v>
      </c>
      <c r="F11" t="s">
        <v>36</v>
      </c>
      <c r="G11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1" s="4">
        <v>3.6</v>
      </c>
      <c r="I11" s="7">
        <v>8.25</v>
      </c>
      <c r="J11" s="7">
        <v>11.85</v>
      </c>
      <c r="K11" s="4">
        <v>3.6</v>
      </c>
      <c r="L11" s="7">
        <v>8.4</v>
      </c>
      <c r="M11" s="7">
        <v>12</v>
      </c>
      <c r="N11" s="4">
        <v>3.7</v>
      </c>
      <c r="O11" s="7">
        <v>7.45</v>
      </c>
      <c r="P11" s="7">
        <v>11.15</v>
      </c>
      <c r="Q11" s="4">
        <v>3.2</v>
      </c>
      <c r="R11" s="7">
        <v>8.6999999999999993</v>
      </c>
      <c r="S11" s="7">
        <v>11.9</v>
      </c>
      <c r="T11" s="4">
        <v>3.7</v>
      </c>
      <c r="U11" s="7">
        <v>8</v>
      </c>
      <c r="V11" s="7">
        <v>11.7</v>
      </c>
      <c r="W11" s="4">
        <v>3.4</v>
      </c>
      <c r="X11" s="7">
        <v>8.6</v>
      </c>
      <c r="Y11" s="7">
        <v>12</v>
      </c>
      <c r="Z11" s="4">
        <f>IF(Cracow_result[[#This Row],[All Around]]="Yes",SUM(H11,K11,N11,Q11,T11,W11),0)</f>
        <v>21.2</v>
      </c>
      <c r="AA11" s="7">
        <f>IF(Cracow_result[[#This Row],[All Around]]="Yes",SUM(I11,L11,O11,R11,U11,X11),0)</f>
        <v>49.4</v>
      </c>
      <c r="AB11" s="7">
        <v>70.599999999999994</v>
      </c>
    </row>
    <row r="12" spans="1:28" x14ac:dyDescent="0.25">
      <c r="A12" s="2">
        <v>9</v>
      </c>
      <c r="B12" t="s">
        <v>77</v>
      </c>
      <c r="C12" s="2" t="s">
        <v>60</v>
      </c>
      <c r="D12" s="2">
        <v>2002</v>
      </c>
      <c r="E12" s="2" t="s">
        <v>78</v>
      </c>
      <c r="F12" t="s">
        <v>79</v>
      </c>
      <c r="G1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2" s="4">
        <v>3.9</v>
      </c>
      <c r="I12" s="7">
        <v>8</v>
      </c>
      <c r="J12" s="7">
        <v>11.9</v>
      </c>
      <c r="K12" s="4">
        <v>3.7</v>
      </c>
      <c r="L12" s="7">
        <v>7</v>
      </c>
      <c r="M12" s="7">
        <v>10.7</v>
      </c>
      <c r="N12" s="4">
        <v>3.8</v>
      </c>
      <c r="O12" s="7">
        <v>8.0500000000000007</v>
      </c>
      <c r="P12" s="7">
        <v>11.85</v>
      </c>
      <c r="Q12" s="4">
        <v>3.2</v>
      </c>
      <c r="R12" s="7">
        <v>9.0500000000000007</v>
      </c>
      <c r="S12" s="7">
        <v>12.25</v>
      </c>
      <c r="T12" s="4">
        <v>3.8</v>
      </c>
      <c r="U12" s="7">
        <v>8.5</v>
      </c>
      <c r="V12" s="7">
        <v>12.3</v>
      </c>
      <c r="W12" s="4">
        <v>3</v>
      </c>
      <c r="X12" s="7">
        <v>8.1</v>
      </c>
      <c r="Y12" s="7">
        <v>11.1</v>
      </c>
      <c r="Z12" s="4">
        <f>IF(Cracow_result[[#This Row],[All Around]]="Yes",SUM(H12,K12,N12,Q12,T12,W12),0)</f>
        <v>21.4</v>
      </c>
      <c r="AA12" s="7">
        <f>IF(Cracow_result[[#This Row],[All Around]]="Yes",SUM(I12,L12,O12,R12,U12,X12),0)</f>
        <v>48.7</v>
      </c>
      <c r="AB12" s="7">
        <v>70.099999999999994</v>
      </c>
    </row>
    <row r="13" spans="1:28" x14ac:dyDescent="0.25">
      <c r="A13" s="2">
        <v>3</v>
      </c>
      <c r="B13" t="s">
        <v>40</v>
      </c>
      <c r="C13" s="2" t="s">
        <v>26</v>
      </c>
      <c r="D13" s="2">
        <v>2007</v>
      </c>
      <c r="E13" s="2" t="s">
        <v>41</v>
      </c>
      <c r="F13" t="s">
        <v>39</v>
      </c>
      <c r="G1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3" s="4">
        <v>3.4</v>
      </c>
      <c r="I13" s="7">
        <v>7.95</v>
      </c>
      <c r="J13" s="7">
        <v>11.35</v>
      </c>
      <c r="K13" s="4">
        <v>2.9</v>
      </c>
      <c r="L13" s="7">
        <v>8.15</v>
      </c>
      <c r="M13" s="7">
        <v>11.05</v>
      </c>
      <c r="N13" s="4">
        <v>3.4</v>
      </c>
      <c r="O13" s="7">
        <v>7.9</v>
      </c>
      <c r="P13" s="7">
        <v>11.3</v>
      </c>
      <c r="Q13" s="4">
        <v>4</v>
      </c>
      <c r="R13" s="7">
        <v>8.8000000000000007</v>
      </c>
      <c r="S13" s="7">
        <v>12.8</v>
      </c>
      <c r="T13" s="4">
        <v>3</v>
      </c>
      <c r="U13" s="7">
        <v>8.1</v>
      </c>
      <c r="V13" s="7">
        <v>11.1</v>
      </c>
      <c r="W13" s="4">
        <v>2.6</v>
      </c>
      <c r="X13" s="7">
        <v>7.65</v>
      </c>
      <c r="Y13" s="7">
        <v>10.25</v>
      </c>
      <c r="Z13" s="4">
        <f>IF(Cracow_result[[#This Row],[All Around]]="Yes",SUM(H13,K13,N13,Q13,T13,W13),0)</f>
        <v>19.3</v>
      </c>
      <c r="AA13" s="7">
        <f>IF(Cracow_result[[#This Row],[All Around]]="Yes",SUM(I13,L13,O13,R13,U13,X13),0)</f>
        <v>48.55</v>
      </c>
      <c r="AB13" s="7">
        <v>67.849999999999994</v>
      </c>
    </row>
    <row r="14" spans="1:28" x14ac:dyDescent="0.25">
      <c r="A14" s="2">
        <v>4</v>
      </c>
      <c r="B14" t="s">
        <v>32</v>
      </c>
      <c r="C14" s="2" t="s">
        <v>26</v>
      </c>
      <c r="D14" s="2">
        <v>2005</v>
      </c>
      <c r="E14" s="2" t="s">
        <v>33</v>
      </c>
      <c r="F14" t="s">
        <v>31</v>
      </c>
      <c r="G14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4" s="4">
        <v>4.2</v>
      </c>
      <c r="I14" s="7">
        <v>8.3000000000000007</v>
      </c>
      <c r="J14" s="7">
        <v>12.5</v>
      </c>
      <c r="K14" s="4">
        <v>3.4</v>
      </c>
      <c r="L14" s="7">
        <v>7.95</v>
      </c>
      <c r="M14" s="7">
        <v>11.35</v>
      </c>
      <c r="N14" s="4">
        <v>3.3</v>
      </c>
      <c r="O14" s="7">
        <v>6.95</v>
      </c>
      <c r="P14" s="7">
        <v>10.25</v>
      </c>
      <c r="Q14" s="4">
        <v>3.2</v>
      </c>
      <c r="R14" s="7">
        <v>9.1999999999999993</v>
      </c>
      <c r="S14" s="7">
        <v>12.4</v>
      </c>
      <c r="T14" s="4">
        <v>3.2</v>
      </c>
      <c r="U14" s="7">
        <v>8.8000000000000007</v>
      </c>
      <c r="V14" s="7">
        <v>12</v>
      </c>
      <c r="W14" s="4">
        <v>3.1</v>
      </c>
      <c r="X14" s="7">
        <v>4.7</v>
      </c>
      <c r="Y14" s="7">
        <v>7.8</v>
      </c>
      <c r="Z14" s="4">
        <f>IF(Cracow_result[[#This Row],[All Around]]="Yes",SUM(H14,K14,N14,Q14,T14,W14),0)</f>
        <v>20.399999999999999</v>
      </c>
      <c r="AA14" s="7">
        <f>IF(Cracow_result[[#This Row],[All Around]]="Yes",SUM(I14,L14,O14,R14,U14,X14),0)</f>
        <v>45.900000000000006</v>
      </c>
      <c r="AB14" s="7">
        <v>66.3</v>
      </c>
    </row>
    <row r="15" spans="1:28" x14ac:dyDescent="0.25">
      <c r="A15" s="2">
        <v>5</v>
      </c>
      <c r="B15" t="s">
        <v>44</v>
      </c>
      <c r="C15" s="2" t="s">
        <v>26</v>
      </c>
      <c r="D15" s="2">
        <v>2007</v>
      </c>
      <c r="E15" s="2" t="s">
        <v>45</v>
      </c>
      <c r="F15" t="s">
        <v>39</v>
      </c>
      <c r="G15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5" s="4">
        <v>3.4</v>
      </c>
      <c r="I15" s="7">
        <v>8.0500000000000007</v>
      </c>
      <c r="J15" s="7">
        <v>11.45</v>
      </c>
      <c r="K15" s="4">
        <v>3</v>
      </c>
      <c r="L15" s="7">
        <v>5.75</v>
      </c>
      <c r="M15" s="7">
        <v>8.75</v>
      </c>
      <c r="N15" s="4">
        <v>2.2999999999999998</v>
      </c>
      <c r="O15" s="7">
        <v>7.9</v>
      </c>
      <c r="P15" s="7">
        <v>10.199999999999999</v>
      </c>
      <c r="Q15" s="4">
        <v>2.8</v>
      </c>
      <c r="R15" s="7">
        <v>8.75</v>
      </c>
      <c r="S15" s="7">
        <v>11.55</v>
      </c>
      <c r="T15" s="4">
        <v>3</v>
      </c>
      <c r="U15" s="7">
        <v>8.9</v>
      </c>
      <c r="V15" s="7">
        <v>11.9</v>
      </c>
      <c r="W15" s="4">
        <v>2.7</v>
      </c>
      <c r="X15" s="7">
        <v>8.15</v>
      </c>
      <c r="Y15" s="7">
        <v>10.85</v>
      </c>
      <c r="Z15" s="4">
        <f>IF(Cracow_result[[#This Row],[All Around]]="Yes",SUM(H15,K15,N15,Q15,T15,W15),0)</f>
        <v>17.2</v>
      </c>
      <c r="AA15" s="7">
        <f>IF(Cracow_result[[#This Row],[All Around]]="Yes",SUM(I15,L15,O15,R15,U15,X15),0)</f>
        <v>47.5</v>
      </c>
      <c r="AB15" s="7">
        <v>64.7</v>
      </c>
    </row>
    <row r="16" spans="1:28" x14ac:dyDescent="0.25">
      <c r="A16" s="2">
        <v>6</v>
      </c>
      <c r="B16" t="s">
        <v>42</v>
      </c>
      <c r="C16" s="2" t="s">
        <v>26</v>
      </c>
      <c r="D16" s="2">
        <v>2007</v>
      </c>
      <c r="E16" s="2" t="s">
        <v>43</v>
      </c>
      <c r="F16" t="s">
        <v>36</v>
      </c>
      <c r="G16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6" s="4">
        <v>3.8</v>
      </c>
      <c r="I16" s="7">
        <v>7.1</v>
      </c>
      <c r="J16" s="7">
        <v>10.9</v>
      </c>
      <c r="K16" s="4">
        <v>2.6</v>
      </c>
      <c r="L16" s="7">
        <v>7.65</v>
      </c>
      <c r="M16" s="7">
        <v>10.25</v>
      </c>
      <c r="N16" s="4">
        <v>2.4</v>
      </c>
      <c r="O16" s="7">
        <v>8.0500000000000007</v>
      </c>
      <c r="P16" s="7">
        <v>10.45</v>
      </c>
      <c r="Q16" s="4">
        <v>2.8</v>
      </c>
      <c r="R16" s="7">
        <v>9.1999999999999993</v>
      </c>
      <c r="S16" s="7">
        <v>12</v>
      </c>
      <c r="T16" s="4">
        <v>3.1</v>
      </c>
      <c r="U16" s="7">
        <v>7.1</v>
      </c>
      <c r="V16" s="7">
        <v>10.199999999999999</v>
      </c>
      <c r="W16" s="4">
        <v>1.8</v>
      </c>
      <c r="X16" s="7">
        <v>8.4</v>
      </c>
      <c r="Y16" s="7">
        <v>10.199999999999999</v>
      </c>
      <c r="Z16" s="4">
        <f>IF(Cracow_result[[#This Row],[All Around]]="Yes",SUM(H16,K16,N16,Q16,T16,W16),0)</f>
        <v>16.5</v>
      </c>
      <c r="AA16" s="7">
        <f>IF(Cracow_result[[#This Row],[All Around]]="Yes",SUM(I16,L16,O16,R16,U16,X16),0)</f>
        <v>47.5</v>
      </c>
      <c r="AB16" s="7">
        <v>64</v>
      </c>
    </row>
    <row r="17" spans="1:28" x14ac:dyDescent="0.25">
      <c r="A17" s="2">
        <v>7</v>
      </c>
      <c r="B17" t="s">
        <v>37</v>
      </c>
      <c r="C17" s="2" t="s">
        <v>26</v>
      </c>
      <c r="D17" s="2">
        <v>2006</v>
      </c>
      <c r="E17" s="2" t="s">
        <v>38</v>
      </c>
      <c r="F17" t="s">
        <v>39</v>
      </c>
      <c r="G17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7" s="4">
        <v>3.3</v>
      </c>
      <c r="I17" s="7">
        <v>7.25</v>
      </c>
      <c r="J17" s="7">
        <v>10.55</v>
      </c>
      <c r="K17" s="4">
        <v>3.6</v>
      </c>
      <c r="L17" s="7">
        <v>7.45</v>
      </c>
      <c r="M17" s="7">
        <v>11.05</v>
      </c>
      <c r="N17" s="4">
        <v>2.2999999999999998</v>
      </c>
      <c r="O17" s="7">
        <v>6.85</v>
      </c>
      <c r="P17" s="7">
        <v>9.15</v>
      </c>
      <c r="Q17" s="4">
        <v>2.4</v>
      </c>
      <c r="R17" s="7">
        <v>8.3000000000000007</v>
      </c>
      <c r="S17" s="7">
        <v>10.7</v>
      </c>
      <c r="T17" s="4">
        <v>3.1</v>
      </c>
      <c r="U17" s="7">
        <v>8.4</v>
      </c>
      <c r="V17" s="7">
        <v>11.5</v>
      </c>
      <c r="W17" s="4">
        <v>3.1</v>
      </c>
      <c r="X17" s="7">
        <v>7.65</v>
      </c>
      <c r="Y17" s="7">
        <v>10.75</v>
      </c>
      <c r="Z17" s="4">
        <f>IF(Cracow_result[[#This Row],[All Around]]="Yes",SUM(H17,K17,N17,Q17,T17,W17),0)</f>
        <v>17.8</v>
      </c>
      <c r="AA17" s="7">
        <f>IF(Cracow_result[[#This Row],[All Around]]="Yes",SUM(I17,L17,O17,R17,U17,X17),0)</f>
        <v>45.9</v>
      </c>
      <c r="AB17" s="7">
        <v>63.7</v>
      </c>
    </row>
    <row r="18" spans="1:28" x14ac:dyDescent="0.25">
      <c r="A18" s="2">
        <v>10</v>
      </c>
      <c r="B18" t="s">
        <v>73</v>
      </c>
      <c r="C18" s="2" t="s">
        <v>60</v>
      </c>
      <c r="D18" s="2">
        <v>2001</v>
      </c>
      <c r="E18" s="2" t="s">
        <v>74</v>
      </c>
      <c r="F18" t="s">
        <v>62</v>
      </c>
      <c r="G18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8" s="4">
        <v>4.5</v>
      </c>
      <c r="I18" s="7">
        <v>8.15</v>
      </c>
      <c r="J18" s="7">
        <v>12.65</v>
      </c>
      <c r="K18" s="4">
        <v>3.1</v>
      </c>
      <c r="L18" s="7">
        <v>3.05</v>
      </c>
      <c r="M18" s="7">
        <v>6.15</v>
      </c>
      <c r="N18" s="4">
        <v>2.8</v>
      </c>
      <c r="O18" s="7">
        <v>7.1</v>
      </c>
      <c r="P18" s="7">
        <v>9.9</v>
      </c>
      <c r="Q18" s="4">
        <v>4</v>
      </c>
      <c r="R18" s="7">
        <v>9.35</v>
      </c>
      <c r="S18" s="7">
        <v>13.35</v>
      </c>
      <c r="T18" s="4">
        <v>3.7</v>
      </c>
      <c r="U18" s="7">
        <v>6.85</v>
      </c>
      <c r="V18" s="7">
        <v>10.55</v>
      </c>
      <c r="W18" s="4">
        <v>2.7</v>
      </c>
      <c r="X18" s="7">
        <v>8.1999999999999993</v>
      </c>
      <c r="Y18" s="7">
        <v>10.9</v>
      </c>
      <c r="Z18" s="4">
        <f>IF(Cracow_result[[#This Row],[All Around]]="Yes",SUM(H18,K18,N18,Q18,T18,W18),0)</f>
        <v>20.799999999999997</v>
      </c>
      <c r="AA18" s="7">
        <f>IF(Cracow_result[[#This Row],[All Around]]="Yes",SUM(I18,L18,O18,R18,U18,X18),0)</f>
        <v>42.7</v>
      </c>
      <c r="AB18" s="7">
        <v>63.5</v>
      </c>
    </row>
    <row r="19" spans="1:28" x14ac:dyDescent="0.25">
      <c r="A19" s="2">
        <v>11</v>
      </c>
      <c r="B19" t="s">
        <v>84</v>
      </c>
      <c r="C19" s="2" t="s">
        <v>60</v>
      </c>
      <c r="D19" s="2">
        <v>2004</v>
      </c>
      <c r="E19" s="2" t="s">
        <v>85</v>
      </c>
      <c r="F19" t="s">
        <v>39</v>
      </c>
      <c r="G19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19" s="4">
        <v>4.0999999999999996</v>
      </c>
      <c r="I19" s="7">
        <v>8.4</v>
      </c>
      <c r="J19" s="7">
        <v>12.5</v>
      </c>
      <c r="K19" s="4">
        <v>3.2</v>
      </c>
      <c r="L19" s="7">
        <v>4.5999999999999996</v>
      </c>
      <c r="M19" s="7">
        <v>7.8</v>
      </c>
      <c r="N19" s="4">
        <v>2.9</v>
      </c>
      <c r="O19" s="7">
        <v>6.15</v>
      </c>
      <c r="P19" s="7">
        <v>9.0500000000000007</v>
      </c>
      <c r="Q19" s="4">
        <v>3.2</v>
      </c>
      <c r="R19" s="7">
        <v>9.3000000000000007</v>
      </c>
      <c r="S19" s="7">
        <v>12.5</v>
      </c>
      <c r="T19" s="4">
        <v>3.6</v>
      </c>
      <c r="U19" s="7">
        <v>7.9</v>
      </c>
      <c r="V19" s="7">
        <v>11.5</v>
      </c>
      <c r="W19" s="4">
        <v>2.9</v>
      </c>
      <c r="X19" s="7">
        <v>7.25</v>
      </c>
      <c r="Y19" s="7">
        <v>10.15</v>
      </c>
      <c r="Z19" s="4">
        <f>IF(Cracow_result[[#This Row],[All Around]]="Yes",SUM(H19,K19,N19,Q19,T19,W19),0)</f>
        <v>19.899999999999999</v>
      </c>
      <c r="AA19" s="7">
        <f>IF(Cracow_result[[#This Row],[All Around]]="Yes",SUM(I19,L19,O19,R19,U19,X19),0)</f>
        <v>43.6</v>
      </c>
      <c r="AB19" s="7">
        <v>63.5</v>
      </c>
    </row>
    <row r="20" spans="1:28" x14ac:dyDescent="0.25">
      <c r="A20" s="2">
        <v>8</v>
      </c>
      <c r="B20" t="s">
        <v>48</v>
      </c>
      <c r="C20" s="2" t="s">
        <v>26</v>
      </c>
      <c r="D20" s="2">
        <v>2006</v>
      </c>
      <c r="E20" s="2" t="s">
        <v>49</v>
      </c>
      <c r="F20" t="s">
        <v>36</v>
      </c>
      <c r="G20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0" s="4">
        <v>3.5</v>
      </c>
      <c r="I20" s="7">
        <v>7.65</v>
      </c>
      <c r="J20" s="7">
        <v>11.15</v>
      </c>
      <c r="K20" s="4">
        <v>2.2000000000000002</v>
      </c>
      <c r="L20" s="7">
        <v>4.95</v>
      </c>
      <c r="M20" s="7">
        <v>7.15</v>
      </c>
      <c r="N20" s="4">
        <v>2.5</v>
      </c>
      <c r="O20" s="7">
        <v>6.65</v>
      </c>
      <c r="P20" s="7">
        <v>9.15</v>
      </c>
      <c r="Q20" s="4">
        <v>2.4</v>
      </c>
      <c r="R20" s="7">
        <v>8.85</v>
      </c>
      <c r="S20" s="7">
        <v>11.25</v>
      </c>
      <c r="T20" s="4">
        <v>3.1</v>
      </c>
      <c r="U20" s="7">
        <v>7.45</v>
      </c>
      <c r="V20" s="7">
        <v>10.55</v>
      </c>
      <c r="W20" s="4">
        <v>1.9</v>
      </c>
      <c r="X20" s="7">
        <v>8.6</v>
      </c>
      <c r="Y20" s="7">
        <v>10.5</v>
      </c>
      <c r="Z20" s="4">
        <f>IF(Cracow_result[[#This Row],[All Around]]="Yes",SUM(H20,K20,N20,Q20,T20,W20),0)</f>
        <v>15.6</v>
      </c>
      <c r="AA20" s="7">
        <f>IF(Cracow_result[[#This Row],[All Around]]="Yes",SUM(I20,L20,O20,R20,U20,X20),0)</f>
        <v>44.150000000000006</v>
      </c>
      <c r="AB20" s="7">
        <v>59.75</v>
      </c>
    </row>
    <row r="21" spans="1:28" x14ac:dyDescent="0.25">
      <c r="A21" s="2">
        <v>12</v>
      </c>
      <c r="B21" t="s">
        <v>70</v>
      </c>
      <c r="C21" s="2" t="s">
        <v>60</v>
      </c>
      <c r="D21" s="2">
        <v>2001</v>
      </c>
      <c r="E21" s="2" t="s">
        <v>71</v>
      </c>
      <c r="F21" t="s">
        <v>72</v>
      </c>
      <c r="G21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1" s="4">
        <v>4.9000000000000004</v>
      </c>
      <c r="I21" s="7">
        <v>7.6</v>
      </c>
      <c r="J21" s="7">
        <v>12.5</v>
      </c>
      <c r="K21" s="4">
        <v>3.6</v>
      </c>
      <c r="L21" s="7">
        <v>6.7</v>
      </c>
      <c r="M21" s="7">
        <v>10.3</v>
      </c>
      <c r="N21" s="4">
        <v>4.0999999999999996</v>
      </c>
      <c r="O21" s="7">
        <v>7.8</v>
      </c>
      <c r="P21" s="7">
        <v>11.9</v>
      </c>
      <c r="Q21" s="4">
        <v>5.2</v>
      </c>
      <c r="R21" s="7">
        <v>7.65</v>
      </c>
      <c r="S21" s="7">
        <v>12.85</v>
      </c>
      <c r="T21" s="4">
        <v>0</v>
      </c>
      <c r="U21" s="7">
        <v>0</v>
      </c>
      <c r="V21" s="7">
        <v>0</v>
      </c>
      <c r="W21" s="4">
        <v>3.7</v>
      </c>
      <c r="X21" s="7">
        <v>7.4</v>
      </c>
      <c r="Y21" s="7">
        <v>11.1</v>
      </c>
      <c r="Z21" s="4">
        <f>IF(Cracow_result[[#This Row],[All Around]]="Yes",SUM(H21,K21,N21,Q21,T21,W21),0)</f>
        <v>0</v>
      </c>
      <c r="AA21" s="7">
        <f>IF(Cracow_result[[#This Row],[All Around]]="Yes",SUM(I21,L21,O21,R21,U21,X21),0)</f>
        <v>0</v>
      </c>
      <c r="AB21" s="7">
        <v>58.65</v>
      </c>
    </row>
    <row r="22" spans="1:28" x14ac:dyDescent="0.25">
      <c r="A22" s="2">
        <v>13</v>
      </c>
      <c r="B22" t="s">
        <v>82</v>
      </c>
      <c r="C22" s="2" t="s">
        <v>60</v>
      </c>
      <c r="D22" s="2">
        <v>2003</v>
      </c>
      <c r="E22" s="2" t="s">
        <v>83</v>
      </c>
      <c r="F22" t="s">
        <v>36</v>
      </c>
      <c r="G2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2" s="4">
        <v>4.0999999999999996</v>
      </c>
      <c r="I22" s="7">
        <v>6.7</v>
      </c>
      <c r="J22" s="7">
        <v>10.8</v>
      </c>
      <c r="K22" s="4">
        <v>0</v>
      </c>
      <c r="L22" s="7">
        <v>0</v>
      </c>
      <c r="M22" s="7">
        <v>0</v>
      </c>
      <c r="N22" s="4">
        <v>3.8</v>
      </c>
      <c r="O22" s="7">
        <v>7.7</v>
      </c>
      <c r="P22" s="7">
        <v>11.5</v>
      </c>
      <c r="Q22" s="4">
        <v>4</v>
      </c>
      <c r="R22" s="7">
        <v>9.1</v>
      </c>
      <c r="S22" s="7">
        <v>13.1</v>
      </c>
      <c r="T22" s="4">
        <v>2.5</v>
      </c>
      <c r="U22" s="7">
        <v>7.15</v>
      </c>
      <c r="V22" s="7">
        <v>9.65</v>
      </c>
      <c r="W22" s="4">
        <v>4</v>
      </c>
      <c r="X22" s="7">
        <v>8.25</v>
      </c>
      <c r="Y22" s="7">
        <v>12.25</v>
      </c>
      <c r="Z22" s="4">
        <f>IF(Cracow_result[[#This Row],[All Around]]="Yes",SUM(H22,K22,N22,Q22,T22,W22),0)</f>
        <v>0</v>
      </c>
      <c r="AA22" s="7">
        <f>IF(Cracow_result[[#This Row],[All Around]]="Yes",SUM(I22,L22,O22,R22,U22,X22),0)</f>
        <v>0</v>
      </c>
      <c r="AB22" s="7">
        <v>57.3</v>
      </c>
    </row>
    <row r="23" spans="1:28" x14ac:dyDescent="0.25">
      <c r="A23" s="2">
        <v>9</v>
      </c>
      <c r="B23" t="s">
        <v>46</v>
      </c>
      <c r="C23" s="2" t="s">
        <v>26</v>
      </c>
      <c r="D23" s="2">
        <v>2006</v>
      </c>
      <c r="E23" s="2" t="s">
        <v>47</v>
      </c>
      <c r="F23" t="s">
        <v>36</v>
      </c>
      <c r="G2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Yes</v>
      </c>
      <c r="H23" s="4">
        <v>3.1</v>
      </c>
      <c r="I23" s="7">
        <v>7.7</v>
      </c>
      <c r="J23" s="7">
        <v>10.8</v>
      </c>
      <c r="K23" s="4">
        <v>2.2000000000000002</v>
      </c>
      <c r="L23" s="7">
        <v>2.75</v>
      </c>
      <c r="M23" s="7">
        <v>4.95</v>
      </c>
      <c r="N23" s="4">
        <v>2.1</v>
      </c>
      <c r="O23" s="7">
        <v>6.65</v>
      </c>
      <c r="P23" s="7">
        <v>8.75</v>
      </c>
      <c r="Q23" s="4">
        <v>1.6</v>
      </c>
      <c r="R23" s="7">
        <v>9</v>
      </c>
      <c r="S23" s="7">
        <v>10.6</v>
      </c>
      <c r="T23" s="4">
        <v>3.1</v>
      </c>
      <c r="U23" s="7">
        <v>8.6</v>
      </c>
      <c r="V23" s="7">
        <v>11.7</v>
      </c>
      <c r="W23" s="4">
        <v>1.9</v>
      </c>
      <c r="X23" s="7">
        <v>7.75</v>
      </c>
      <c r="Y23" s="7">
        <v>9.65</v>
      </c>
      <c r="Z23" s="4">
        <f>IF(Cracow_result[[#This Row],[All Around]]="Yes",SUM(H23,K23,N23,Q23,T23,W23),0)</f>
        <v>14</v>
      </c>
      <c r="AA23" s="7">
        <f>IF(Cracow_result[[#This Row],[All Around]]="Yes",SUM(I23,L23,O23,R23,U23,X23),0)</f>
        <v>42.45</v>
      </c>
      <c r="AB23" s="7">
        <v>56.45</v>
      </c>
    </row>
    <row r="24" spans="1:28" x14ac:dyDescent="0.25">
      <c r="A24" s="2">
        <v>14</v>
      </c>
      <c r="B24" t="s">
        <v>90</v>
      </c>
      <c r="C24" s="2" t="s">
        <v>60</v>
      </c>
      <c r="D24" s="2">
        <v>2004</v>
      </c>
      <c r="E24" s="2" t="s">
        <v>91</v>
      </c>
      <c r="F24" t="s">
        <v>36</v>
      </c>
      <c r="G24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4" s="4">
        <v>4</v>
      </c>
      <c r="I24" s="7">
        <v>7.9</v>
      </c>
      <c r="J24" s="7">
        <v>11.9</v>
      </c>
      <c r="K24" s="4">
        <v>2.9</v>
      </c>
      <c r="L24" s="7">
        <v>5</v>
      </c>
      <c r="M24" s="7">
        <v>7.9</v>
      </c>
      <c r="N24" s="4">
        <v>3</v>
      </c>
      <c r="O24" s="7">
        <v>6.35</v>
      </c>
      <c r="P24" s="7">
        <v>9.35</v>
      </c>
      <c r="Q24" s="4">
        <v>4</v>
      </c>
      <c r="R24" s="7">
        <v>9.25</v>
      </c>
      <c r="S24" s="7">
        <v>13.25</v>
      </c>
      <c r="T24" s="4">
        <v>2.9</v>
      </c>
      <c r="U24" s="7">
        <v>8.5</v>
      </c>
      <c r="V24" s="7">
        <v>11.4</v>
      </c>
      <c r="W24" s="4">
        <v>0</v>
      </c>
      <c r="X24" s="7">
        <v>0</v>
      </c>
      <c r="Y24" s="7">
        <v>0</v>
      </c>
      <c r="Z24" s="4">
        <f>IF(Cracow_result[[#This Row],[All Around]]="Yes",SUM(H24,K24,N24,Q24,T24,W24),0)</f>
        <v>0</v>
      </c>
      <c r="AA24" s="7">
        <f>IF(Cracow_result[[#This Row],[All Around]]="Yes",SUM(I24,L24,O24,R24,U24,X24),0)</f>
        <v>0</v>
      </c>
      <c r="AB24" s="7">
        <v>53.8</v>
      </c>
    </row>
    <row r="25" spans="1:28" x14ac:dyDescent="0.25">
      <c r="A25" s="2">
        <v>10</v>
      </c>
      <c r="B25" t="s">
        <v>114</v>
      </c>
      <c r="C25" s="2" t="s">
        <v>26</v>
      </c>
      <c r="D25" s="2">
        <v>2006</v>
      </c>
      <c r="E25" s="2" t="s">
        <v>115</v>
      </c>
      <c r="F25" t="s">
        <v>36</v>
      </c>
      <c r="G25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5" s="4">
        <v>0</v>
      </c>
      <c r="I25" s="7">
        <v>0</v>
      </c>
      <c r="J25" s="7">
        <v>0</v>
      </c>
      <c r="K25" s="4">
        <v>2.6</v>
      </c>
      <c r="L25" s="7">
        <v>7.65</v>
      </c>
      <c r="M25" s="7">
        <v>10.25</v>
      </c>
      <c r="N25" s="4">
        <v>1.7</v>
      </c>
      <c r="O25" s="7">
        <v>7.85</v>
      </c>
      <c r="P25" s="7">
        <v>9.5500000000000007</v>
      </c>
      <c r="Q25" s="4">
        <v>1.6</v>
      </c>
      <c r="R25" s="7">
        <v>8.8000000000000007</v>
      </c>
      <c r="S25" s="7">
        <v>10.4</v>
      </c>
      <c r="T25" s="4">
        <v>2.4</v>
      </c>
      <c r="U25" s="7">
        <v>8</v>
      </c>
      <c r="V25" s="7">
        <v>10.4</v>
      </c>
      <c r="W25" s="4">
        <v>1.8</v>
      </c>
      <c r="X25" s="7">
        <v>8.8000000000000007</v>
      </c>
      <c r="Y25" s="7">
        <v>10.6</v>
      </c>
      <c r="Z25" s="4">
        <f>IF(Cracow_result[[#This Row],[All Around]]="Yes",SUM(H25,K25,N25,Q25,T25,W25),0)</f>
        <v>0</v>
      </c>
      <c r="AA25" s="7">
        <f>IF(Cracow_result[[#This Row],[All Around]]="Yes",SUM(I25,L25,O25,R25,U25,X25),0)</f>
        <v>0</v>
      </c>
      <c r="AB25" s="7">
        <v>51.2</v>
      </c>
    </row>
    <row r="26" spans="1:28" x14ac:dyDescent="0.25">
      <c r="A26" s="2">
        <v>11</v>
      </c>
      <c r="B26" t="s">
        <v>120</v>
      </c>
      <c r="C26" s="2" t="s">
        <v>26</v>
      </c>
      <c r="D26" s="2">
        <v>2006</v>
      </c>
      <c r="E26" s="2" t="s">
        <v>121</v>
      </c>
      <c r="F26" t="s">
        <v>39</v>
      </c>
      <c r="G26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6" s="4">
        <v>2.6</v>
      </c>
      <c r="I26" s="7">
        <v>7.8</v>
      </c>
      <c r="J26" s="7">
        <v>10.4</v>
      </c>
      <c r="K26" s="4">
        <v>2.4</v>
      </c>
      <c r="L26" s="7">
        <v>5.7</v>
      </c>
      <c r="M26" s="7">
        <v>8.1</v>
      </c>
      <c r="N26" s="4">
        <v>1.8</v>
      </c>
      <c r="O26" s="7">
        <v>6.8</v>
      </c>
      <c r="P26" s="7">
        <v>8.6</v>
      </c>
      <c r="Q26" s="4">
        <v>2.4</v>
      </c>
      <c r="R26" s="7">
        <v>7.8</v>
      </c>
      <c r="S26" s="7">
        <v>10.199999999999999</v>
      </c>
      <c r="T26" s="4">
        <v>2.2999999999999998</v>
      </c>
      <c r="U26" s="7">
        <v>7.45</v>
      </c>
      <c r="V26" s="7">
        <v>9.75</v>
      </c>
      <c r="W26" s="4">
        <v>0</v>
      </c>
      <c r="X26" s="7">
        <v>0</v>
      </c>
      <c r="Y26" s="7">
        <v>0</v>
      </c>
      <c r="Z26" s="4">
        <f>IF(Cracow_result[[#This Row],[All Around]]="Yes",SUM(H26,K26,N26,Q26,T26,W26),0)</f>
        <v>0</v>
      </c>
      <c r="AA26" s="7">
        <f>IF(Cracow_result[[#This Row],[All Around]]="Yes",SUM(I26,L26,O26,R26,U26,X26),0)</f>
        <v>0</v>
      </c>
      <c r="AB26" s="7">
        <v>47.05</v>
      </c>
    </row>
    <row r="27" spans="1:28" x14ac:dyDescent="0.25">
      <c r="A27" s="2">
        <v>12</v>
      </c>
      <c r="B27" t="s">
        <v>122</v>
      </c>
      <c r="C27" s="2" t="s">
        <v>26</v>
      </c>
      <c r="D27" s="2">
        <v>2006</v>
      </c>
      <c r="E27" s="2" t="s">
        <v>123</v>
      </c>
      <c r="F27" t="s">
        <v>124</v>
      </c>
      <c r="G27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7" s="4">
        <v>3.1</v>
      </c>
      <c r="I27" s="7">
        <v>7.55</v>
      </c>
      <c r="J27" s="7">
        <v>10.65</v>
      </c>
      <c r="K27" s="4">
        <v>0</v>
      </c>
      <c r="L27" s="7">
        <v>0</v>
      </c>
      <c r="M27" s="7">
        <v>0</v>
      </c>
      <c r="N27" s="4">
        <v>2</v>
      </c>
      <c r="O27" s="7">
        <v>7.35</v>
      </c>
      <c r="P27" s="7">
        <v>9.35</v>
      </c>
      <c r="Q27" s="4">
        <v>2.2000000000000002</v>
      </c>
      <c r="R27" s="7">
        <v>8.8000000000000007</v>
      </c>
      <c r="S27" s="7">
        <v>11</v>
      </c>
      <c r="T27" s="4">
        <v>0</v>
      </c>
      <c r="U27" s="7">
        <v>0</v>
      </c>
      <c r="V27" s="7">
        <v>0</v>
      </c>
      <c r="W27" s="4">
        <v>2</v>
      </c>
      <c r="X27" s="7">
        <v>6.6</v>
      </c>
      <c r="Y27" s="7">
        <v>8.6</v>
      </c>
      <c r="Z27" s="4">
        <f>IF(Cracow_result[[#This Row],[All Around]]="Yes",SUM(H27,K27,N27,Q27,T27,W27),0)</f>
        <v>0</v>
      </c>
      <c r="AA27" s="7">
        <f>IF(Cracow_result[[#This Row],[All Around]]="Yes",SUM(I27,L27,O27,R27,U27,X27),0)</f>
        <v>0</v>
      </c>
      <c r="AB27" s="7">
        <v>39.6</v>
      </c>
    </row>
    <row r="28" spans="1:28" x14ac:dyDescent="0.25">
      <c r="A28" s="2">
        <v>15</v>
      </c>
      <c r="B28" t="s">
        <v>92</v>
      </c>
      <c r="C28" s="2" t="s">
        <v>60</v>
      </c>
      <c r="D28" s="2">
        <v>2004</v>
      </c>
      <c r="E28" s="2" t="s">
        <v>93</v>
      </c>
      <c r="F28" t="s">
        <v>39</v>
      </c>
      <c r="G28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8" s="4">
        <v>4.0999999999999996</v>
      </c>
      <c r="I28" s="7">
        <v>7.95</v>
      </c>
      <c r="J28" s="7">
        <v>12.05</v>
      </c>
      <c r="K28" s="4">
        <v>3.7</v>
      </c>
      <c r="L28" s="7">
        <v>8.85</v>
      </c>
      <c r="M28" s="7">
        <v>12.55</v>
      </c>
      <c r="N28" s="4">
        <v>0</v>
      </c>
      <c r="O28" s="7">
        <v>0</v>
      </c>
      <c r="P28" s="7">
        <v>0</v>
      </c>
      <c r="Q28" s="4">
        <v>4.4000000000000004</v>
      </c>
      <c r="R28" s="7">
        <v>9.35</v>
      </c>
      <c r="S28" s="7">
        <v>13.75</v>
      </c>
      <c r="T28" s="4">
        <v>0</v>
      </c>
      <c r="U28" s="7">
        <v>0</v>
      </c>
      <c r="V28" s="7">
        <v>0</v>
      </c>
      <c r="W28" s="4">
        <v>0</v>
      </c>
      <c r="X28" s="7">
        <v>0</v>
      </c>
      <c r="Y28" s="7">
        <v>0</v>
      </c>
      <c r="Z28" s="4">
        <f>IF(Cracow_result[[#This Row],[All Around]]="Yes",SUM(H28,K28,N28,Q28,T28,W28),0)</f>
        <v>0</v>
      </c>
      <c r="AA28" s="7">
        <f>IF(Cracow_result[[#This Row],[All Around]]="Yes",SUM(I28,L28,O28,R28,U28,X28),0)</f>
        <v>0</v>
      </c>
      <c r="AB28" s="7">
        <v>38.35</v>
      </c>
    </row>
    <row r="29" spans="1:28" x14ac:dyDescent="0.25">
      <c r="A29" s="2">
        <v>16</v>
      </c>
      <c r="B29" t="s">
        <v>98</v>
      </c>
      <c r="C29" s="2" t="s">
        <v>60</v>
      </c>
      <c r="D29" s="2">
        <v>2003</v>
      </c>
      <c r="E29" s="2" t="s">
        <v>99</v>
      </c>
      <c r="F29" t="s">
        <v>72</v>
      </c>
      <c r="G29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29" s="4">
        <v>0</v>
      </c>
      <c r="I29" s="7">
        <v>0</v>
      </c>
      <c r="J29" s="7">
        <v>0</v>
      </c>
      <c r="K29" s="4">
        <v>3.3</v>
      </c>
      <c r="L29" s="7">
        <v>4.1500000000000004</v>
      </c>
      <c r="M29" s="7">
        <v>7.45</v>
      </c>
      <c r="N29" s="4">
        <v>2.5</v>
      </c>
      <c r="O29" s="7">
        <v>6.55</v>
      </c>
      <c r="P29" s="7">
        <v>9.0500000000000007</v>
      </c>
      <c r="Q29" s="4">
        <v>0</v>
      </c>
      <c r="R29" s="7">
        <v>0</v>
      </c>
      <c r="S29" s="7">
        <v>0</v>
      </c>
      <c r="T29" s="4">
        <v>2.5</v>
      </c>
      <c r="U29" s="7">
        <v>8.6999999999999993</v>
      </c>
      <c r="V29" s="7">
        <v>11.2</v>
      </c>
      <c r="W29" s="4">
        <v>2.6</v>
      </c>
      <c r="X29" s="7">
        <v>6.95</v>
      </c>
      <c r="Y29" s="7">
        <v>9.5500000000000007</v>
      </c>
      <c r="Z29" s="4">
        <f>IF(Cracow_result[[#This Row],[All Around]]="Yes",SUM(H29,K29,N29,Q29,T29,W29),0)</f>
        <v>0</v>
      </c>
      <c r="AA29" s="7">
        <f>IF(Cracow_result[[#This Row],[All Around]]="Yes",SUM(I29,L29,O29,R29,U29,X29),0)</f>
        <v>0</v>
      </c>
      <c r="AB29" s="7">
        <v>37.25</v>
      </c>
    </row>
    <row r="30" spans="1:28" x14ac:dyDescent="0.25">
      <c r="A30" s="2">
        <v>17</v>
      </c>
      <c r="B30" t="s">
        <v>96</v>
      </c>
      <c r="C30" s="2" t="s">
        <v>60</v>
      </c>
      <c r="D30" s="2">
        <v>2002</v>
      </c>
      <c r="E30" s="2" t="s">
        <v>97</v>
      </c>
      <c r="F30" t="s">
        <v>62</v>
      </c>
      <c r="G30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0" s="4">
        <v>0</v>
      </c>
      <c r="I30" s="7">
        <v>0</v>
      </c>
      <c r="J30" s="7">
        <v>0</v>
      </c>
      <c r="K30" s="4">
        <v>4.7</v>
      </c>
      <c r="L30" s="7">
        <v>6.8</v>
      </c>
      <c r="M30" s="7">
        <v>11.5</v>
      </c>
      <c r="N30" s="4">
        <v>4.2</v>
      </c>
      <c r="O30" s="7">
        <v>8.5</v>
      </c>
      <c r="P30" s="7">
        <v>12.7</v>
      </c>
      <c r="Q30" s="4">
        <v>0</v>
      </c>
      <c r="R30" s="7">
        <v>0</v>
      </c>
      <c r="S30" s="7">
        <v>0</v>
      </c>
      <c r="T30" s="4">
        <v>3.8</v>
      </c>
      <c r="U30" s="7">
        <v>7.2</v>
      </c>
      <c r="V30" s="7">
        <v>11</v>
      </c>
      <c r="W30" s="4">
        <v>0</v>
      </c>
      <c r="X30" s="7">
        <v>0</v>
      </c>
      <c r="Y30" s="7">
        <v>0</v>
      </c>
      <c r="Z30" s="4">
        <f>IF(Cracow_result[[#This Row],[All Around]]="Yes",SUM(H30,K30,N30,Q30,T30,W30),0)</f>
        <v>0</v>
      </c>
      <c r="AA30" s="7">
        <f>IF(Cracow_result[[#This Row],[All Around]]="Yes",SUM(I30,L30,O30,R30,U30,X30),0)</f>
        <v>0</v>
      </c>
      <c r="AB30" s="7">
        <v>35.200000000000003</v>
      </c>
    </row>
    <row r="31" spans="1:28" x14ac:dyDescent="0.25">
      <c r="A31" s="2">
        <v>18</v>
      </c>
      <c r="B31" t="s">
        <v>94</v>
      </c>
      <c r="C31" s="2" t="s">
        <v>60</v>
      </c>
      <c r="D31" s="2">
        <v>2002</v>
      </c>
      <c r="E31" s="2" t="s">
        <v>95</v>
      </c>
      <c r="F31" t="s">
        <v>72</v>
      </c>
      <c r="G31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1" s="4">
        <v>0</v>
      </c>
      <c r="I31" s="7">
        <v>0</v>
      </c>
      <c r="J31" s="7">
        <v>0</v>
      </c>
      <c r="K31" s="4">
        <v>0</v>
      </c>
      <c r="L31" s="7">
        <v>0</v>
      </c>
      <c r="M31" s="7">
        <v>0</v>
      </c>
      <c r="N31" s="4">
        <v>4</v>
      </c>
      <c r="O31" s="7">
        <v>7.65</v>
      </c>
      <c r="P31" s="7">
        <v>11.65</v>
      </c>
      <c r="Q31" s="4">
        <v>2.8</v>
      </c>
      <c r="R31" s="7">
        <v>9.1</v>
      </c>
      <c r="S31" s="7">
        <v>11.9</v>
      </c>
      <c r="T31" s="4">
        <v>3.2</v>
      </c>
      <c r="U31" s="7">
        <v>8.35</v>
      </c>
      <c r="V31" s="7">
        <v>11.55</v>
      </c>
      <c r="W31" s="4">
        <v>0</v>
      </c>
      <c r="X31" s="7">
        <v>0</v>
      </c>
      <c r="Y31" s="7">
        <v>0</v>
      </c>
      <c r="Z31" s="4">
        <f>IF(Cracow_result[[#This Row],[All Around]]="Yes",SUM(H31,K31,N31,Q31,T31,W31),0)</f>
        <v>0</v>
      </c>
      <c r="AA31" s="7">
        <f>IF(Cracow_result[[#This Row],[All Around]]="Yes",SUM(I31,L31,O31,R31,U31,X31),0)</f>
        <v>0</v>
      </c>
      <c r="AB31" s="7">
        <v>35.1</v>
      </c>
    </row>
    <row r="32" spans="1:28" x14ac:dyDescent="0.25">
      <c r="A32" s="2">
        <v>13</v>
      </c>
      <c r="B32" t="s">
        <v>50</v>
      </c>
      <c r="C32" s="2" t="s">
        <v>26</v>
      </c>
      <c r="D32" s="2">
        <v>2007</v>
      </c>
      <c r="E32" s="2" t="s">
        <v>51</v>
      </c>
      <c r="F32" t="s">
        <v>36</v>
      </c>
      <c r="G32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2" s="4">
        <v>3.9</v>
      </c>
      <c r="I32" s="7">
        <v>7.35</v>
      </c>
      <c r="J32" s="7">
        <v>11.25</v>
      </c>
      <c r="K32" s="4">
        <v>0</v>
      </c>
      <c r="L32" s="7">
        <v>0</v>
      </c>
      <c r="M32" s="7">
        <v>0</v>
      </c>
      <c r="N32" s="4">
        <v>3.7</v>
      </c>
      <c r="O32" s="7">
        <v>7.8</v>
      </c>
      <c r="P32" s="7">
        <v>11.5</v>
      </c>
      <c r="Q32" s="4">
        <v>0</v>
      </c>
      <c r="R32" s="7">
        <v>0</v>
      </c>
      <c r="S32" s="7">
        <v>0</v>
      </c>
      <c r="T32" s="4">
        <v>0</v>
      </c>
      <c r="U32" s="7">
        <v>0</v>
      </c>
      <c r="V32" s="7">
        <v>0</v>
      </c>
      <c r="W32" s="4">
        <v>2.7</v>
      </c>
      <c r="X32" s="7">
        <v>9.1</v>
      </c>
      <c r="Y32" s="7">
        <v>11.8</v>
      </c>
      <c r="Z32" s="4">
        <f>IF(Cracow_result[[#This Row],[All Around]]="Yes",SUM(H32,K32,N32,Q32,T32,W32),0)</f>
        <v>0</v>
      </c>
      <c r="AA32" s="7">
        <f>IF(Cracow_result[[#This Row],[All Around]]="Yes",SUM(I32,L32,O32,R32,U32,X32),0)</f>
        <v>0</v>
      </c>
      <c r="AB32" s="7">
        <v>34.549999999999997</v>
      </c>
    </row>
    <row r="33" spans="1:28" x14ac:dyDescent="0.25">
      <c r="A33" s="2">
        <v>19</v>
      </c>
      <c r="B33" t="s">
        <v>129</v>
      </c>
      <c r="C33" s="2" t="s">
        <v>60</v>
      </c>
      <c r="D33" s="2">
        <v>1999</v>
      </c>
      <c r="E33" s="2" t="s">
        <v>130</v>
      </c>
      <c r="F33" t="s">
        <v>72</v>
      </c>
      <c r="G33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3" s="4">
        <v>4.4000000000000004</v>
      </c>
      <c r="I33" s="7">
        <v>7.05</v>
      </c>
      <c r="J33" s="7">
        <v>11.45</v>
      </c>
      <c r="K33" s="4">
        <v>0</v>
      </c>
      <c r="L33" s="7">
        <v>0</v>
      </c>
      <c r="M33" s="7">
        <v>0</v>
      </c>
      <c r="N33" s="4">
        <v>0</v>
      </c>
      <c r="O33" s="7">
        <v>0</v>
      </c>
      <c r="P33" s="7">
        <v>0</v>
      </c>
      <c r="Q33" s="4">
        <v>2.8</v>
      </c>
      <c r="R33" s="7">
        <v>8.5500000000000007</v>
      </c>
      <c r="S33" s="7">
        <v>11.35</v>
      </c>
      <c r="T33" s="4">
        <v>2.7</v>
      </c>
      <c r="U33" s="7">
        <v>8.5500000000000007</v>
      </c>
      <c r="V33" s="7">
        <v>11.25</v>
      </c>
      <c r="W33" s="4">
        <v>0</v>
      </c>
      <c r="X33" s="7">
        <v>0</v>
      </c>
      <c r="Y33" s="7">
        <v>0</v>
      </c>
      <c r="Z33" s="4">
        <f>IF(Cracow_result[[#This Row],[All Around]]="Yes",SUM(H33,K33,N33,Q33,T33,W33),0)</f>
        <v>0</v>
      </c>
      <c r="AA33" s="7">
        <f>IF(Cracow_result[[#This Row],[All Around]]="Yes",SUM(I33,L33,O33,R33,U33,X33),0)</f>
        <v>0</v>
      </c>
      <c r="AB33" s="7">
        <v>34.049999999999997</v>
      </c>
    </row>
    <row r="34" spans="1:28" x14ac:dyDescent="0.25">
      <c r="A34" s="2">
        <v>20</v>
      </c>
      <c r="B34" t="s">
        <v>86</v>
      </c>
      <c r="C34" s="2" t="s">
        <v>60</v>
      </c>
      <c r="D34" s="2">
        <v>2003</v>
      </c>
      <c r="E34" s="2" t="s">
        <v>87</v>
      </c>
      <c r="F34" t="s">
        <v>72</v>
      </c>
      <c r="G34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4" s="4">
        <v>4.2</v>
      </c>
      <c r="I34" s="7">
        <v>7.55</v>
      </c>
      <c r="J34" s="7">
        <v>11.75</v>
      </c>
      <c r="K34" s="4">
        <v>4.2</v>
      </c>
      <c r="L34" s="7">
        <v>8</v>
      </c>
      <c r="M34" s="7">
        <v>12.2</v>
      </c>
      <c r="N34" s="4">
        <v>0</v>
      </c>
      <c r="O34" s="7">
        <v>0</v>
      </c>
      <c r="P34" s="7">
        <v>0</v>
      </c>
      <c r="Q34" s="4">
        <v>0</v>
      </c>
      <c r="R34" s="7">
        <v>0</v>
      </c>
      <c r="S34" s="7">
        <v>0</v>
      </c>
      <c r="T34" s="4">
        <v>2.9</v>
      </c>
      <c r="U34" s="7">
        <v>7.2</v>
      </c>
      <c r="V34" s="7">
        <v>10.1</v>
      </c>
      <c r="W34" s="4">
        <v>0</v>
      </c>
      <c r="X34" s="7">
        <v>0</v>
      </c>
      <c r="Y34" s="7">
        <v>0</v>
      </c>
      <c r="Z34" s="4">
        <f>IF(Cracow_result[[#This Row],[All Around]]="Yes",SUM(H34,K34,N34,Q34,T34,W34),0)</f>
        <v>0</v>
      </c>
      <c r="AA34" s="7">
        <f>IF(Cracow_result[[#This Row],[All Around]]="Yes",SUM(I34,L34,O34,R34,U34,X34),0)</f>
        <v>0</v>
      </c>
      <c r="AB34" s="7">
        <v>34.049999999999997</v>
      </c>
    </row>
    <row r="35" spans="1:28" x14ac:dyDescent="0.25">
      <c r="A35" s="2">
        <v>14</v>
      </c>
      <c r="B35" t="s">
        <v>52</v>
      </c>
      <c r="C35" s="2" t="s">
        <v>26</v>
      </c>
      <c r="D35" s="2">
        <v>2006</v>
      </c>
      <c r="E35" s="2" t="s">
        <v>53</v>
      </c>
      <c r="F35" t="s">
        <v>36</v>
      </c>
      <c r="G35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5" s="4">
        <v>0</v>
      </c>
      <c r="I35" s="7">
        <v>0</v>
      </c>
      <c r="J35" s="7">
        <v>0</v>
      </c>
      <c r="K35" s="4">
        <v>2.2000000000000002</v>
      </c>
      <c r="L35" s="7">
        <v>6.2</v>
      </c>
      <c r="M35" s="7">
        <v>8.4</v>
      </c>
      <c r="N35" s="4">
        <v>0</v>
      </c>
      <c r="O35" s="7">
        <v>0</v>
      </c>
      <c r="P35" s="7">
        <v>0</v>
      </c>
      <c r="Q35" s="4">
        <v>1.6</v>
      </c>
      <c r="R35" s="7">
        <v>9.4499999999999993</v>
      </c>
      <c r="S35" s="7">
        <v>11.05</v>
      </c>
      <c r="T35" s="4">
        <v>2.4</v>
      </c>
      <c r="U35" s="7">
        <v>9.1</v>
      </c>
      <c r="V35" s="7">
        <v>11.5</v>
      </c>
      <c r="W35" s="4">
        <v>0</v>
      </c>
      <c r="X35" s="7">
        <v>0</v>
      </c>
      <c r="Y35" s="7">
        <v>0</v>
      </c>
      <c r="Z35" s="4">
        <f>IF(Cracow_result[[#This Row],[All Around]]="Yes",SUM(H35,K35,N35,Q35,T35,W35),0)</f>
        <v>0</v>
      </c>
      <c r="AA35" s="7">
        <f>IF(Cracow_result[[#This Row],[All Around]]="Yes",SUM(I35,L35,O35,R35,U35,X35),0)</f>
        <v>0</v>
      </c>
      <c r="AB35" s="7">
        <v>30.95</v>
      </c>
    </row>
    <row r="36" spans="1:28" x14ac:dyDescent="0.25">
      <c r="A36" s="2">
        <v>15</v>
      </c>
      <c r="B36" t="s">
        <v>125</v>
      </c>
      <c r="C36" s="2" t="s">
        <v>26</v>
      </c>
      <c r="D36" s="2">
        <v>2006</v>
      </c>
      <c r="E36" s="2" t="s">
        <v>126</v>
      </c>
      <c r="F36" t="s">
        <v>67</v>
      </c>
      <c r="G36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6" s="4">
        <v>3.5</v>
      </c>
      <c r="I36" s="7">
        <v>7.85</v>
      </c>
      <c r="J36" s="7">
        <v>11.35</v>
      </c>
      <c r="K36" s="4">
        <v>0</v>
      </c>
      <c r="L36" s="7">
        <v>0</v>
      </c>
      <c r="M36" s="7">
        <v>0</v>
      </c>
      <c r="N36" s="4">
        <v>0</v>
      </c>
      <c r="O36" s="7">
        <v>0</v>
      </c>
      <c r="P36" s="7">
        <v>0</v>
      </c>
      <c r="Q36" s="4">
        <v>3.2</v>
      </c>
      <c r="R36" s="7">
        <v>8.1999999999999993</v>
      </c>
      <c r="S36" s="7">
        <v>11.4</v>
      </c>
      <c r="T36" s="4">
        <v>0</v>
      </c>
      <c r="U36" s="7">
        <v>0</v>
      </c>
      <c r="V36" s="7">
        <v>0</v>
      </c>
      <c r="W36" s="4">
        <v>0</v>
      </c>
      <c r="X36" s="7">
        <v>0</v>
      </c>
      <c r="Y36" s="7">
        <v>0</v>
      </c>
      <c r="Z36" s="4">
        <f>IF(Cracow_result[[#This Row],[All Around]]="Yes",SUM(H36,K36,N36,Q36,T36,W36),0)</f>
        <v>0</v>
      </c>
      <c r="AA36" s="7">
        <f>IF(Cracow_result[[#This Row],[All Around]]="Yes",SUM(I36,L36,O36,R36,U36,X36),0)</f>
        <v>0</v>
      </c>
      <c r="AB36" s="7">
        <v>22.75</v>
      </c>
    </row>
    <row r="37" spans="1:28" x14ac:dyDescent="0.25">
      <c r="A37" s="2">
        <v>21</v>
      </c>
      <c r="B37" t="s">
        <v>100</v>
      </c>
      <c r="C37" s="2" t="s">
        <v>60</v>
      </c>
      <c r="D37" s="2">
        <v>2004</v>
      </c>
      <c r="E37" s="2" t="s">
        <v>101</v>
      </c>
      <c r="F37" t="s">
        <v>31</v>
      </c>
      <c r="G37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7" s="4">
        <v>4.4000000000000004</v>
      </c>
      <c r="I37" s="7">
        <v>7.55</v>
      </c>
      <c r="J37" s="7">
        <v>11.95</v>
      </c>
      <c r="K37" s="4">
        <v>0</v>
      </c>
      <c r="L37" s="7">
        <v>0</v>
      </c>
      <c r="M37" s="7">
        <v>0</v>
      </c>
      <c r="N37" s="4">
        <v>0</v>
      </c>
      <c r="O37" s="7">
        <v>0</v>
      </c>
      <c r="P37" s="7">
        <v>0</v>
      </c>
      <c r="Q37" s="4">
        <v>0</v>
      </c>
      <c r="R37" s="7">
        <v>0</v>
      </c>
      <c r="S37" s="7">
        <v>0</v>
      </c>
      <c r="T37" s="4">
        <v>0</v>
      </c>
      <c r="U37" s="7">
        <v>0</v>
      </c>
      <c r="V37" s="7">
        <v>0</v>
      </c>
      <c r="W37" s="4">
        <v>2.1</v>
      </c>
      <c r="X37" s="7">
        <v>8.5</v>
      </c>
      <c r="Y37" s="7">
        <v>10.6</v>
      </c>
      <c r="Z37" s="4">
        <f>IF(Cracow_result[[#This Row],[All Around]]="Yes",SUM(H37,K37,N37,Q37,T37,W37),0)</f>
        <v>0</v>
      </c>
      <c r="AA37" s="7">
        <f>IF(Cracow_result[[#This Row],[All Around]]="Yes",SUM(I37,L37,O37,R37,U37,X37),0)</f>
        <v>0</v>
      </c>
      <c r="AB37" s="7">
        <v>22.55</v>
      </c>
    </row>
    <row r="38" spans="1:28" x14ac:dyDescent="0.25">
      <c r="A38" s="2">
        <v>22</v>
      </c>
      <c r="B38" t="s">
        <v>106</v>
      </c>
      <c r="C38" s="2" t="s">
        <v>60</v>
      </c>
      <c r="D38" s="2">
        <v>2004</v>
      </c>
      <c r="E38" s="2" t="s">
        <v>107</v>
      </c>
      <c r="F38" t="s">
        <v>31</v>
      </c>
      <c r="G38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8" s="4">
        <v>3.8</v>
      </c>
      <c r="I38" s="7">
        <v>7.45</v>
      </c>
      <c r="J38" s="7">
        <v>11.25</v>
      </c>
      <c r="K38" s="4">
        <v>0</v>
      </c>
      <c r="L38" s="7">
        <v>0</v>
      </c>
      <c r="M38" s="7">
        <v>0</v>
      </c>
      <c r="N38" s="4">
        <v>0</v>
      </c>
      <c r="O38" s="7">
        <v>0</v>
      </c>
      <c r="P38" s="7">
        <v>0</v>
      </c>
      <c r="Q38" s="4">
        <v>3.2</v>
      </c>
      <c r="R38" s="7">
        <v>7.4</v>
      </c>
      <c r="S38" s="7">
        <v>10.6</v>
      </c>
      <c r="T38" s="4">
        <v>0</v>
      </c>
      <c r="U38" s="7">
        <v>0</v>
      </c>
      <c r="V38" s="7">
        <v>0</v>
      </c>
      <c r="W38" s="4">
        <v>0</v>
      </c>
      <c r="X38" s="7">
        <v>0</v>
      </c>
      <c r="Y38" s="7">
        <v>0</v>
      </c>
      <c r="Z38" s="4">
        <f>IF(Cracow_result[[#This Row],[All Around]]="Yes",SUM(H38,K38,N38,Q38,T38,W38),0)</f>
        <v>0</v>
      </c>
      <c r="AA38" s="7">
        <f>IF(Cracow_result[[#This Row],[All Around]]="Yes",SUM(I38,L38,O38,R38,U38,X38),0)</f>
        <v>0</v>
      </c>
      <c r="AB38" s="7">
        <v>21.85</v>
      </c>
    </row>
    <row r="39" spans="1:28" x14ac:dyDescent="0.25">
      <c r="A39" s="2">
        <v>23</v>
      </c>
      <c r="B39" t="s">
        <v>108</v>
      </c>
      <c r="C39" s="2" t="s">
        <v>60</v>
      </c>
      <c r="D39" s="2">
        <v>2000</v>
      </c>
      <c r="E39" s="2" t="s">
        <v>109</v>
      </c>
      <c r="F39" t="s">
        <v>62</v>
      </c>
      <c r="G39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39" s="4">
        <v>3.5</v>
      </c>
      <c r="I39" s="7">
        <v>7.45</v>
      </c>
      <c r="J39" s="7">
        <v>10.95</v>
      </c>
      <c r="K39" s="4">
        <v>0</v>
      </c>
      <c r="L39" s="7">
        <v>0</v>
      </c>
      <c r="M39" s="7">
        <v>0</v>
      </c>
      <c r="N39" s="4">
        <v>2.9</v>
      </c>
      <c r="O39" s="7">
        <v>5.75</v>
      </c>
      <c r="P39" s="7">
        <v>8.65</v>
      </c>
      <c r="Q39" s="4">
        <v>0</v>
      </c>
      <c r="R39" s="7">
        <v>0</v>
      </c>
      <c r="S39" s="7">
        <v>0</v>
      </c>
      <c r="T39" s="4">
        <v>0</v>
      </c>
      <c r="U39" s="7">
        <v>0</v>
      </c>
      <c r="V39" s="7">
        <v>0</v>
      </c>
      <c r="W39" s="4">
        <v>0</v>
      </c>
      <c r="X39" s="7">
        <v>0</v>
      </c>
      <c r="Y39" s="7">
        <v>0</v>
      </c>
      <c r="Z39" s="4">
        <f>IF(Cracow_result[[#This Row],[All Around]]="Yes",SUM(H39,K39,N39,Q39,T39,W39),0)</f>
        <v>0</v>
      </c>
      <c r="AA39" s="7">
        <f>IF(Cracow_result[[#This Row],[All Around]]="Yes",SUM(I39,L39,O39,R39,U39,X39),0)</f>
        <v>0</v>
      </c>
      <c r="AB39" s="7">
        <v>19.600000000000001</v>
      </c>
    </row>
    <row r="40" spans="1:28" x14ac:dyDescent="0.25">
      <c r="A40" s="2">
        <v>24</v>
      </c>
      <c r="B40" t="s">
        <v>110</v>
      </c>
      <c r="C40" s="2" t="s">
        <v>60</v>
      </c>
      <c r="D40" s="2">
        <v>2004</v>
      </c>
      <c r="E40" s="2" t="s">
        <v>111</v>
      </c>
      <c r="F40" t="s">
        <v>36</v>
      </c>
      <c r="G40" s="2" t="str">
        <f>IF((COUNTIF(Cracow_result[[#This Row],[FX_total_score]],"&gt;0")+COUNTIF(Cracow_result[[#This Row],[PH_Total_Score]],"&gt;0")+COUNTIF(Cracow_result[[#This Row],[SR_Total_Score]],"&gt;0")+COUNTIF(Cracow_result[[#This Row],[VT_total_score]],"&gt;0")+COUNTIF(Cracow_result[[#This Row],[PB_total_score]],"&gt;0")+COUNTIF(Cracow_result[[#This Row],[HB_total_score]],"&gt;0"))=6,"Yes","No")</f>
        <v>No</v>
      </c>
      <c r="H40" s="4">
        <v>0</v>
      </c>
      <c r="I40" s="7">
        <v>0</v>
      </c>
      <c r="J40" s="7">
        <v>0</v>
      </c>
      <c r="K40" s="4">
        <v>3.5</v>
      </c>
      <c r="L40" s="7">
        <v>5.6</v>
      </c>
      <c r="M40" s="7">
        <v>9.1</v>
      </c>
      <c r="N40" s="4">
        <v>0</v>
      </c>
      <c r="O40" s="7">
        <v>0</v>
      </c>
      <c r="P40" s="7">
        <v>0</v>
      </c>
      <c r="Q40" s="4">
        <v>0</v>
      </c>
      <c r="R40" s="7">
        <v>0</v>
      </c>
      <c r="S40" s="7">
        <v>0</v>
      </c>
      <c r="T40" s="4">
        <v>0</v>
      </c>
      <c r="U40" s="7">
        <v>0</v>
      </c>
      <c r="V40" s="7">
        <v>0</v>
      </c>
      <c r="W40" s="4">
        <v>0</v>
      </c>
      <c r="X40" s="7">
        <v>0</v>
      </c>
      <c r="Y40" s="7">
        <v>0</v>
      </c>
      <c r="Z40" s="4">
        <f>IF(Cracow_result[[#This Row],[All Around]]="Yes",SUM(H40,K40,N40,Q40,T40,W40),0)</f>
        <v>0</v>
      </c>
      <c r="AA40" s="7">
        <f>IF(Cracow_result[[#This Row],[All Around]]="Yes",SUM(I40,L40,O40,R40,U40,X40),0)</f>
        <v>0</v>
      </c>
      <c r="AB40" s="7">
        <v>9.1</v>
      </c>
    </row>
    <row r="44" spans="1:28" ht="27.75" customHeight="1" x14ac:dyDescent="0.25">
      <c r="A44" s="15" t="s">
        <v>249</v>
      </c>
      <c r="B44" s="15"/>
      <c r="C44" s="15"/>
      <c r="D44" s="15"/>
      <c r="E44" s="15"/>
      <c r="F44" s="15"/>
      <c r="G44" s="15"/>
      <c r="H44" s="15"/>
      <c r="I44" s="15"/>
      <c r="J44" s="14"/>
      <c r="K44" s="15" t="s">
        <v>250</v>
      </c>
      <c r="L44" s="15"/>
      <c r="M44" s="15"/>
      <c r="N44" s="15"/>
      <c r="O44" s="15"/>
      <c r="P44" s="15"/>
      <c r="Q44" s="15"/>
      <c r="R44" s="15"/>
      <c r="S44" s="15"/>
      <c r="T44" s="14"/>
      <c r="U44" s="14"/>
    </row>
    <row r="45" spans="1:28" ht="31.5" customHeight="1" x14ac:dyDescent="0.25">
      <c r="A45" s="10" t="s">
        <v>217</v>
      </c>
      <c r="B45" s="10" t="s">
        <v>244</v>
      </c>
      <c r="C45" s="10" t="s">
        <v>251</v>
      </c>
      <c r="D45" s="10" t="s">
        <v>245</v>
      </c>
      <c r="E45" s="10" t="s">
        <v>252</v>
      </c>
      <c r="F45" s="10" t="s">
        <v>246</v>
      </c>
      <c r="G45" s="10" t="s">
        <v>253</v>
      </c>
      <c r="H45" s="10" t="s">
        <v>254</v>
      </c>
      <c r="I45" s="10" t="s">
        <v>255</v>
      </c>
      <c r="K45" s="10" t="s">
        <v>217</v>
      </c>
      <c r="L45" s="10" t="s">
        <v>244</v>
      </c>
      <c r="M45" s="10" t="s">
        <v>251</v>
      </c>
      <c r="N45" s="10" t="s">
        <v>245</v>
      </c>
      <c r="O45" s="10" t="s">
        <v>252</v>
      </c>
      <c r="P45" s="10" t="s">
        <v>246</v>
      </c>
      <c r="Q45" s="10" t="s">
        <v>253</v>
      </c>
      <c r="R45" s="10" t="s">
        <v>254</v>
      </c>
      <c r="S45" s="10" t="s">
        <v>255</v>
      </c>
    </row>
    <row r="46" spans="1:28" ht="47.25" customHeight="1" x14ac:dyDescent="0.25">
      <c r="A46" s="10" t="s">
        <v>218</v>
      </c>
      <c r="B46" s="11">
        <f>AVERAGEIFS(Cracow_result[FX_Dscore],Cracow_result[[Category]:[Category]],"junior",Cracow_result[FX_Dscore],"&lt;&gt;0")</f>
        <v>3.4923076923076923</v>
      </c>
      <c r="C46" s="11" cm="1">
        <f t="array" ref="C46">_xlfn.STDEV.S(_xlfn._xlws.FILTER(Cracow_result[FX_Dscore],(Cracow_result[Category]="junior")*(Cracow_result[FX_Dscore]&gt;0)))</f>
        <v>0.42712515430011744</v>
      </c>
      <c r="D46" s="12">
        <f>AVERAGEIFS(Cracow_result[FX_Escore],Cracow_result[[Category]:[Category]],"junior",Cracow_result[FX_Escore],"&lt;&gt;0")</f>
        <v>7.7884615384615374</v>
      </c>
      <c r="E46" s="12" cm="1">
        <f t="array" ref="E46">_xlfn.STDEV.S(_xlfn._xlws.FILTER(Cracow_result[FX_Escore],(Cracow_result[Category]="junior")*(Cracow_result[FX_Escore]&gt;0)))</f>
        <v>0.41339743092747433</v>
      </c>
      <c r="F46" s="12">
        <f>AVERAGEIFS(Cracow_result[FX_total_score],Cracow_result[[Category]:[Category]],"junior",Cracow_result[FX_total_score],"&lt;&gt;0")</f>
        <v>11.280769230769231</v>
      </c>
      <c r="G46" s="12" cm="1">
        <f t="array" ref="G46">_xlfn.STDEV.S(_xlfn._xlws.FILTER(Cracow_result[FX_total_score],(Cracow_result[Category]="junior")*(Cracow_result[FX_total_score]&gt;0)))</f>
        <v>0.6656883847875259</v>
      </c>
      <c r="H46" s="12" cm="1">
        <f t="array" ref="H46">MAX(_xlfn._xlws.FILTER(Cracow_result[FX_total_score],Cracow_result[Category]="junior"))</f>
        <v>12.5</v>
      </c>
      <c r="I46" s="10" t="str" cm="1">
        <f t="array" ref="I46">_xlfn.XLOOKUP(H46,_xlfn._xlws.FILTER(Cracow_result[FX_total_score],Cracow_result[Category]="junior"),_xlfn._xlws.FILTER(Cracow_result[Name],Cracow_result[Category]="junior"),0)</f>
        <v>KWIATKOWSKI Michał</v>
      </c>
      <c r="K46" s="10" t="s">
        <v>218</v>
      </c>
      <c r="L46" s="11">
        <f>AVERAGEIFS(Cracow_result[FX_Dscore],Cracow_result[[Category]:[Category]],"senior",Cracow_result[FX_Dscore],"&lt;&gt;0")</f>
        <v>4.3350000000000009</v>
      </c>
      <c r="M46" s="11" cm="1">
        <f t="array" ref="M46">_xlfn.STDEV.S(_xlfn._xlws.FILTER(Cracow_result[FX_Dscore],(Cracow_result[Category]="senior")*(Cracow_result[FX_Dscore]&gt;0)))</f>
        <v>0.60111738060311626</v>
      </c>
      <c r="N46" s="12">
        <f>AVERAGEIFS(Cracow_result[FX_Escore],Cracow_result[[Category]:[Category]],"senior",Cracow_result[FX_Escore],"&lt;&gt;0")</f>
        <v>7.7</v>
      </c>
      <c r="O46" s="12" cm="1">
        <f t="array" ref="O46">_xlfn.STDEV.S(_xlfn._xlws.FILTER(Cracow_result[FX_Escore],(Cracow_result[Category]="senior")*(Cracow_result[FX_Escore]&gt;0)))</f>
        <v>0.45739537198772529</v>
      </c>
      <c r="P46" s="12">
        <f>AVERAGEIFS(Cracow_result[FX_total_score],Cracow_result[[Category]:[Category]],"senior",Cracow_result[FX_total_score],"&lt;&gt;0")</f>
        <v>12.035</v>
      </c>
      <c r="Q46" s="12" cm="1">
        <f t="array" ref="Q46">_xlfn.STDEV.S(_xlfn._xlws.FILTER(Cracow_result[FX_total_score],(Cracow_result[Category]="senior")*(Cracow_result[FX_total_score]&gt;0)))</f>
        <v>0.75951854556201037</v>
      </c>
      <c r="R46" s="12" cm="1">
        <f t="array" ref="R46">MAX(_xlfn._xlws.FILTER(Cracow_result[FX_total_score],Cracow_result[Category]="senior"))</f>
        <v>13.65</v>
      </c>
      <c r="S46" s="10" t="str" cm="1">
        <f t="array" ref="S46">_xlfn.XLOOKUP(R46,_xlfn._xlws.FILTER(Cracow_result[FX_total_score],Cracow_result[Category]="senior"),_xlfn._xlws.FILTER(Cracow_result[Name],Cracow_result[Category]="senior"),0)</f>
        <v>GAWROŃSKI Sebastian</v>
      </c>
    </row>
    <row r="47" spans="1:28" ht="47.25" customHeight="1" x14ac:dyDescent="0.25">
      <c r="A47" s="10" t="s">
        <v>238</v>
      </c>
      <c r="B47" s="11">
        <f>AVERAGEIFS(Cracow_result[PH_Dscore],Cracow_result[[Category]:[Category]],"junior",Cracow_result[PH_Dscore],"&lt;&gt;0")</f>
        <v>2.8750000000000004</v>
      </c>
      <c r="C47" s="11" cm="1">
        <f t="array" ref="C47">_xlfn.STDEV.S(_xlfn._xlws.FILTER(Cracow_result[PH_Dscore],(Cracow_result[Category]="junior")*(Cracow_result[PH_Dscore]&gt;0)))</f>
        <v>0.59867277448460032</v>
      </c>
      <c r="D47" s="12">
        <f>AVERAGEIFS(Cracow_result[PH_Escore],Cracow_result[[Category]:[Category]],"junior",Cracow_result[PH_Escore],"&lt;&gt;0")</f>
        <v>6.762500000000002</v>
      </c>
      <c r="E47" s="12" cm="1">
        <f t="array" ref="E47">_xlfn.STDEV.S(_xlfn._xlws.FILTER(Cracow_result[PH_Escore],(Cracow_result[Category]="junior")*(Cracow_result[PH_Escore]&gt;0)))</f>
        <v>1.7350825235810414</v>
      </c>
      <c r="F47" s="12">
        <f>AVERAGEIFS(Cracow_result[PH_Total_Score],Cracow_result[[Category]:[Category]],"junior",Cracow_result[PH_Total_Score],"&lt;&gt;0")</f>
        <v>9.6375000000000011</v>
      </c>
      <c r="G47" s="12" cm="1">
        <f t="array" ref="G47">_xlfn.STDEV.S(_xlfn._xlws.FILTER(Cracow_result[PH_Total_Score],(Cracow_result[Category]="junior")*(Cracow_result[PH_Total_Score]&gt;0)))</f>
        <v>2.2044505602819169</v>
      </c>
      <c r="H47" s="12" cm="1">
        <f t="array" ref="H47">MAX(_xlfn._xlws.FILTER(Cracow_result[PH_Total_Score],Cracow_result[Category]="junior"))</f>
        <v>12.35</v>
      </c>
      <c r="I47" s="10" t="str" cm="1">
        <f t="array" ref="I47">_xlfn.XLOOKUP(H47,_xlfn._xlws.FILTER(Cracow_result[PH_Total_Score],Cracow_result[Category]="junior"),_xlfn._xlws.FILTER(Cracow_result[Name],Cracow_result[Category]="junior"),0)</f>
        <v>LEKHAC Tomasz</v>
      </c>
      <c r="K47" s="10" t="s">
        <v>238</v>
      </c>
      <c r="L47" s="11">
        <f>AVERAGEIFS(Cracow_result[PH_Dscore],Cracow_result[[Category]:[Category]],"senior",Cracow_result[PH_Dscore],"&lt;&gt;0")</f>
        <v>3.9055555555555563</v>
      </c>
      <c r="M47" s="11" cm="1">
        <f t="array" ref="M47">_xlfn.STDEV.S(_xlfn._xlws.FILTER(Cracow_result[PH_Dscore],(Cracow_result[Category]="senior")*(Cracow_result[PH_Dscore]&gt;0)))</f>
        <v>0.61879600574989169</v>
      </c>
      <c r="N47" s="12">
        <f>AVERAGEIFS(Cracow_result[PH_Escore],Cracow_result[[Category]:[Category]],"senior",Cracow_result[PH_Escore],"&lt;&gt;0")</f>
        <v>6.68611111111111</v>
      </c>
      <c r="O47" s="12" cm="1">
        <f t="array" ref="O47">_xlfn.STDEV.S(_xlfn._xlws.FILTER(Cracow_result[PH_Escore],(Cracow_result[Category]="senior")*(Cracow_result[PH_Escore]&gt;0)))</f>
        <v>1.6041128715196997</v>
      </c>
      <c r="P47" s="12">
        <f>AVERAGEIFS(Cracow_result[PH_Total_Score],Cracow_result[[Category]:[Category]],"senior",Cracow_result[PH_Total_Score],"&lt;&gt;0")</f>
        <v>10.591666666666667</v>
      </c>
      <c r="Q47" s="12" cm="1">
        <f t="array" ref="Q47">_xlfn.STDEV.S(_xlfn._xlws.FILTER(Cracow_result[PH_Total_Score],(Cracow_result[Category]="senior")*(Cracow_result[PH_Total_Score]&gt;0)))</f>
        <v>2.0444508826980194</v>
      </c>
      <c r="R47" s="12" cm="1">
        <f t="array" ref="R47">MAX(_xlfn._xlws.FILTER(Cracow_result[PH_Total_Score],Cracow_result[Category]="senior"))</f>
        <v>12.9</v>
      </c>
      <c r="S47" s="10" t="str" cm="1">
        <f t="array" ref="S47">_xlfn.XLOOKUP(R47,_xlfn._xlws.FILTER(Cracow_result[PH_Total_Score],Cracow_result[Category]="senior"),_xlfn._xlws.FILTER(Cracow_result[Name],Cracow_result[Category]="senior"),0)</f>
        <v>GARNCZAREK Kacper</v>
      </c>
    </row>
    <row r="48" spans="1:28" ht="47.25" customHeight="1" x14ac:dyDescent="0.25">
      <c r="A48" s="10" t="s">
        <v>239</v>
      </c>
      <c r="B48" s="11">
        <f>AVERAGEIFS(Cracow_result[SR_Dscore],Cracow_result[[Category]:[Category]],"junior",Cracow_result[SR_Dscore],"&lt;&gt;0")</f>
        <v>2.6153846153846154</v>
      </c>
      <c r="C48" s="11" cm="1">
        <f t="array" ref="C48">_xlfn.STDEV.S(_xlfn._xlws.FILTER(Cracow_result[SR_Dscore],(Cracow_result[Category]="junior")*(Cracow_result[SR_Dscore]&gt;0)))</f>
        <v>0.69981682585058547</v>
      </c>
      <c r="D48" s="12">
        <f>AVERAGEIFS(Cracow_result[SR_Escore],Cracow_result[[Category]:[Category]],"junior",Cracow_result[SR_Escore],"&lt;&gt;0")</f>
        <v>7.4307692307692301</v>
      </c>
      <c r="E48" s="12" cm="1">
        <f t="array" ref="E48">_xlfn.STDEV.S(_xlfn._xlws.FILTER(Cracow_result[SR_Escore],(Cracow_result[Category]="junior")*(Cracow_result[SR_Escore]&gt;0)))</f>
        <v>0.59635645853887231</v>
      </c>
      <c r="F48" s="12">
        <f>AVERAGEIFS(Cracow_result[SR_Total_Score],Cracow_result[[Category]:[Category]],"junior",Cracow_result[SR_Total_Score],"&lt;&gt;0")</f>
        <v>10.046153846153848</v>
      </c>
      <c r="G48" s="12" cm="1">
        <f t="array" ref="G48">_xlfn.STDEV.S(_xlfn._xlws.FILTER(Cracow_result[SR_Total_Score],(Cracow_result[Category]="junior")*(Cracow_result[SR_Total_Score]&gt;0)))</f>
        <v>1.0235684186669241</v>
      </c>
      <c r="H48" s="12" cm="1">
        <f t="array" ref="H48">MAX(_xlfn._xlws.FILTER(Cracow_result[SR_Total_Score],Cracow_result[Category]="junior"))</f>
        <v>11.5</v>
      </c>
      <c r="I48" s="10" t="str" cm="1">
        <f t="array" ref="I48">_xlfn.XLOOKUP(H48,_xlfn._xlws.FILTER(Cracow_result[SR_Total_Score],Cracow_result[Category]="junior"),_xlfn._xlws.FILTER(Cracow_result[Name],Cracow_result[Category]="junior"),0)</f>
        <v>AZUMI Vincent</v>
      </c>
      <c r="K48" s="10" t="s">
        <v>239</v>
      </c>
      <c r="L48" s="11">
        <f>AVERAGEIFS(Cracow_result[SR_Dscore],Cracow_result[[Category]:[Category]],"senior",Cracow_result[SR_Dscore],"&lt;&gt;0")</f>
        <v>3.6833333333333331</v>
      </c>
      <c r="M48" s="11" cm="1">
        <f t="array" ref="M48">_xlfn.STDEV.S(_xlfn._xlws.FILTER(Cracow_result[SR_Dscore],(Cracow_result[Category]="senior")*(Cracow_result[SR_Dscore]&gt;0)))</f>
        <v>0.6410010553354617</v>
      </c>
      <c r="N48" s="12">
        <f>AVERAGEIFS(Cracow_result[SR_Escore],Cracow_result[[Category]:[Category]],"senior",Cracow_result[SR_Escore],"&lt;&gt;0")</f>
        <v>7.5611111111111109</v>
      </c>
      <c r="O48" s="12" cm="1">
        <f t="array" ref="O48">_xlfn.STDEV.S(_xlfn._xlws.FILTER(Cracow_result[SR_Escore],(Cracow_result[Category]="senior")*(Cracow_result[SR_Escore]&gt;0)))</f>
        <v>0.83587846632002305</v>
      </c>
      <c r="P48" s="12">
        <f>AVERAGEIFS(Cracow_result[SR_Total_Score],Cracow_result[[Category]:[Category]],"senior",Cracow_result[SR_Total_Score],"&lt;&gt;0")</f>
        <v>11.244444444444445</v>
      </c>
      <c r="Q48" s="12" cm="1">
        <f t="array" ref="Q48">_xlfn.STDEV.S(_xlfn._xlws.FILTER(Cracow_result[SR_Total_Score],(Cracow_result[Category]="senior")*(Cracow_result[SR_Total_Score]&gt;0)))</f>
        <v>1.3940935162413337</v>
      </c>
      <c r="R48" s="12" cm="1">
        <f t="array" ref="R48">MAX(_xlfn._xlws.FILTER(Cracow_result[SR_Total_Score],Cracow_result[Category]="senior"))</f>
        <v>13.1</v>
      </c>
      <c r="S48" s="10" t="str" cm="1">
        <f t="array" ref="S48">_xlfn.XLOOKUP(R48,_xlfn._xlws.FILTER(Cracow_result[SR_Total_Score],Cracow_result[Category]="senior"),_xlfn._xlws.FILTER(Cracow_result[Name],Cracow_result[Category]="senior"),0)</f>
        <v>GAWROŃSKI Sebastian</v>
      </c>
    </row>
    <row r="49" spans="1:19" ht="47.25" customHeight="1" x14ac:dyDescent="0.25">
      <c r="A49" s="10" t="s">
        <v>240</v>
      </c>
      <c r="B49" s="11">
        <f>AVERAGEIFS(Cracow_result[VT_Dscore],Cracow_result[[Category]:[Category]],"junior",Cracow_result[VT_Dscore],"&lt;&gt;0")</f>
        <v>2.5428571428571431</v>
      </c>
      <c r="C49" s="11" cm="1">
        <f t="array" ref="C49">_xlfn.STDEV.S(_xlfn._xlws.FILTER(Cracow_result[VT_Dscore],(Cracow_result[Category]="junior")*(Cracow_result[VT_Dscore]&gt;0)))</f>
        <v>0.70788339512867626</v>
      </c>
      <c r="D49" s="12">
        <f>AVERAGEIFS(Cracow_result[VT_Escore],Cracow_result[[Category]:[Category]],"junior",Cracow_result[VT_Escore],"&lt;&gt;0")</f>
        <v>8.7785714285714285</v>
      </c>
      <c r="E49" s="12" cm="1">
        <f t="array" ref="E49">_xlfn.STDEV.S(_xlfn._xlws.FILTER(Cracow_result[VT_Escore],(Cracow_result[Category]="junior")*(Cracow_result[VT_Escore]&gt;0)))</f>
        <v>0.43532228808722212</v>
      </c>
      <c r="F49" s="12">
        <f>AVERAGEIFS(Cracow_result[VT_total_score],Cracow_result[[Category]:[Category]],"junior",Cracow_result[VT_total_score],"&lt;&gt;0")</f>
        <v>11.321428571428573</v>
      </c>
      <c r="G49" s="12" cm="1">
        <f t="array" ref="G49">_xlfn.STDEV.S(_xlfn._xlws.FILTER(Cracow_result[VT_total_score],(Cracow_result[Category]="junior")*(Cracow_result[VT_total_score]&gt;0)))</f>
        <v>0.75465587820243929</v>
      </c>
      <c r="H49" s="12" cm="1">
        <f t="array" ref="H49">MAX(_xlfn._xlws.FILTER(Cracow_result[VT_total_score],Cracow_result[Category]="junior"))</f>
        <v>12.8</v>
      </c>
      <c r="I49" s="10" t="str" cm="1">
        <f t="array" ref="I49">_xlfn.XLOOKUP(H49,_xlfn._xlws.FILTER(Cracow_result[VT_total_score],Cracow_result[Category]="junior"),_xlfn._xlws.FILTER(Cracow_result[Name],Cracow_result[Category]="junior"),0)</f>
        <v>KOPERSKI Filip</v>
      </c>
      <c r="K49" s="10" t="s">
        <v>240</v>
      </c>
      <c r="L49" s="11">
        <f>AVERAGEIFS(Cracow_result[VT_Dscore],Cracow_result[[Category]:[Category]],"senior",Cracow_result[VT_Dscore],"&lt;&gt;0")</f>
        <v>3.933333333333334</v>
      </c>
      <c r="M49" s="11" cm="1">
        <f t="array" ref="M49">_xlfn.STDEV.S(_xlfn._xlws.FILTER(Cracow_result[VT_Dscore],(Cracow_result[Category]="senior")*(Cracow_result[VT_Dscore]&gt;0)))</f>
        <v>0.76696498884736608</v>
      </c>
      <c r="N49" s="12">
        <f>AVERAGEIFS(Cracow_result[VT_Escore],Cracow_result[[Category]:[Category]],"senior",Cracow_result[VT_Escore],"&lt;&gt;0")</f>
        <v>8.8277777777777775</v>
      </c>
      <c r="O49" s="12" cm="1">
        <f t="array" ref="O49">_xlfn.STDEV.S(_xlfn._xlws.FILTER(Cracow_result[VT_Escore],(Cracow_result[Category]="senior")*(Cracow_result[VT_Escore]&gt;0)))</f>
        <v>0.62148357183867642</v>
      </c>
      <c r="P49" s="12">
        <f>AVERAGEIFS(Cracow_result[VT_total_score],Cracow_result[[Category]:[Category]],"senior",Cracow_result[VT_total_score],"&lt;&gt;0")</f>
        <v>12.761111111111111</v>
      </c>
      <c r="Q49" s="12" cm="1">
        <f t="array" ref="Q49">_xlfn.STDEV.S(_xlfn._xlws.FILTER(Cracow_result[VT_total_score],(Cracow_result[Category]="senior")*(Cracow_result[VT_total_score]&gt;0)))</f>
        <v>0.8272128176906075</v>
      </c>
      <c r="R49" s="12" cm="1">
        <f t="array" ref="R49">MAX(_xlfn._xlws.FILTER(Cracow_result[VT_total_score],Cracow_result[Category]="senior"))</f>
        <v>13.75</v>
      </c>
      <c r="S49" s="10" t="str" cm="1">
        <f t="array" ref="S49">_xlfn.XLOOKUP(R49,_xlfn._xlws.FILTER(Cracow_result[VT_total_score],Cracow_result[Category]="senior"),_xlfn._xlws.FILTER(Cracow_result[Name],Cracow_result[Category]="senior"),0)</f>
        <v>SZYMCZYK Radosław</v>
      </c>
    </row>
    <row r="50" spans="1:19" ht="31.5" customHeight="1" x14ac:dyDescent="0.25">
      <c r="A50" s="10" t="s">
        <v>241</v>
      </c>
      <c r="B50" s="11">
        <f>AVERAGEIFS(Cracow_result[PB_Dscore],Cracow_result[[Category]:[Category]],"junior",Cracow_result[PB_Dscore],"&lt;&gt;0")</f>
        <v>3.0500000000000003</v>
      </c>
      <c r="C50" s="11" cm="1">
        <f t="array" ref="C50">_xlfn.STDEV.S(_xlfn._xlws.FILTER(Cracow_result[PB_Dscore],(Cracow_result[Category]="junior")*(Cracow_result[PB_Dscore]&gt;0)))</f>
        <v>0.53851648071345026</v>
      </c>
      <c r="D50" s="12">
        <f>AVERAGEIFS(Cracow_result[PB_Escore],Cracow_result[[Category]:[Category]],"junior",Cracow_result[PB_Escore],"&lt;&gt;0")</f>
        <v>8.2083333333333321</v>
      </c>
      <c r="E50" s="12" cm="1">
        <f t="array" ref="E50">_xlfn.STDEV.S(_xlfn._xlws.FILTER(Cracow_result[PB_Escore],(Cracow_result[Category]="junior")*(Cracow_result[PB_Escore]&gt;0)))</f>
        <v>0.63562186204940407</v>
      </c>
      <c r="F50" s="12">
        <f>AVERAGEIFS(Cracow_result[PB_total_score],Cracow_result[[Category]:[Category]],"junior",Cracow_result[PB_total_score],"&lt;&gt;0")</f>
        <v>11.258333333333335</v>
      </c>
      <c r="G50" s="12" cm="1">
        <f t="array" ref="G50">_xlfn.STDEV.S(_xlfn._xlws.FILTER(Cracow_result[PB_total_score],(Cracow_result[Category]="junior")*(Cracow_result[PB_total_score]&gt;0)))</f>
        <v>0.87926449979858778</v>
      </c>
      <c r="H50" s="12" cm="1">
        <f t="array" ref="H50">MAX(_xlfn._xlws.FILTER(Cracow_result[PB_total_score],Cracow_result[Category]="junior"))</f>
        <v>12.8</v>
      </c>
      <c r="I50" s="10" t="str" cm="1">
        <f t="array" ref="I50">_xlfn.XLOOKUP(H50,_xlfn._xlws.FILTER(Cracow_result[PB_total_score],Cracow_result[Category]="junior"),_xlfn._xlws.FILTER(Cracow_result[Name],Cracow_result[Category]="junior"),0)</f>
        <v>LEKHAC Tomasz</v>
      </c>
      <c r="K50" s="10" t="s">
        <v>241</v>
      </c>
      <c r="L50" s="11">
        <f>AVERAGEIFS(Cracow_result[PB_Dscore],Cracow_result[[Category]:[Category]],"senior",Cracow_result[PB_Dscore],"&lt;&gt;0")</f>
        <v>3.6000000000000005</v>
      </c>
      <c r="M50" s="11" cm="1">
        <f t="array" ref="M50">_xlfn.STDEV.S(_xlfn._xlws.FILTER(Cracow_result[PB_Dscore],(Cracow_result[Category]="senior")*(Cracow_result[PB_Dscore]&gt;0)))</f>
        <v>0.74280866034420168</v>
      </c>
      <c r="N50" s="12">
        <f>AVERAGEIFS(Cracow_result[PB_Escore],Cracow_result[[Category]:[Category]],"senior",Cracow_result[PB_Escore],"&lt;&gt;0")</f>
        <v>7.9361111111111109</v>
      </c>
      <c r="O50" s="12" cm="1">
        <f t="array" ref="O50">_xlfn.STDEV.S(_xlfn._xlws.FILTER(Cracow_result[PB_Escore],(Cracow_result[Category]="senior")*(Cracow_result[PB_Escore]&gt;0)))</f>
        <v>0.87696092131653669</v>
      </c>
      <c r="P50" s="12">
        <f>AVERAGEIFS(Cracow_result[PB_total_score],Cracow_result[[Category]:[Category]],"senior",Cracow_result[PB_total_score],"&lt;&gt;0")</f>
        <v>11.53611111111111</v>
      </c>
      <c r="Q50" s="12" cm="1">
        <f t="array" ref="Q50">_xlfn.STDEV.S(_xlfn._xlws.FILTER(Cracow_result[PB_total_score],(Cracow_result[Category]="senior")*(Cracow_result[PB_total_score]&gt;0)))</f>
        <v>0.91181873126889135</v>
      </c>
      <c r="R50" s="12" cm="1">
        <f t="array" ref="R50">MAX(_xlfn._xlws.FILTER(Cracow_result[PB_total_score],Cracow_result[Category]="senior"))</f>
        <v>13</v>
      </c>
      <c r="S50" s="10" t="str" cm="1">
        <f t="array" ref="S50">_xlfn.XLOOKUP(R50,_xlfn._xlws.FILTER(Cracow_result[PB_total_score],Cracow_result[Category]="senior"),_xlfn._xlws.FILTER(Cracow_result[Name],Cracow_result[Category]="senior"),0)</f>
        <v>SASNAL Filip</v>
      </c>
    </row>
    <row r="51" spans="1:19" ht="31.5" customHeight="1" x14ac:dyDescent="0.25">
      <c r="A51" s="10" t="s">
        <v>242</v>
      </c>
      <c r="B51" s="11">
        <f>AVERAGEIFS(Cracow_result[HB_Dscore],Cracow_result[[Category]:[Category]],"junior",Cracow_result[HB_Dscore],"&lt;&gt;0")</f>
        <v>2.4750000000000001</v>
      </c>
      <c r="C51" s="11" cm="1">
        <f t="array" ref="C51">_xlfn.STDEV.S(_xlfn._xlws.FILTER(Cracow_result[HB_Dscore],(Cracow_result[Category]="junior")*(Cracow_result[HB_Dscore]&gt;0)))</f>
        <v>0.57227615711298141</v>
      </c>
      <c r="D51" s="12">
        <f>AVERAGEIFS(Cracow_result[HB_Escore],Cracow_result[[Category]:[Category]],"junior",Cracow_result[HB_Escore],"&lt;&gt;0")</f>
        <v>7.9541666666666648</v>
      </c>
      <c r="E51" s="12" cm="1">
        <f t="array" ref="E51">_xlfn.STDEV.S(_xlfn._xlws.FILTER(Cracow_result[HB_Escore],(Cracow_result[Category]="junior")*(Cracow_result[HB_Escore]&gt;0)))</f>
        <v>1.2787526474394362</v>
      </c>
      <c r="F51" s="12">
        <f>AVERAGEIFS(Cracow_result[HB_total_score],Cracow_result[[Category]:[Category]],"junior",Cracow_result[HB_total_score],"&lt;&gt;0")</f>
        <v>10.429166666666665</v>
      </c>
      <c r="G51" s="12" cm="1">
        <f t="array" ref="G51">_xlfn.STDEV.S(_xlfn._xlws.FILTER(Cracow_result[HB_total_score],(Cracow_result[Category]="junior")*(Cracow_result[HB_total_score]&gt;0)))</f>
        <v>1.2993806799837939</v>
      </c>
      <c r="H51" s="12" cm="1">
        <f t="array" ref="H51">MAX(_xlfn._xlws.FILTER(Cracow_result[HB_total_score],Cracow_result[Category]="junior"))</f>
        <v>12.15</v>
      </c>
      <c r="I51" s="10" t="str" cm="1">
        <f t="array" ref="I51">_xlfn.XLOOKUP(H51,_xlfn._xlws.FILTER(Cracow_result[HB_total_score],Cracow_result[Category]="junior"),_xlfn._xlws.FILTER(Cracow_result[Name],Cracow_result[Category]="junior"),0)</f>
        <v>LEKHAC Tomasz</v>
      </c>
      <c r="K51" s="10" t="s">
        <v>242</v>
      </c>
      <c r="L51" s="11">
        <f>AVERAGEIFS(Cracow_result[HB_Dscore],Cracow_result[[Category]:[Category]],"senior",Cracow_result[HB_Dscore],"&lt;&gt;0")</f>
        <v>3.3266666666666671</v>
      </c>
      <c r="M51" s="11" cm="1">
        <f t="array" ref="M51">_xlfn.STDEV.S(_xlfn._xlws.FILTER(Cracow_result[HB_Dscore],(Cracow_result[Category]="senior")*(Cracow_result[HB_Dscore]&gt;0)))</f>
        <v>0.85311753223663156</v>
      </c>
      <c r="N51" s="12">
        <f>AVERAGEIFS(Cracow_result[HB_Escore],Cracow_result[[Category]:[Category]],"senior",Cracow_result[HB_Escore],"&lt;&gt;0")</f>
        <v>7.8866666666666676</v>
      </c>
      <c r="O51" s="12" cm="1">
        <f t="array" ref="O51">_xlfn.STDEV.S(_xlfn._xlws.FILTER(Cracow_result[HB_Escore],(Cracow_result[Category]="senior")*(Cracow_result[HB_Escore]&gt;0)))</f>
        <v>0.63792819419773328</v>
      </c>
      <c r="P51" s="12">
        <f>AVERAGEIFS(Cracow_result[HB_total_score],Cracow_result[[Category]:[Category]],"senior",Cracow_result[HB_total_score],"&lt;&gt;0")</f>
        <v>11.213333333333335</v>
      </c>
      <c r="Q51" s="12" cm="1">
        <f t="array" ref="Q51">_xlfn.STDEV.S(_xlfn._xlws.FILTER(Cracow_result[HB_total_score],(Cracow_result[Category]="senior")*(Cracow_result[HB_total_score]&gt;0)))</f>
        <v>1.0052481333102838</v>
      </c>
      <c r="R51" s="12" cm="1">
        <f t="array" ref="R51">MAX(_xlfn._xlws.FILTER(Cracow_result[HB_total_score],Cracow_result[Category]="senior"))</f>
        <v>12.8</v>
      </c>
      <c r="S51" s="10" t="str" cm="1">
        <f t="array" ref="S51">_xlfn.XLOOKUP(R51,_xlfn._xlws.FILTER(Cracow_result[HB_total_score],Cracow_result[Category]="senior"),_xlfn._xlws.FILTER(Cracow_result[Name],Cracow_result[Category]="senior"),0)</f>
        <v>SASNAL Filip</v>
      </c>
    </row>
    <row r="52" spans="1:19" ht="31.5" customHeight="1" x14ac:dyDescent="0.25">
      <c r="A52" s="10" t="s">
        <v>243</v>
      </c>
      <c r="B52" s="11">
        <f>AVERAGEIFS(Cracow_result[AA_Dscore],Cracow_result[[Category]:[Category]],"junior",Cracow_result[AA_Dscore],"&lt;&gt;0",Cracow_result[All Around],"Yes")</f>
        <v>17.966666666666665</v>
      </c>
      <c r="C52" s="11" cm="1">
        <f t="array" ref="C52">_xlfn.STDEV.S(_xlfn._xlws.FILTER(Cracow_result[AA_Dscore],(Cracow_result[Category]="junior")*(Cracow_result[All Around]="Yes")))</f>
        <v>2.3785499784532651</v>
      </c>
      <c r="D52" s="12">
        <f>AVERAGEIFS(Cracow_result[AA_Escore],Cracow_result[[Category]:[Category]],"junior",Cracow_result[AA_Escore],"&lt;&gt;0",Cracow_result[All Around],"yes")</f>
        <v>47.094444444444441</v>
      </c>
      <c r="E52" s="12" cm="1">
        <f t="array" ref="E52">_xlfn.STDEV.S(_xlfn._xlws.FILTER(Cracow_result[AA_Escore],(Cracow_result[Category]="junior")*(Cracow_result[All Around]="Yes")))</f>
        <v>2.9596710590499353</v>
      </c>
      <c r="F52" s="12">
        <f>AVERAGEIFS(Cracow_result[Total_Score],Cracow_result[[Category]:[Category]],"junior",Cracow_result[Total_Score],"&lt;&gt;0",Cracow_result[All Around],"yes")</f>
        <v>65.061111111111103</v>
      </c>
      <c r="G52" s="12" cm="1">
        <f t="array" ref="G52">_xlfn.STDEV.S(_xlfn._xlws.FILTER(Cracow_result[Total_Score],(Cracow_result[Category]="junior")*(Cracow_result[All Around]="Yes")))</f>
        <v>4.9550969830176985</v>
      </c>
      <c r="H52" s="12" cm="1">
        <f t="array" ref="H52">MAX(_xlfn._xlws.FILTER(Cracow_result[Total_Score],Cracow_result[Category]="junior"))</f>
        <v>72.2</v>
      </c>
      <c r="I52" s="10" t="str" cm="1">
        <f t="array" ref="I52">_xlfn.XLOOKUP(H52,_xlfn._xlws.FILTER(Cracow_result[Total_Score],Cracow_result[Category]="junior"),_xlfn._xlws.FILTER(Cracow_result[Name],Cracow_result[Category]="junior"),0)</f>
        <v>LEKHAC Tomasz</v>
      </c>
      <c r="K52" s="10" t="s">
        <v>243</v>
      </c>
      <c r="L52" s="11">
        <f>AVERAGEIFS(Cracow_result[AA_Dscore],Cracow_result[[Category]:[Category]],"senior",Cracow_result[AA_Dscore],"&lt;&gt;0",Cracow_result[All Around],"Yes")</f>
        <v>23.790909090909089</v>
      </c>
      <c r="M52" s="11" cm="1">
        <f t="array" ref="M52">_xlfn.STDEV.S(_xlfn._xlws.FILTER(Cracow_result[AA_Dscore],(Cracow_result[Category]="senior")*(Cracow_result[All Around]="Yes")))</f>
        <v>3.4697131136319093</v>
      </c>
      <c r="N52" s="12">
        <f>AVERAGEIFS(Cracow_result[AA_Escore],Cracow_result[[Category]:[Category]],"senior",Cracow_result[AA_Escore],"&lt;&gt;0",Cracow_result[All Around],"yes")</f>
        <v>47.340909090909093</v>
      </c>
      <c r="O52" s="12" cm="1">
        <f t="array" ref="O52">_xlfn.STDEV.S(_xlfn._xlws.FILTER(Cracow_result[AA_Escore],(Cracow_result[Category]="senior")*(Cracow_result[All Around]="Yes")))</f>
        <v>2.8313263836776366</v>
      </c>
      <c r="P52" s="12">
        <f>AVERAGEIFS(Cracow_result[Total_Score],Cracow_result[[Category]:[Category]],"senior",Cracow_result[Total_Score],"&lt;&gt;0",Cracow_result[All Around],"yes")</f>
        <v>71.13181818181819</v>
      </c>
      <c r="Q52" s="12" cm="1">
        <f t="array" ref="Q52">_xlfn.STDEV.S(_xlfn._xlws.FILTER(Cracow_result[Total_Score],(Cracow_result[Category]="senior")*(Cracow_result[All Around]="Yes")))</f>
        <v>4.1965624460546698</v>
      </c>
      <c r="R52" s="12" cm="1">
        <f t="array" ref="R52">MAX(_xlfn._xlws.FILTER(Cracow_result[Total_Score],Cracow_result[Category]="senior"))</f>
        <v>75.849999999999994</v>
      </c>
      <c r="S52" s="10" t="str" cm="1">
        <f t="array" ref="S52">_xlfn.XLOOKUP(R52,_xlfn._xlws.FILTER(Cracow_result[Total_Score],Cracow_result[Category]="senior"),_xlfn._xlws.FILTER(Cracow_result[Name],Cracow_result[Category]="senior"),0)</f>
        <v>SASNAL Filip</v>
      </c>
    </row>
    <row r="53" spans="1:19" x14ac:dyDescent="0.25">
      <c r="B53" s="13"/>
    </row>
    <row r="54" spans="1:19" x14ac:dyDescent="0.25">
      <c r="B54" s="13"/>
    </row>
    <row r="55" spans="1:19" x14ac:dyDescent="0.25">
      <c r="B55" s="13"/>
    </row>
    <row r="56" spans="1:19" x14ac:dyDescent="0.25">
      <c r="B56" s="13"/>
    </row>
    <row r="57" spans="1:19" x14ac:dyDescent="0.25">
      <c r="B57" s="13"/>
    </row>
    <row r="58" spans="1:19" x14ac:dyDescent="0.25">
      <c r="B58" s="13"/>
    </row>
    <row r="59" spans="1:19" x14ac:dyDescent="0.25">
      <c r="B59" s="13"/>
    </row>
    <row r="60" spans="1:19" x14ac:dyDescent="0.25">
      <c r="B60" s="13"/>
    </row>
  </sheetData>
  <mergeCells count="3">
    <mergeCell ref="B53:B60"/>
    <mergeCell ref="A44:I44"/>
    <mergeCell ref="K44:S44"/>
  </mergeCells>
  <phoneticPr fontId="1" type="noConversion"/>
  <conditionalFormatting sqref="G2:Y40 AB2:AB40">
    <cfRule type="cellIs" dxfId="12" priority="2" operator="equal">
      <formula>0</formula>
    </cfRule>
  </conditionalFormatting>
  <conditionalFormatting sqref="Z2:AA40">
    <cfRule type="cellIs" dxfId="11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8739-F7E2-5E4F-B517-6837AF3D2539}">
  <sheetPr>
    <tabColor theme="4" tint="0.39997558519241921"/>
  </sheetPr>
  <dimension ref="A1:AB47"/>
  <sheetViews>
    <sheetView topLeftCell="G1" zoomScale="75" zoomScaleNormal="75" workbookViewId="0">
      <selection activeCell="AB24" sqref="AB24"/>
    </sheetView>
  </sheetViews>
  <sheetFormatPr defaultColWidth="11" defaultRowHeight="15.75" x14ac:dyDescent="0.25"/>
  <cols>
    <col min="1" max="1" width="15.5" style="2" customWidth="1"/>
    <col min="2" max="2" width="21.125" bestFit="1" customWidth="1"/>
    <col min="3" max="3" width="13.75" style="2" customWidth="1"/>
    <col min="4" max="4" width="15.125" style="2" bestFit="1" customWidth="1"/>
    <col min="5" max="5" width="20" style="2" bestFit="1" customWidth="1"/>
    <col min="6" max="6" width="26.625" bestFit="1" customWidth="1"/>
    <col min="7" max="7" width="15" bestFit="1" customWidth="1"/>
    <col min="8" max="8" width="15.25" style="3" bestFit="1" customWidth="1"/>
    <col min="9" max="9" width="15" style="3" bestFit="1" customWidth="1"/>
    <col min="10" max="10" width="19" style="3" bestFit="1" customWidth="1"/>
    <col min="11" max="11" width="15.5" style="3" bestFit="1" customWidth="1"/>
    <col min="12" max="12" width="9.875" style="3" customWidth="1"/>
    <col min="13" max="13" width="19.625" style="3" bestFit="1" customWidth="1"/>
    <col min="14" max="14" width="15.25" style="3" bestFit="1" customWidth="1"/>
    <col min="15" max="15" width="15" style="3" bestFit="1" customWidth="1"/>
    <col min="16" max="16" width="19.5" style="3" bestFit="1" customWidth="1"/>
    <col min="17" max="17" width="15.25" style="3" bestFit="1" customWidth="1"/>
    <col min="18" max="18" width="15" style="3" bestFit="1" customWidth="1"/>
    <col min="19" max="19" width="19" style="3" bestFit="1" customWidth="1"/>
    <col min="20" max="20" width="15.25" style="3" bestFit="1" customWidth="1"/>
    <col min="21" max="21" width="15" style="3" bestFit="1" customWidth="1"/>
    <col min="22" max="28" width="9.875" style="3" customWidth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243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247</v>
      </c>
      <c r="AA1" s="2" t="s">
        <v>248</v>
      </c>
      <c r="AB1" s="2" t="s">
        <v>24</v>
      </c>
    </row>
    <row r="2" spans="1:28" x14ac:dyDescent="0.25">
      <c r="A2" s="2">
        <v>1</v>
      </c>
      <c r="B2" t="s">
        <v>63</v>
      </c>
      <c r="C2" s="2" t="s">
        <v>60</v>
      </c>
      <c r="D2" s="2">
        <v>1997</v>
      </c>
      <c r="E2" s="2" t="s">
        <v>64</v>
      </c>
      <c r="F2" t="s">
        <v>39</v>
      </c>
      <c r="G2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" s="5">
        <v>5.6</v>
      </c>
      <c r="I2" s="8">
        <v>6.65</v>
      </c>
      <c r="J2" s="8">
        <v>12.25</v>
      </c>
      <c r="K2" s="5">
        <v>4.4000000000000004</v>
      </c>
      <c r="L2" s="8">
        <v>5</v>
      </c>
      <c r="M2" s="8">
        <v>9.4</v>
      </c>
      <c r="N2" s="5">
        <v>4.2</v>
      </c>
      <c r="O2" s="8">
        <v>8</v>
      </c>
      <c r="P2" s="8">
        <v>12.2</v>
      </c>
      <c r="Q2" s="5">
        <v>4.8</v>
      </c>
      <c r="R2" s="8">
        <v>8.3000000000000007</v>
      </c>
      <c r="S2" s="8">
        <v>13.1</v>
      </c>
      <c r="T2" s="5">
        <v>4.2</v>
      </c>
      <c r="U2" s="8">
        <v>9.1999999999999993</v>
      </c>
      <c r="V2" s="8">
        <v>13.4</v>
      </c>
      <c r="W2" s="5">
        <v>4.2</v>
      </c>
      <c r="X2" s="8">
        <v>8</v>
      </c>
      <c r="Y2" s="8">
        <v>12.2</v>
      </c>
      <c r="Z2" s="4">
        <f>IF(Gdansk_result[[#This Row],[All Around]]="Yes",SUM(H2,K2,N2,Q2,T2,W2),0)</f>
        <v>27.4</v>
      </c>
      <c r="AA2" s="7">
        <f>IF(Gdansk_result[[#This Row],[All Around]]="Yes",SUM(I2,L2,O2,R2,U2,X2),0)</f>
        <v>45.15</v>
      </c>
      <c r="AB2" s="8">
        <v>72.55</v>
      </c>
    </row>
    <row r="3" spans="1:28" x14ac:dyDescent="0.25">
      <c r="A3" s="2">
        <v>2</v>
      </c>
      <c r="B3" t="s">
        <v>59</v>
      </c>
      <c r="C3" s="2" t="s">
        <v>60</v>
      </c>
      <c r="D3" s="2">
        <v>2002</v>
      </c>
      <c r="E3" s="2" t="s">
        <v>61</v>
      </c>
      <c r="F3" t="s">
        <v>62</v>
      </c>
      <c r="G3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3" s="5">
        <v>5.4</v>
      </c>
      <c r="I3" s="8">
        <v>7.4</v>
      </c>
      <c r="J3" s="8">
        <v>12.8</v>
      </c>
      <c r="K3" s="5">
        <v>4.9000000000000004</v>
      </c>
      <c r="L3" s="8">
        <v>6</v>
      </c>
      <c r="M3" s="8">
        <v>10.9</v>
      </c>
      <c r="N3" s="5">
        <v>2.8</v>
      </c>
      <c r="O3" s="8">
        <v>9.1999999999999993</v>
      </c>
      <c r="P3" s="8">
        <v>12</v>
      </c>
      <c r="Q3" s="5">
        <v>4.4000000000000004</v>
      </c>
      <c r="R3" s="8">
        <v>8.3000000000000007</v>
      </c>
      <c r="S3" s="8">
        <v>12.7</v>
      </c>
      <c r="T3" s="5">
        <v>5.3</v>
      </c>
      <c r="U3" s="8">
        <v>7</v>
      </c>
      <c r="V3" s="8">
        <v>12.3</v>
      </c>
      <c r="W3" s="5">
        <v>4.9000000000000004</v>
      </c>
      <c r="X3" s="8">
        <v>6.9</v>
      </c>
      <c r="Y3" s="8">
        <v>11.8</v>
      </c>
      <c r="Z3" s="4">
        <f>IF(Gdansk_result[[#This Row],[All Around]]="Yes",SUM(H3,K3,N3,Q3,T3,W3),0)</f>
        <v>27.700000000000003</v>
      </c>
      <c r="AA3" s="7">
        <f>IF(Gdansk_result[[#This Row],[All Around]]="Yes",SUM(I3,L3,O3,R3,U3,X3),0)</f>
        <v>44.800000000000004</v>
      </c>
      <c r="AB3" s="8">
        <v>72.5</v>
      </c>
    </row>
    <row r="4" spans="1:28" x14ac:dyDescent="0.25">
      <c r="A4" s="2">
        <v>3</v>
      </c>
      <c r="B4" t="s">
        <v>116</v>
      </c>
      <c r="C4" s="2" t="s">
        <v>60</v>
      </c>
      <c r="D4" s="2">
        <v>1996</v>
      </c>
      <c r="E4" s="2" t="s">
        <v>117</v>
      </c>
      <c r="F4" t="s">
        <v>62</v>
      </c>
      <c r="G4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4" s="5">
        <v>5.8</v>
      </c>
      <c r="I4" s="8">
        <v>5.4</v>
      </c>
      <c r="J4" s="8">
        <v>11.2</v>
      </c>
      <c r="K4" s="5">
        <v>4.0999999999999996</v>
      </c>
      <c r="L4" s="8">
        <v>7.9</v>
      </c>
      <c r="M4" s="8">
        <v>12</v>
      </c>
      <c r="N4" s="5">
        <v>5.3</v>
      </c>
      <c r="O4" s="8">
        <v>6.6</v>
      </c>
      <c r="P4" s="8">
        <v>11.9</v>
      </c>
      <c r="Q4" s="5">
        <v>5.2</v>
      </c>
      <c r="R4" s="8">
        <v>8</v>
      </c>
      <c r="S4" s="8">
        <v>13.2</v>
      </c>
      <c r="T4" s="5">
        <v>4.9000000000000004</v>
      </c>
      <c r="U4" s="8">
        <v>7.4</v>
      </c>
      <c r="V4" s="8">
        <v>12.3</v>
      </c>
      <c r="W4" s="5">
        <v>4.8</v>
      </c>
      <c r="X4" s="8">
        <v>6.3</v>
      </c>
      <c r="Y4" s="8">
        <v>11.1</v>
      </c>
      <c r="Z4" s="4">
        <f>IF(Gdansk_result[[#This Row],[All Around]]="Yes",SUM(H4,K4,N4,Q4,T4,W4),0)</f>
        <v>30.099999999999998</v>
      </c>
      <c r="AA4" s="7">
        <f>IF(Gdansk_result[[#This Row],[All Around]]="Yes",SUM(I4,L4,O4,R4,U4,X4),0)</f>
        <v>41.599999999999994</v>
      </c>
      <c r="AB4" s="8">
        <v>71.7</v>
      </c>
    </row>
    <row r="5" spans="1:28" x14ac:dyDescent="0.25">
      <c r="A5" s="2">
        <v>4</v>
      </c>
      <c r="B5" t="s">
        <v>65</v>
      </c>
      <c r="C5" s="2" t="s">
        <v>60</v>
      </c>
      <c r="D5" s="2">
        <v>2001</v>
      </c>
      <c r="E5" s="2" t="s">
        <v>66</v>
      </c>
      <c r="F5" t="s">
        <v>67</v>
      </c>
      <c r="G5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5" s="5">
        <v>3.9</v>
      </c>
      <c r="I5" s="8">
        <v>7.3</v>
      </c>
      <c r="J5" s="8">
        <v>11.2</v>
      </c>
      <c r="K5" s="5">
        <v>3.2</v>
      </c>
      <c r="L5" s="8">
        <v>7.8</v>
      </c>
      <c r="M5" s="8">
        <v>11</v>
      </c>
      <c r="N5" s="5">
        <v>3.9</v>
      </c>
      <c r="O5" s="8">
        <v>8.1999999999999993</v>
      </c>
      <c r="P5" s="8">
        <v>12.1</v>
      </c>
      <c r="Q5" s="5">
        <v>4</v>
      </c>
      <c r="R5" s="8">
        <v>8.6999999999999993</v>
      </c>
      <c r="S5" s="8">
        <v>12.7</v>
      </c>
      <c r="T5" s="5">
        <v>3.4</v>
      </c>
      <c r="U5" s="8">
        <v>9</v>
      </c>
      <c r="V5" s="8">
        <v>12.4</v>
      </c>
      <c r="W5" s="5">
        <v>3.6</v>
      </c>
      <c r="X5" s="8">
        <v>8.3000000000000007</v>
      </c>
      <c r="Y5" s="8">
        <v>11.9</v>
      </c>
      <c r="Z5" s="4">
        <f>IF(Gdansk_result[[#This Row],[All Around]]="Yes",SUM(H5,K5,N5,Q5,T5,W5),0)</f>
        <v>22</v>
      </c>
      <c r="AA5" s="7">
        <f>IF(Gdansk_result[[#This Row],[All Around]]="Yes",SUM(I5,L5,O5,R5,U5,X5),0)</f>
        <v>49.3</v>
      </c>
      <c r="AB5" s="8">
        <v>71.3</v>
      </c>
    </row>
    <row r="6" spans="1:28" x14ac:dyDescent="0.25">
      <c r="A6" s="2">
        <v>1</v>
      </c>
      <c r="B6" t="s">
        <v>25</v>
      </c>
      <c r="C6" s="2" t="s">
        <v>26</v>
      </c>
      <c r="D6" s="2">
        <v>2008</v>
      </c>
      <c r="E6" s="2" t="s">
        <v>27</v>
      </c>
      <c r="F6" t="s">
        <v>28</v>
      </c>
      <c r="G6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6" s="5">
        <v>4</v>
      </c>
      <c r="I6" s="8">
        <v>7.9</v>
      </c>
      <c r="J6" s="8">
        <v>11.9</v>
      </c>
      <c r="K6" s="5">
        <v>3.7</v>
      </c>
      <c r="L6" s="8">
        <v>8.8000000000000007</v>
      </c>
      <c r="M6" s="8">
        <v>12.5</v>
      </c>
      <c r="N6" s="5">
        <v>2.8</v>
      </c>
      <c r="O6" s="8">
        <v>8.4</v>
      </c>
      <c r="P6" s="8">
        <v>11.2</v>
      </c>
      <c r="Q6" s="5">
        <v>2.2000000000000002</v>
      </c>
      <c r="R6" s="8">
        <v>8.3000000000000007</v>
      </c>
      <c r="S6" s="8">
        <v>10.5</v>
      </c>
      <c r="T6" s="5">
        <v>4.2</v>
      </c>
      <c r="U6" s="8">
        <v>7.7</v>
      </c>
      <c r="V6" s="8">
        <v>11.9</v>
      </c>
      <c r="W6" s="5">
        <v>2.7</v>
      </c>
      <c r="X6" s="8">
        <v>9.3000000000000007</v>
      </c>
      <c r="Y6" s="8">
        <v>12</v>
      </c>
      <c r="Z6" s="4">
        <f>IF(Gdansk_result[[#This Row],[All Around]]="Yes",SUM(H6,K6,N6,Q6,T6,W6),0)</f>
        <v>19.599999999999998</v>
      </c>
      <c r="AA6" s="7">
        <f>IF(Gdansk_result[[#This Row],[All Around]]="Yes",SUM(I6,L6,O6,R6,U6,X6),0)</f>
        <v>50.400000000000006</v>
      </c>
      <c r="AB6" s="8">
        <v>70</v>
      </c>
    </row>
    <row r="7" spans="1:28" x14ac:dyDescent="0.25">
      <c r="A7" s="2">
        <v>5</v>
      </c>
      <c r="B7" t="s">
        <v>82</v>
      </c>
      <c r="C7" s="2" t="s">
        <v>60</v>
      </c>
      <c r="D7" s="2">
        <v>2003</v>
      </c>
      <c r="E7" s="2" t="s">
        <v>83</v>
      </c>
      <c r="F7" t="s">
        <v>36</v>
      </c>
      <c r="G7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7" s="5">
        <v>3.9</v>
      </c>
      <c r="I7" s="8">
        <v>7.9</v>
      </c>
      <c r="J7" s="8">
        <v>11.8</v>
      </c>
      <c r="K7" s="5">
        <v>3.4</v>
      </c>
      <c r="L7" s="8">
        <v>6.4</v>
      </c>
      <c r="M7" s="8">
        <v>9.8000000000000007</v>
      </c>
      <c r="N7" s="5">
        <v>3.8</v>
      </c>
      <c r="O7" s="8">
        <v>7.9</v>
      </c>
      <c r="P7" s="8">
        <v>11.7</v>
      </c>
      <c r="Q7" s="5">
        <v>4</v>
      </c>
      <c r="R7" s="8">
        <v>9</v>
      </c>
      <c r="S7" s="8">
        <v>13</v>
      </c>
      <c r="T7" s="5">
        <v>3</v>
      </c>
      <c r="U7" s="8">
        <v>8.8000000000000007</v>
      </c>
      <c r="V7" s="8">
        <v>11.8</v>
      </c>
      <c r="W7" s="5">
        <v>3.3</v>
      </c>
      <c r="X7" s="8">
        <v>8</v>
      </c>
      <c r="Y7" s="8">
        <v>11.3</v>
      </c>
      <c r="Z7" s="4">
        <f>IF(Gdansk_result[[#This Row],[All Around]]="Yes",SUM(H7,K7,N7,Q7,T7,W7),0)</f>
        <v>21.400000000000002</v>
      </c>
      <c r="AA7" s="7">
        <f>IF(Gdansk_result[[#This Row],[All Around]]="Yes",SUM(I7,L7,O7,R7,U7,X7),0)</f>
        <v>48</v>
      </c>
      <c r="AB7" s="8">
        <v>69.400000000000006</v>
      </c>
    </row>
    <row r="8" spans="1:28" x14ac:dyDescent="0.25">
      <c r="A8" s="2">
        <v>6</v>
      </c>
      <c r="B8" t="s">
        <v>70</v>
      </c>
      <c r="C8" s="2" t="s">
        <v>60</v>
      </c>
      <c r="D8" s="2">
        <v>2001</v>
      </c>
      <c r="E8" s="2" t="s">
        <v>71</v>
      </c>
      <c r="F8" t="s">
        <v>72</v>
      </c>
      <c r="G8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8" s="5">
        <v>5.0999999999999996</v>
      </c>
      <c r="I8" s="8">
        <v>6.8</v>
      </c>
      <c r="J8" s="8">
        <v>11.9</v>
      </c>
      <c r="K8" s="5">
        <v>2.7</v>
      </c>
      <c r="L8" s="8">
        <v>6</v>
      </c>
      <c r="M8" s="8">
        <v>8.6999999999999993</v>
      </c>
      <c r="N8" s="5">
        <v>3.4</v>
      </c>
      <c r="O8" s="8">
        <v>7.7</v>
      </c>
      <c r="P8" s="8">
        <v>11.1</v>
      </c>
      <c r="Q8" s="5">
        <v>5.2</v>
      </c>
      <c r="R8" s="8">
        <v>8.1999999999999993</v>
      </c>
      <c r="S8" s="8">
        <v>13.4</v>
      </c>
      <c r="T8" s="5">
        <v>4.3</v>
      </c>
      <c r="U8" s="8">
        <v>8</v>
      </c>
      <c r="V8" s="8">
        <v>12.3</v>
      </c>
      <c r="W8" s="5">
        <v>3.7</v>
      </c>
      <c r="X8" s="8">
        <v>7.3</v>
      </c>
      <c r="Y8" s="8">
        <v>11</v>
      </c>
      <c r="Z8" s="4">
        <f>IF(Gdansk_result[[#This Row],[All Around]]="Yes",SUM(H8,K8,N8,Q8,T8,W8),0)</f>
        <v>24.4</v>
      </c>
      <c r="AA8" s="7">
        <f>IF(Gdansk_result[[#This Row],[All Around]]="Yes",SUM(I8,L8,O8,R8,U8,X8),0)</f>
        <v>44</v>
      </c>
      <c r="AB8" s="8">
        <v>68.400000000000006</v>
      </c>
    </row>
    <row r="9" spans="1:28" x14ac:dyDescent="0.25">
      <c r="A9" s="2">
        <v>7</v>
      </c>
      <c r="B9" t="s">
        <v>118</v>
      </c>
      <c r="C9" s="2" t="s">
        <v>60</v>
      </c>
      <c r="D9" s="2">
        <v>2000</v>
      </c>
      <c r="E9" s="2" t="s">
        <v>119</v>
      </c>
      <c r="F9" t="s">
        <v>31</v>
      </c>
      <c r="G9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9" s="5">
        <v>4.2</v>
      </c>
      <c r="I9" s="8">
        <v>6.2</v>
      </c>
      <c r="J9" s="8">
        <v>10.4</v>
      </c>
      <c r="K9" s="5">
        <v>3.3</v>
      </c>
      <c r="L9" s="8">
        <v>7.4</v>
      </c>
      <c r="M9" s="8">
        <v>10.7</v>
      </c>
      <c r="N9" s="5">
        <v>4.0999999999999996</v>
      </c>
      <c r="O9" s="8">
        <v>7.5</v>
      </c>
      <c r="P9" s="8">
        <v>11.6</v>
      </c>
      <c r="Q9" s="5">
        <v>4</v>
      </c>
      <c r="R9" s="8">
        <v>8.9</v>
      </c>
      <c r="S9" s="8">
        <v>12.9</v>
      </c>
      <c r="T9" s="5">
        <v>3.6</v>
      </c>
      <c r="U9" s="8">
        <v>7</v>
      </c>
      <c r="V9" s="8">
        <v>10.6</v>
      </c>
      <c r="W9" s="5">
        <v>3.3</v>
      </c>
      <c r="X9" s="8">
        <v>7.4</v>
      </c>
      <c r="Y9" s="8">
        <v>10.7</v>
      </c>
      <c r="Z9" s="4">
        <f>IF(Gdansk_result[[#This Row],[All Around]]="Yes",SUM(H9,K9,N9,Q9,T9,W9),0)</f>
        <v>22.5</v>
      </c>
      <c r="AA9" s="7">
        <f>IF(Gdansk_result[[#This Row],[All Around]]="Yes",SUM(I9,L9,O9,R9,U9,X9),0)</f>
        <v>44.4</v>
      </c>
      <c r="AB9" s="8">
        <v>66.900000000000006</v>
      </c>
    </row>
    <row r="10" spans="1:28" x14ac:dyDescent="0.25">
      <c r="A10" s="2">
        <v>2</v>
      </c>
      <c r="B10" t="s">
        <v>32</v>
      </c>
      <c r="C10" s="2" t="s">
        <v>26</v>
      </c>
      <c r="D10" s="2">
        <v>2005</v>
      </c>
      <c r="E10" s="2" t="s">
        <v>33</v>
      </c>
      <c r="F10" t="s">
        <v>31</v>
      </c>
      <c r="G10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0" s="5">
        <v>4.0999999999999996</v>
      </c>
      <c r="I10" s="8">
        <v>7.8</v>
      </c>
      <c r="J10" s="8">
        <v>11.9</v>
      </c>
      <c r="K10" s="5">
        <v>3.6</v>
      </c>
      <c r="L10" s="8">
        <v>8.3000000000000007</v>
      </c>
      <c r="M10" s="8">
        <v>11.9</v>
      </c>
      <c r="N10" s="5">
        <v>3.3</v>
      </c>
      <c r="O10" s="8">
        <v>7.9</v>
      </c>
      <c r="P10" s="8">
        <v>11.2</v>
      </c>
      <c r="Q10" s="5">
        <v>2.8</v>
      </c>
      <c r="R10" s="8">
        <v>8.8000000000000007</v>
      </c>
      <c r="S10" s="8">
        <v>11.6</v>
      </c>
      <c r="T10" s="5">
        <v>3.4</v>
      </c>
      <c r="U10" s="8">
        <v>7.3</v>
      </c>
      <c r="V10" s="8">
        <v>10.7</v>
      </c>
      <c r="W10" s="5">
        <v>2.9</v>
      </c>
      <c r="X10" s="8">
        <v>6.2</v>
      </c>
      <c r="Y10" s="8">
        <v>9.1</v>
      </c>
      <c r="Z10" s="4">
        <f>IF(Gdansk_result[[#This Row],[All Around]]="Yes",SUM(H10,K10,N10,Q10,T10,W10),0)</f>
        <v>20.099999999999998</v>
      </c>
      <c r="AA10" s="7">
        <f>IF(Gdansk_result[[#This Row],[All Around]]="Yes",SUM(I10,L10,O10,R10,U10,X10),0)</f>
        <v>46.3</v>
      </c>
      <c r="AB10" s="8">
        <v>66.400000000000006</v>
      </c>
    </row>
    <row r="11" spans="1:28" x14ac:dyDescent="0.25">
      <c r="A11" s="2">
        <v>3</v>
      </c>
      <c r="B11" t="s">
        <v>29</v>
      </c>
      <c r="C11" s="2" t="s">
        <v>26</v>
      </c>
      <c r="D11" s="2">
        <v>2005</v>
      </c>
      <c r="E11" s="2" t="s">
        <v>30</v>
      </c>
      <c r="F11" t="s">
        <v>31</v>
      </c>
      <c r="G11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1" s="5">
        <v>4.4000000000000004</v>
      </c>
      <c r="I11" s="8">
        <v>7.5</v>
      </c>
      <c r="J11" s="8">
        <v>11.9</v>
      </c>
      <c r="K11" s="5">
        <v>3.6</v>
      </c>
      <c r="L11" s="8">
        <v>6.3</v>
      </c>
      <c r="M11" s="8">
        <v>9.9</v>
      </c>
      <c r="N11" s="5">
        <v>2.2999999999999998</v>
      </c>
      <c r="O11" s="8">
        <v>8.6</v>
      </c>
      <c r="P11" s="8">
        <v>10.9</v>
      </c>
      <c r="Q11" s="5">
        <v>4</v>
      </c>
      <c r="R11" s="8">
        <v>8.6</v>
      </c>
      <c r="S11" s="8">
        <v>12.6</v>
      </c>
      <c r="T11" s="5">
        <v>3.4</v>
      </c>
      <c r="U11" s="8">
        <v>8.1999999999999993</v>
      </c>
      <c r="V11" s="8">
        <v>11.6</v>
      </c>
      <c r="W11" s="5">
        <v>2.7</v>
      </c>
      <c r="X11" s="8">
        <v>6.7</v>
      </c>
      <c r="Y11" s="8">
        <v>9.4</v>
      </c>
      <c r="Z11" s="4">
        <f>IF(Gdansk_result[[#This Row],[All Around]]="Yes",SUM(H11,K11,N11,Q11,T11,W11),0)</f>
        <v>20.399999999999999</v>
      </c>
      <c r="AA11" s="7">
        <f>IF(Gdansk_result[[#This Row],[All Around]]="Yes",SUM(I11,L11,O11,R11,U11,X11),0)</f>
        <v>45.900000000000006</v>
      </c>
      <c r="AB11" s="8">
        <v>66.3</v>
      </c>
    </row>
    <row r="12" spans="1:28" x14ac:dyDescent="0.25">
      <c r="A12" s="2">
        <v>8</v>
      </c>
      <c r="B12" t="s">
        <v>84</v>
      </c>
      <c r="C12" s="2" t="s">
        <v>60</v>
      </c>
      <c r="D12" s="2">
        <v>2004</v>
      </c>
      <c r="E12" s="2" t="s">
        <v>85</v>
      </c>
      <c r="F12" t="s">
        <v>39</v>
      </c>
      <c r="G12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2" s="5">
        <v>4.0999999999999996</v>
      </c>
      <c r="I12" s="8">
        <v>7.3</v>
      </c>
      <c r="J12" s="8">
        <v>11.4</v>
      </c>
      <c r="K12" s="5">
        <v>3.5</v>
      </c>
      <c r="L12" s="8">
        <v>5.5</v>
      </c>
      <c r="M12" s="8">
        <v>9</v>
      </c>
      <c r="N12" s="5">
        <v>3.1</v>
      </c>
      <c r="O12" s="8">
        <v>7.3</v>
      </c>
      <c r="P12" s="8">
        <v>10.4</v>
      </c>
      <c r="Q12" s="5">
        <v>3.2</v>
      </c>
      <c r="R12" s="8">
        <v>8.3000000000000007</v>
      </c>
      <c r="S12" s="8">
        <v>11.5</v>
      </c>
      <c r="T12" s="5">
        <v>4.2</v>
      </c>
      <c r="U12" s="8">
        <v>7.7</v>
      </c>
      <c r="V12" s="8">
        <v>11.9</v>
      </c>
      <c r="W12" s="5">
        <v>2.5</v>
      </c>
      <c r="X12" s="8">
        <v>8.6999999999999993</v>
      </c>
      <c r="Y12" s="8">
        <v>11.2</v>
      </c>
      <c r="Z12" s="4">
        <f>IF(Gdansk_result[[#This Row],[All Around]]="Yes",SUM(H12,K12,N12,Q12,T12,W12),0)</f>
        <v>20.599999999999998</v>
      </c>
      <c r="AA12" s="7">
        <f>IF(Gdansk_result[[#This Row],[All Around]]="Yes",SUM(I12,L12,O12,R12,U12,X12),0)</f>
        <v>44.8</v>
      </c>
      <c r="AB12" s="8">
        <v>65.400000000000006</v>
      </c>
    </row>
    <row r="13" spans="1:28" x14ac:dyDescent="0.25">
      <c r="A13" s="2">
        <v>4</v>
      </c>
      <c r="B13" t="s">
        <v>34</v>
      </c>
      <c r="C13" s="2" t="s">
        <v>26</v>
      </c>
      <c r="D13" s="2">
        <v>2006</v>
      </c>
      <c r="E13" s="2" t="s">
        <v>35</v>
      </c>
      <c r="F13" t="s">
        <v>36</v>
      </c>
      <c r="G13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3" s="5">
        <v>3.6</v>
      </c>
      <c r="I13" s="8">
        <v>7.4</v>
      </c>
      <c r="J13" s="8">
        <v>11</v>
      </c>
      <c r="K13" s="5">
        <v>3.6</v>
      </c>
      <c r="L13" s="8">
        <v>8.3000000000000007</v>
      </c>
      <c r="M13" s="8">
        <v>11.9</v>
      </c>
      <c r="N13" s="5">
        <v>3.4</v>
      </c>
      <c r="O13" s="8">
        <v>7.7</v>
      </c>
      <c r="P13" s="8">
        <v>11.1</v>
      </c>
      <c r="Q13" s="5">
        <v>2.4</v>
      </c>
      <c r="R13" s="8">
        <v>7.2</v>
      </c>
      <c r="S13" s="8">
        <v>9.6</v>
      </c>
      <c r="T13" s="5">
        <v>3.4</v>
      </c>
      <c r="U13" s="8">
        <v>7.3</v>
      </c>
      <c r="V13" s="8">
        <v>10.7</v>
      </c>
      <c r="W13" s="5">
        <v>2.7</v>
      </c>
      <c r="X13" s="8">
        <v>7.5</v>
      </c>
      <c r="Y13" s="8">
        <v>10.199999999999999</v>
      </c>
      <c r="Z13" s="4">
        <f>IF(Gdansk_result[[#This Row],[All Around]]="Yes",SUM(H13,K13,N13,Q13,T13,W13),0)</f>
        <v>19.099999999999998</v>
      </c>
      <c r="AA13" s="7">
        <f>IF(Gdansk_result[[#This Row],[All Around]]="Yes",SUM(I13,L13,O13,R13,U13,X13),0)</f>
        <v>45.4</v>
      </c>
      <c r="AB13" s="8">
        <v>64.5</v>
      </c>
    </row>
    <row r="14" spans="1:28" x14ac:dyDescent="0.25">
      <c r="A14" s="2">
        <v>5</v>
      </c>
      <c r="B14" t="s">
        <v>44</v>
      </c>
      <c r="C14" s="2" t="s">
        <v>26</v>
      </c>
      <c r="D14" s="2">
        <v>2007</v>
      </c>
      <c r="E14" s="2" t="s">
        <v>45</v>
      </c>
      <c r="F14" t="s">
        <v>39</v>
      </c>
      <c r="G14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4" s="5">
        <v>3.3</v>
      </c>
      <c r="I14" s="8">
        <v>7.2</v>
      </c>
      <c r="J14" s="8">
        <v>10.5</v>
      </c>
      <c r="K14" s="5">
        <v>2.8</v>
      </c>
      <c r="L14" s="8">
        <v>8.5</v>
      </c>
      <c r="M14" s="8">
        <v>11.3</v>
      </c>
      <c r="N14" s="5">
        <v>2.2999999999999998</v>
      </c>
      <c r="O14" s="8">
        <v>8</v>
      </c>
      <c r="P14" s="8">
        <v>10.3</v>
      </c>
      <c r="Q14" s="5">
        <v>2.4</v>
      </c>
      <c r="R14" s="8">
        <v>8.4</v>
      </c>
      <c r="S14" s="8">
        <v>10.8</v>
      </c>
      <c r="T14" s="5">
        <v>2.6</v>
      </c>
      <c r="U14" s="8">
        <v>8.9</v>
      </c>
      <c r="V14" s="8">
        <v>11.5</v>
      </c>
      <c r="W14" s="5">
        <v>2.2999999999999998</v>
      </c>
      <c r="X14" s="8">
        <v>7.5</v>
      </c>
      <c r="Y14" s="8">
        <v>9.8000000000000007</v>
      </c>
      <c r="Z14" s="4">
        <f>IF(Gdansk_result[[#This Row],[All Around]]="Yes",SUM(H14,K14,N14,Q14,T14,W14),0)</f>
        <v>15.7</v>
      </c>
      <c r="AA14" s="7">
        <f>IF(Gdansk_result[[#This Row],[All Around]]="Yes",SUM(I14,L14,O14,R14,U14,X14),0)</f>
        <v>48.5</v>
      </c>
      <c r="AB14" s="8">
        <v>64.2</v>
      </c>
    </row>
    <row r="15" spans="1:28" x14ac:dyDescent="0.25">
      <c r="A15" s="2">
        <v>9</v>
      </c>
      <c r="B15" t="s">
        <v>68</v>
      </c>
      <c r="C15" s="2" t="s">
        <v>60</v>
      </c>
      <c r="D15" s="2">
        <v>2004</v>
      </c>
      <c r="E15" s="2" t="s">
        <v>69</v>
      </c>
      <c r="F15" t="s">
        <v>31</v>
      </c>
      <c r="G15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5" s="5">
        <v>4</v>
      </c>
      <c r="I15" s="8">
        <v>6.3</v>
      </c>
      <c r="J15" s="8">
        <v>10.3</v>
      </c>
      <c r="K15" s="5">
        <v>3.2</v>
      </c>
      <c r="L15" s="8">
        <v>7.4</v>
      </c>
      <c r="M15" s="8">
        <v>10.6</v>
      </c>
      <c r="N15" s="5">
        <v>3.7</v>
      </c>
      <c r="O15" s="8">
        <v>7.3</v>
      </c>
      <c r="P15" s="8">
        <v>11</v>
      </c>
      <c r="Q15" s="5">
        <v>4</v>
      </c>
      <c r="R15" s="8">
        <v>8.8000000000000007</v>
      </c>
      <c r="S15" s="8">
        <v>12.8</v>
      </c>
      <c r="T15" s="5">
        <v>3.2</v>
      </c>
      <c r="U15" s="8">
        <v>5.8</v>
      </c>
      <c r="V15" s="8">
        <v>9</v>
      </c>
      <c r="W15" s="5">
        <v>2.6</v>
      </c>
      <c r="X15" s="8">
        <v>7.6</v>
      </c>
      <c r="Y15" s="8">
        <v>10.199999999999999</v>
      </c>
      <c r="Z15" s="4">
        <f>IF(Gdansk_result[[#This Row],[All Around]]="Yes",SUM(H15,K15,N15,Q15,T15,W15),0)</f>
        <v>20.700000000000003</v>
      </c>
      <c r="AA15" s="7">
        <f>IF(Gdansk_result[[#This Row],[All Around]]="Yes",SUM(I15,L15,O15,R15,U15,X15),0)</f>
        <v>43.2</v>
      </c>
      <c r="AB15" s="8">
        <v>63.9</v>
      </c>
    </row>
    <row r="16" spans="1:28" x14ac:dyDescent="0.25">
      <c r="A16" s="2">
        <v>6</v>
      </c>
      <c r="B16" t="s">
        <v>40</v>
      </c>
      <c r="C16" s="2" t="s">
        <v>26</v>
      </c>
      <c r="D16" s="2">
        <v>2007</v>
      </c>
      <c r="E16" s="2" t="s">
        <v>41</v>
      </c>
      <c r="F16" t="s">
        <v>39</v>
      </c>
      <c r="G16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6" s="5">
        <v>3.1</v>
      </c>
      <c r="I16" s="8">
        <v>7.3</v>
      </c>
      <c r="J16" s="8">
        <v>10.4</v>
      </c>
      <c r="K16" s="5">
        <v>2.9</v>
      </c>
      <c r="L16" s="8">
        <v>8.1</v>
      </c>
      <c r="M16" s="8">
        <v>11</v>
      </c>
      <c r="N16" s="5">
        <v>3.4</v>
      </c>
      <c r="O16" s="8">
        <v>6</v>
      </c>
      <c r="P16" s="8">
        <v>9.4</v>
      </c>
      <c r="Q16" s="5">
        <v>2.8</v>
      </c>
      <c r="R16" s="8">
        <v>8.6</v>
      </c>
      <c r="S16" s="8">
        <v>11.4</v>
      </c>
      <c r="T16" s="5">
        <v>3</v>
      </c>
      <c r="U16" s="8">
        <v>9</v>
      </c>
      <c r="V16" s="8">
        <v>12</v>
      </c>
      <c r="W16" s="5">
        <v>2.4</v>
      </c>
      <c r="X16" s="8">
        <v>7.2</v>
      </c>
      <c r="Y16" s="8">
        <v>9.6</v>
      </c>
      <c r="Z16" s="4">
        <f>IF(Gdansk_result[[#This Row],[All Around]]="Yes",SUM(H16,K16,N16,Q16,T16,W16),0)</f>
        <v>17.599999999999998</v>
      </c>
      <c r="AA16" s="7">
        <f>IF(Gdansk_result[[#This Row],[All Around]]="Yes",SUM(I16,L16,O16,R16,U16,X16),0)</f>
        <v>46.2</v>
      </c>
      <c r="AB16" s="8">
        <v>63.8</v>
      </c>
    </row>
    <row r="17" spans="1:28" x14ac:dyDescent="0.25">
      <c r="A17" s="2">
        <v>10</v>
      </c>
      <c r="B17" t="s">
        <v>73</v>
      </c>
      <c r="C17" s="2" t="s">
        <v>60</v>
      </c>
      <c r="D17" s="2">
        <v>2001</v>
      </c>
      <c r="E17" s="2" t="s">
        <v>74</v>
      </c>
      <c r="F17" t="s">
        <v>62</v>
      </c>
      <c r="G17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7" s="5">
        <v>4.7</v>
      </c>
      <c r="I17" s="8">
        <v>6.7</v>
      </c>
      <c r="J17" s="8">
        <v>11.4</v>
      </c>
      <c r="K17" s="5">
        <v>2.9</v>
      </c>
      <c r="L17" s="8">
        <v>7.1</v>
      </c>
      <c r="M17" s="8">
        <v>10</v>
      </c>
      <c r="N17" s="5">
        <v>2.7</v>
      </c>
      <c r="O17" s="8">
        <v>7.4</v>
      </c>
      <c r="P17" s="8">
        <v>10.1</v>
      </c>
      <c r="Q17" s="5">
        <v>4</v>
      </c>
      <c r="R17" s="8">
        <v>8.6999999999999993</v>
      </c>
      <c r="S17" s="8">
        <v>12.7</v>
      </c>
      <c r="T17" s="5">
        <v>3.6</v>
      </c>
      <c r="U17" s="8">
        <v>7.4</v>
      </c>
      <c r="V17" s="8">
        <v>11</v>
      </c>
      <c r="W17" s="5">
        <v>2.6</v>
      </c>
      <c r="X17" s="8">
        <v>5.8</v>
      </c>
      <c r="Y17" s="8">
        <v>8.4</v>
      </c>
      <c r="Z17" s="4">
        <f>IF(Gdansk_result[[#This Row],[All Around]]="Yes",SUM(H17,K17,N17,Q17,T17,W17),0)</f>
        <v>20.500000000000004</v>
      </c>
      <c r="AA17" s="7">
        <f>IF(Gdansk_result[[#This Row],[All Around]]="Yes",SUM(I17,L17,O17,R17,U17,X17),0)</f>
        <v>43.1</v>
      </c>
      <c r="AB17" s="8">
        <v>63.6</v>
      </c>
    </row>
    <row r="18" spans="1:28" x14ac:dyDescent="0.25">
      <c r="A18" s="2">
        <v>7</v>
      </c>
      <c r="B18" t="s">
        <v>112</v>
      </c>
      <c r="C18" s="2" t="s">
        <v>26</v>
      </c>
      <c r="D18" s="2">
        <v>2005</v>
      </c>
      <c r="E18" s="2" t="s">
        <v>113</v>
      </c>
      <c r="F18" t="s">
        <v>31</v>
      </c>
      <c r="G18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8" s="5">
        <v>4.2</v>
      </c>
      <c r="I18" s="8">
        <v>6.3</v>
      </c>
      <c r="J18" s="8">
        <v>10.5</v>
      </c>
      <c r="K18" s="5">
        <v>2.7</v>
      </c>
      <c r="L18" s="8">
        <v>6</v>
      </c>
      <c r="M18" s="8">
        <v>8.6999999999999993</v>
      </c>
      <c r="N18" s="5">
        <v>2.2000000000000002</v>
      </c>
      <c r="O18" s="8">
        <v>7.7</v>
      </c>
      <c r="P18" s="8">
        <v>9.9</v>
      </c>
      <c r="Q18" s="5">
        <v>4</v>
      </c>
      <c r="R18" s="8">
        <v>8.9</v>
      </c>
      <c r="S18" s="8">
        <v>12.9</v>
      </c>
      <c r="T18" s="5">
        <v>3.2</v>
      </c>
      <c r="U18" s="8">
        <v>7.4</v>
      </c>
      <c r="V18" s="8">
        <v>10.6</v>
      </c>
      <c r="W18" s="5">
        <v>3.2</v>
      </c>
      <c r="X18" s="8">
        <v>7.5</v>
      </c>
      <c r="Y18" s="8">
        <v>10.7</v>
      </c>
      <c r="Z18" s="4">
        <f>IF(Gdansk_result[[#This Row],[All Around]]="Yes",SUM(H18,K18,N18,Q18,T18,W18),0)</f>
        <v>19.5</v>
      </c>
      <c r="AA18" s="7">
        <f>IF(Gdansk_result[[#This Row],[All Around]]="Yes",SUM(I18,L18,O18,R18,U18,X18),0)</f>
        <v>43.8</v>
      </c>
      <c r="AB18" s="8">
        <v>63.3</v>
      </c>
    </row>
    <row r="19" spans="1:28" x14ac:dyDescent="0.25">
      <c r="A19" s="2">
        <v>8</v>
      </c>
      <c r="B19" t="s">
        <v>37</v>
      </c>
      <c r="C19" s="2" t="s">
        <v>26</v>
      </c>
      <c r="D19" s="2">
        <v>2006</v>
      </c>
      <c r="E19" s="2" t="s">
        <v>38</v>
      </c>
      <c r="F19" t="s">
        <v>39</v>
      </c>
      <c r="G19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19" s="5">
        <v>3.3</v>
      </c>
      <c r="I19" s="8">
        <v>5.9</v>
      </c>
      <c r="J19" s="8">
        <v>9.1999999999999993</v>
      </c>
      <c r="K19" s="5">
        <v>3.9</v>
      </c>
      <c r="L19" s="8">
        <v>8.1999999999999993</v>
      </c>
      <c r="M19" s="8">
        <v>12.1</v>
      </c>
      <c r="N19" s="5">
        <v>2.2999999999999998</v>
      </c>
      <c r="O19" s="8">
        <v>7.8</v>
      </c>
      <c r="P19" s="8">
        <v>10.1</v>
      </c>
      <c r="Q19" s="5">
        <v>2.4</v>
      </c>
      <c r="R19" s="8">
        <v>8.1999999999999993</v>
      </c>
      <c r="S19" s="8">
        <v>10.6</v>
      </c>
      <c r="T19" s="5">
        <v>3.2</v>
      </c>
      <c r="U19" s="8">
        <v>8.6</v>
      </c>
      <c r="V19" s="8">
        <v>11.8</v>
      </c>
      <c r="W19" s="5">
        <v>2.8</v>
      </c>
      <c r="X19" s="8">
        <v>6.5</v>
      </c>
      <c r="Y19" s="8">
        <v>9.3000000000000007</v>
      </c>
      <c r="Z19" s="4">
        <f>IF(Gdansk_result[[#This Row],[All Around]]="Yes",SUM(H19,K19,N19,Q19,T19,W19),0)</f>
        <v>17.900000000000002</v>
      </c>
      <c r="AA19" s="7">
        <f>IF(Gdansk_result[[#This Row],[All Around]]="Yes",SUM(I19,L19,O19,R19,U19,X19),0)</f>
        <v>45.199999999999996</v>
      </c>
      <c r="AB19" s="8">
        <v>63.1</v>
      </c>
    </row>
    <row r="20" spans="1:28" x14ac:dyDescent="0.25">
      <c r="A20" s="2">
        <v>11</v>
      </c>
      <c r="B20" t="s">
        <v>77</v>
      </c>
      <c r="C20" s="2" t="s">
        <v>60</v>
      </c>
      <c r="D20" s="2">
        <v>2002</v>
      </c>
      <c r="E20" s="2" t="s">
        <v>78</v>
      </c>
      <c r="F20" t="s">
        <v>79</v>
      </c>
      <c r="G20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0" s="5">
        <v>3.8</v>
      </c>
      <c r="I20" s="8">
        <v>7.4</v>
      </c>
      <c r="J20" s="8">
        <v>11.2</v>
      </c>
      <c r="K20" s="5">
        <v>3.1</v>
      </c>
      <c r="L20" s="8">
        <v>7.6</v>
      </c>
      <c r="M20" s="8">
        <v>10.7</v>
      </c>
      <c r="N20" s="5">
        <v>3.4</v>
      </c>
      <c r="O20" s="8">
        <v>6</v>
      </c>
      <c r="P20" s="8">
        <v>9.4</v>
      </c>
      <c r="Q20" s="5">
        <v>3.2</v>
      </c>
      <c r="R20" s="8">
        <v>8.3000000000000007</v>
      </c>
      <c r="S20" s="8">
        <v>11.5</v>
      </c>
      <c r="T20" s="5">
        <v>3.1</v>
      </c>
      <c r="U20" s="8">
        <v>6.9</v>
      </c>
      <c r="V20" s="8">
        <v>10</v>
      </c>
      <c r="W20" s="5">
        <v>2.6</v>
      </c>
      <c r="X20" s="8">
        <v>7.3</v>
      </c>
      <c r="Y20" s="8">
        <v>9.9</v>
      </c>
      <c r="Z20" s="4">
        <f>IF(Gdansk_result[[#This Row],[All Around]]="Yes",SUM(H20,K20,N20,Q20,T20,W20),0)</f>
        <v>19.200000000000003</v>
      </c>
      <c r="AA20" s="7">
        <f>IF(Gdansk_result[[#This Row],[All Around]]="Yes",SUM(I20,L20,O20,R20,U20,X20),0)</f>
        <v>43.5</v>
      </c>
      <c r="AB20" s="8">
        <v>62.7</v>
      </c>
    </row>
    <row r="21" spans="1:28" x14ac:dyDescent="0.25">
      <c r="A21" s="2">
        <v>9</v>
      </c>
      <c r="B21" t="s">
        <v>42</v>
      </c>
      <c r="C21" s="2" t="s">
        <v>26</v>
      </c>
      <c r="D21" s="2">
        <v>2007</v>
      </c>
      <c r="E21" s="2" t="s">
        <v>43</v>
      </c>
      <c r="F21" t="s">
        <v>36</v>
      </c>
      <c r="G21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1" s="5">
        <v>3.4</v>
      </c>
      <c r="I21" s="8">
        <v>7.5</v>
      </c>
      <c r="J21" s="8">
        <v>10.9</v>
      </c>
      <c r="K21" s="5">
        <v>2.6</v>
      </c>
      <c r="L21" s="8">
        <v>7.2</v>
      </c>
      <c r="M21" s="8">
        <v>9.8000000000000007</v>
      </c>
      <c r="N21" s="5">
        <v>2</v>
      </c>
      <c r="O21" s="8">
        <v>7.9</v>
      </c>
      <c r="P21" s="8">
        <v>9.9</v>
      </c>
      <c r="Q21" s="5">
        <v>2.8</v>
      </c>
      <c r="R21" s="8">
        <v>8.4</v>
      </c>
      <c r="S21" s="8">
        <v>11.2</v>
      </c>
      <c r="T21" s="5">
        <v>2.4</v>
      </c>
      <c r="U21" s="8">
        <v>8.8000000000000007</v>
      </c>
      <c r="V21" s="8">
        <v>11.2</v>
      </c>
      <c r="W21" s="5">
        <v>1.8</v>
      </c>
      <c r="X21" s="8">
        <v>7.9</v>
      </c>
      <c r="Y21" s="8">
        <v>9.6999999999999993</v>
      </c>
      <c r="Z21" s="4">
        <f>IF(Gdansk_result[[#This Row],[All Around]]="Yes",SUM(H21,K21,N21,Q21,T21,W21),0)</f>
        <v>15.000000000000002</v>
      </c>
      <c r="AA21" s="7">
        <f>IF(Gdansk_result[[#This Row],[All Around]]="Yes",SUM(I21,L21,O21,R21,U21,X21),0)</f>
        <v>47.699999999999996</v>
      </c>
      <c r="AB21" s="8">
        <v>62.7</v>
      </c>
    </row>
    <row r="22" spans="1:28" x14ac:dyDescent="0.25">
      <c r="A22" s="2">
        <v>10</v>
      </c>
      <c r="B22" t="s">
        <v>48</v>
      </c>
      <c r="C22" s="2" t="s">
        <v>26</v>
      </c>
      <c r="D22" s="2">
        <v>2006</v>
      </c>
      <c r="E22" s="2" t="s">
        <v>49</v>
      </c>
      <c r="F22" t="s">
        <v>36</v>
      </c>
      <c r="G22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2" s="5">
        <v>3.2</v>
      </c>
      <c r="I22" s="8">
        <v>7.9</v>
      </c>
      <c r="J22" s="8">
        <v>11.1</v>
      </c>
      <c r="K22" s="5">
        <v>2.6</v>
      </c>
      <c r="L22" s="8">
        <v>7</v>
      </c>
      <c r="M22" s="8">
        <v>9.6</v>
      </c>
      <c r="N22" s="5">
        <v>2.2000000000000002</v>
      </c>
      <c r="O22" s="8">
        <v>7.6</v>
      </c>
      <c r="P22" s="8">
        <v>9.8000000000000007</v>
      </c>
      <c r="Q22" s="5">
        <v>1.6</v>
      </c>
      <c r="R22" s="8">
        <v>8.5</v>
      </c>
      <c r="S22" s="8">
        <v>10.1</v>
      </c>
      <c r="T22" s="5">
        <v>2.4</v>
      </c>
      <c r="U22" s="8">
        <v>9</v>
      </c>
      <c r="V22" s="8">
        <v>11.4</v>
      </c>
      <c r="W22" s="5">
        <v>1.9</v>
      </c>
      <c r="X22" s="8">
        <v>8.1999999999999993</v>
      </c>
      <c r="Y22" s="8">
        <v>10.1</v>
      </c>
      <c r="Z22" s="4">
        <f>IF(Gdansk_result[[#This Row],[All Around]]="Yes",SUM(H22,K22,N22,Q22,T22,W22),0)</f>
        <v>13.9</v>
      </c>
      <c r="AA22" s="7">
        <f>IF(Gdansk_result[[#This Row],[All Around]]="Yes",SUM(I22,L22,O22,R22,U22,X22),0)</f>
        <v>48.2</v>
      </c>
      <c r="AB22" s="8">
        <v>62.1</v>
      </c>
    </row>
    <row r="23" spans="1:28" x14ac:dyDescent="0.25">
      <c r="A23" s="2">
        <v>12</v>
      </c>
      <c r="B23" t="s">
        <v>80</v>
      </c>
      <c r="C23" s="2" t="s">
        <v>60</v>
      </c>
      <c r="D23" s="2">
        <v>2004</v>
      </c>
      <c r="E23" s="2" t="s">
        <v>81</v>
      </c>
      <c r="F23" t="s">
        <v>62</v>
      </c>
      <c r="G23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3" s="5">
        <v>3.6</v>
      </c>
      <c r="I23" s="8">
        <v>7.45</v>
      </c>
      <c r="J23" s="8">
        <v>11.05</v>
      </c>
      <c r="K23" s="5">
        <v>4.0999999999999996</v>
      </c>
      <c r="L23" s="8">
        <v>6.7</v>
      </c>
      <c r="M23" s="8">
        <v>10.8</v>
      </c>
      <c r="N23" s="5">
        <v>3.5</v>
      </c>
      <c r="O23" s="8">
        <v>8.3000000000000007</v>
      </c>
      <c r="P23" s="8">
        <v>11.8</v>
      </c>
      <c r="Q23" s="5">
        <v>2.4</v>
      </c>
      <c r="R23" s="8">
        <v>8.3000000000000007</v>
      </c>
      <c r="S23" s="8">
        <v>10.7</v>
      </c>
      <c r="T23" s="5">
        <v>2.7</v>
      </c>
      <c r="U23" s="8">
        <v>6</v>
      </c>
      <c r="V23" s="8">
        <v>8.6999999999999993</v>
      </c>
      <c r="W23" s="5">
        <v>2.2000000000000002</v>
      </c>
      <c r="X23" s="8">
        <v>1</v>
      </c>
      <c r="Y23" s="8">
        <v>3.2</v>
      </c>
      <c r="Z23" s="4">
        <f>IF(Gdansk_result[[#This Row],[All Around]]="Yes",SUM(H23,K23,N23,Q23,T23,W23),0)</f>
        <v>18.5</v>
      </c>
      <c r="AA23" s="7">
        <f>IF(Gdansk_result[[#This Row],[All Around]]="Yes",SUM(I23,L23,O23,R23,U23,X23),0)</f>
        <v>37.75</v>
      </c>
      <c r="AB23" s="8">
        <v>56.25</v>
      </c>
    </row>
    <row r="24" spans="1:28" x14ac:dyDescent="0.25">
      <c r="A24" s="2">
        <v>13</v>
      </c>
      <c r="B24" t="s">
        <v>88</v>
      </c>
      <c r="C24" s="2" t="s">
        <v>60</v>
      </c>
      <c r="D24" s="2">
        <v>2003</v>
      </c>
      <c r="E24" s="2" t="s">
        <v>89</v>
      </c>
      <c r="F24" t="s">
        <v>36</v>
      </c>
      <c r="G24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4" s="5">
        <v>3.2</v>
      </c>
      <c r="I24" s="8">
        <v>7</v>
      </c>
      <c r="J24" s="8">
        <v>10.199999999999999</v>
      </c>
      <c r="K24" s="5">
        <v>2.4</v>
      </c>
      <c r="L24" s="8">
        <v>5.8</v>
      </c>
      <c r="M24" s="8">
        <v>8.1999999999999993</v>
      </c>
      <c r="N24" s="5">
        <v>2.2000000000000002</v>
      </c>
      <c r="O24" s="8">
        <v>7.7</v>
      </c>
      <c r="P24" s="8">
        <v>9.9</v>
      </c>
      <c r="Q24" s="5">
        <v>2.4</v>
      </c>
      <c r="R24" s="8">
        <v>8</v>
      </c>
      <c r="S24" s="8">
        <v>10.4</v>
      </c>
      <c r="T24" s="5">
        <v>2.7</v>
      </c>
      <c r="U24" s="8">
        <v>7.9</v>
      </c>
      <c r="V24" s="8">
        <v>10.6</v>
      </c>
      <c r="W24" s="5">
        <v>1.9</v>
      </c>
      <c r="X24" s="8">
        <v>4.2</v>
      </c>
      <c r="Y24" s="8">
        <v>6.1</v>
      </c>
      <c r="Z24" s="4">
        <f>IF(Gdansk_result[[#This Row],[All Around]]="Yes",SUM(H24,K24,N24,Q24,T24,W24),0)</f>
        <v>14.799999999999999</v>
      </c>
      <c r="AA24" s="7">
        <f>IF(Gdansk_result[[#This Row],[All Around]]="Yes",SUM(I24,L24,O24,R24,U24,X24),0)</f>
        <v>40.6</v>
      </c>
      <c r="AB24" s="8">
        <v>55.4</v>
      </c>
    </row>
    <row r="25" spans="1:28" x14ac:dyDescent="0.25">
      <c r="A25" s="2">
        <v>11</v>
      </c>
      <c r="B25" t="s">
        <v>46</v>
      </c>
      <c r="C25" s="2" t="s">
        <v>26</v>
      </c>
      <c r="D25" s="2">
        <v>2006</v>
      </c>
      <c r="E25" s="2" t="s">
        <v>47</v>
      </c>
      <c r="F25" t="s">
        <v>36</v>
      </c>
      <c r="G25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Yes</v>
      </c>
      <c r="H25" s="5">
        <v>2.9</v>
      </c>
      <c r="I25" s="8">
        <v>7.8</v>
      </c>
      <c r="J25" s="8">
        <v>10.7</v>
      </c>
      <c r="K25" s="5">
        <v>2.5</v>
      </c>
      <c r="L25" s="8">
        <v>5.5</v>
      </c>
      <c r="M25" s="8">
        <v>8</v>
      </c>
      <c r="N25" s="5">
        <v>1.7</v>
      </c>
      <c r="O25" s="8">
        <v>7.7</v>
      </c>
      <c r="P25" s="8">
        <v>9.4</v>
      </c>
      <c r="Q25" s="5">
        <v>1.6</v>
      </c>
      <c r="R25" s="8">
        <v>8.8000000000000007</v>
      </c>
      <c r="S25" s="8">
        <v>10.4</v>
      </c>
      <c r="T25" s="5">
        <v>2.4</v>
      </c>
      <c r="U25" s="8">
        <v>8</v>
      </c>
      <c r="V25" s="8">
        <v>10.4</v>
      </c>
      <c r="W25" s="5">
        <v>1.5</v>
      </c>
      <c r="X25" s="8">
        <v>2.5</v>
      </c>
      <c r="Y25" s="8">
        <v>4</v>
      </c>
      <c r="Z25" s="4">
        <f>IF(Gdansk_result[[#This Row],[All Around]]="Yes",SUM(H25,K25,N25,Q25,T25,W25),0)</f>
        <v>12.600000000000001</v>
      </c>
      <c r="AA25" s="7">
        <f>IF(Gdansk_result[[#This Row],[All Around]]="Yes",SUM(I25,L25,O25,R25,U25,X25),0)</f>
        <v>40.299999999999997</v>
      </c>
      <c r="AB25" s="8">
        <v>52.9</v>
      </c>
    </row>
    <row r="26" spans="1:28" x14ac:dyDescent="0.25">
      <c r="A26" s="2">
        <v>12</v>
      </c>
      <c r="B26" t="s">
        <v>114</v>
      </c>
      <c r="C26" s="2" t="s">
        <v>26</v>
      </c>
      <c r="D26" s="2">
        <v>2006</v>
      </c>
      <c r="E26" s="2" t="s">
        <v>115</v>
      </c>
      <c r="F26" t="s">
        <v>36</v>
      </c>
      <c r="G26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26" s="5">
        <v>3.4</v>
      </c>
      <c r="I26" s="8">
        <v>7.1</v>
      </c>
      <c r="J26" s="8">
        <v>10.5</v>
      </c>
      <c r="K26" s="5">
        <v>2.6</v>
      </c>
      <c r="L26" s="8">
        <v>6.5</v>
      </c>
      <c r="M26" s="8">
        <v>9.1</v>
      </c>
      <c r="N26" s="5">
        <v>0</v>
      </c>
      <c r="O26" s="8">
        <v>0</v>
      </c>
      <c r="P26" s="8">
        <v>0</v>
      </c>
      <c r="Q26" s="5">
        <v>1.6</v>
      </c>
      <c r="R26" s="8">
        <v>8.8000000000000007</v>
      </c>
      <c r="S26" s="8">
        <v>10.4</v>
      </c>
      <c r="T26" s="5">
        <v>2.4</v>
      </c>
      <c r="U26" s="8">
        <v>8.8000000000000007</v>
      </c>
      <c r="V26" s="8">
        <v>11.2</v>
      </c>
      <c r="W26" s="5">
        <v>1.8</v>
      </c>
      <c r="X26" s="8">
        <v>7.8</v>
      </c>
      <c r="Y26" s="8">
        <v>9.6</v>
      </c>
      <c r="Z26" s="4">
        <f>IF(Gdansk_result[[#This Row],[All Around]]="Yes",SUM(H26,K26,N26,Q26,T26,W26),0)</f>
        <v>0</v>
      </c>
      <c r="AA26" s="7">
        <f>IF(Gdansk_result[[#This Row],[All Around]]="Yes",SUM(I26,L26,O26,R26,U26,X26),0)</f>
        <v>0</v>
      </c>
      <c r="AB26" s="8">
        <v>50.8</v>
      </c>
    </row>
    <row r="27" spans="1:28" x14ac:dyDescent="0.25">
      <c r="A27" s="2">
        <v>14</v>
      </c>
      <c r="B27" t="s">
        <v>86</v>
      </c>
      <c r="C27" s="2" t="s">
        <v>60</v>
      </c>
      <c r="D27" s="2">
        <v>2003</v>
      </c>
      <c r="E27" s="2" t="s">
        <v>87</v>
      </c>
      <c r="F27" t="s">
        <v>72</v>
      </c>
      <c r="G27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27" s="5">
        <v>3.9</v>
      </c>
      <c r="I27" s="8">
        <v>7.2</v>
      </c>
      <c r="J27" s="8">
        <v>11.1</v>
      </c>
      <c r="K27" s="5">
        <v>3.8</v>
      </c>
      <c r="L27" s="8">
        <v>7.6</v>
      </c>
      <c r="M27" s="8">
        <v>11.4</v>
      </c>
      <c r="N27" s="5">
        <v>2.7</v>
      </c>
      <c r="O27" s="8">
        <v>6</v>
      </c>
      <c r="P27" s="8">
        <v>8.6999999999999993</v>
      </c>
      <c r="Q27" s="5">
        <v>2.8</v>
      </c>
      <c r="R27" s="8">
        <v>8.3000000000000007</v>
      </c>
      <c r="S27" s="8">
        <v>11.1</v>
      </c>
      <c r="T27" s="5">
        <v>2.4</v>
      </c>
      <c r="U27" s="8">
        <v>4</v>
      </c>
      <c r="V27" s="8">
        <v>6.4</v>
      </c>
      <c r="W27" s="5">
        <v>0</v>
      </c>
      <c r="X27" s="8">
        <v>0</v>
      </c>
      <c r="Y27" s="8">
        <v>0</v>
      </c>
      <c r="Z27" s="4">
        <f>IF(Gdansk_result[[#This Row],[All Around]]="Yes",SUM(H27,K27,N27,Q27,T27,W27),0)</f>
        <v>0</v>
      </c>
      <c r="AA27" s="7">
        <f>IF(Gdansk_result[[#This Row],[All Around]]="Yes",SUM(I27,L27,O27,R27,U27,X27),0)</f>
        <v>0</v>
      </c>
      <c r="AB27" s="8">
        <v>48.7</v>
      </c>
    </row>
    <row r="28" spans="1:28" x14ac:dyDescent="0.25">
      <c r="A28" s="2">
        <v>13</v>
      </c>
      <c r="B28" t="s">
        <v>52</v>
      </c>
      <c r="C28" s="2" t="s">
        <v>26</v>
      </c>
      <c r="D28" s="2">
        <v>2006</v>
      </c>
      <c r="E28" s="2" t="s">
        <v>53</v>
      </c>
      <c r="F28" t="s">
        <v>36</v>
      </c>
      <c r="G28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28" s="5">
        <v>3.2</v>
      </c>
      <c r="I28" s="8">
        <v>6.9</v>
      </c>
      <c r="J28" s="8">
        <v>10.1</v>
      </c>
      <c r="K28" s="5">
        <v>2</v>
      </c>
      <c r="L28" s="8">
        <v>3.5</v>
      </c>
      <c r="M28" s="8">
        <v>5.5</v>
      </c>
      <c r="N28" s="5">
        <v>0</v>
      </c>
      <c r="O28" s="8">
        <v>0</v>
      </c>
      <c r="P28" s="8">
        <v>0</v>
      </c>
      <c r="Q28" s="5">
        <v>2.4</v>
      </c>
      <c r="R28" s="8">
        <v>8.1999999999999993</v>
      </c>
      <c r="S28" s="8">
        <v>10.6</v>
      </c>
      <c r="T28" s="5">
        <v>2.4</v>
      </c>
      <c r="U28" s="8">
        <v>8.5</v>
      </c>
      <c r="V28" s="8">
        <v>10.9</v>
      </c>
      <c r="W28" s="5">
        <v>0</v>
      </c>
      <c r="X28" s="8">
        <v>0</v>
      </c>
      <c r="Y28" s="8">
        <v>0</v>
      </c>
      <c r="Z28" s="4">
        <f>IF(Gdansk_result[[#This Row],[All Around]]="Yes",SUM(H28,K28,N28,Q28,T28,W28),0)</f>
        <v>0</v>
      </c>
      <c r="AA28" s="7">
        <f>IF(Gdansk_result[[#This Row],[All Around]]="Yes",SUM(I28,L28,O28,R28,U28,X28),0)</f>
        <v>0</v>
      </c>
      <c r="AB28" s="8">
        <v>37.1</v>
      </c>
    </row>
    <row r="29" spans="1:28" x14ac:dyDescent="0.25">
      <c r="A29" s="2">
        <v>15</v>
      </c>
      <c r="B29" t="s">
        <v>90</v>
      </c>
      <c r="C29" s="2" t="s">
        <v>60</v>
      </c>
      <c r="D29" s="2">
        <v>2004</v>
      </c>
      <c r="E29" s="2" t="s">
        <v>91</v>
      </c>
      <c r="F29" t="s">
        <v>36</v>
      </c>
      <c r="G29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29" s="5">
        <v>3.6</v>
      </c>
      <c r="I29" s="8">
        <v>5.7</v>
      </c>
      <c r="J29" s="8">
        <v>9.3000000000000007</v>
      </c>
      <c r="K29" s="5">
        <v>3.4</v>
      </c>
      <c r="L29" s="8">
        <v>8.4</v>
      </c>
      <c r="M29" s="8">
        <v>11.8</v>
      </c>
      <c r="N29" s="5">
        <v>0</v>
      </c>
      <c r="O29" s="8">
        <v>0</v>
      </c>
      <c r="P29" s="8">
        <v>0</v>
      </c>
      <c r="Q29" s="5">
        <v>4</v>
      </c>
      <c r="R29" s="8">
        <v>8.9</v>
      </c>
      <c r="S29" s="8">
        <v>12.9</v>
      </c>
      <c r="T29" s="5">
        <v>0</v>
      </c>
      <c r="U29" s="8">
        <v>0</v>
      </c>
      <c r="V29" s="8">
        <v>0</v>
      </c>
      <c r="W29" s="5">
        <v>0</v>
      </c>
      <c r="X29" s="8">
        <v>0</v>
      </c>
      <c r="Y29" s="8">
        <v>0</v>
      </c>
      <c r="Z29" s="4">
        <f>IF(Gdansk_result[[#This Row],[All Around]]="Yes",SUM(H29,K29,N29,Q29,T29,W29),0)</f>
        <v>0</v>
      </c>
      <c r="AA29" s="7">
        <f>IF(Gdansk_result[[#This Row],[All Around]]="Yes",SUM(I29,L29,O29,R29,U29,X29),0)</f>
        <v>0</v>
      </c>
      <c r="AB29" s="8">
        <v>34</v>
      </c>
    </row>
    <row r="30" spans="1:28" x14ac:dyDescent="0.25">
      <c r="A30" s="2">
        <v>16</v>
      </c>
      <c r="B30" t="s">
        <v>98</v>
      </c>
      <c r="C30" s="2" t="s">
        <v>60</v>
      </c>
      <c r="D30" s="2">
        <v>2003</v>
      </c>
      <c r="E30" s="2" t="s">
        <v>99</v>
      </c>
      <c r="F30" t="s">
        <v>72</v>
      </c>
      <c r="G30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30" s="5">
        <v>3.5</v>
      </c>
      <c r="I30" s="8">
        <v>7.1</v>
      </c>
      <c r="J30" s="8">
        <v>10.6</v>
      </c>
      <c r="K30" s="5">
        <v>2.6</v>
      </c>
      <c r="L30" s="8">
        <v>4.4000000000000004</v>
      </c>
      <c r="M30" s="8">
        <v>7</v>
      </c>
      <c r="N30" s="5">
        <v>0</v>
      </c>
      <c r="O30" s="8">
        <v>0</v>
      </c>
      <c r="P30" s="8">
        <v>0</v>
      </c>
      <c r="Q30" s="5">
        <v>0</v>
      </c>
      <c r="R30" s="8">
        <v>0</v>
      </c>
      <c r="S30" s="8">
        <v>0</v>
      </c>
      <c r="T30" s="5">
        <v>2.5</v>
      </c>
      <c r="U30" s="8">
        <v>8.4</v>
      </c>
      <c r="V30" s="8">
        <v>10.9</v>
      </c>
      <c r="W30" s="5">
        <v>0</v>
      </c>
      <c r="X30" s="8">
        <v>0</v>
      </c>
      <c r="Y30" s="8">
        <v>0</v>
      </c>
      <c r="Z30" s="4">
        <f>IF(Gdansk_result[[#This Row],[All Around]]="Yes",SUM(H30,K30,N30,Q30,T30,W30),0)</f>
        <v>0</v>
      </c>
      <c r="AA30" s="7">
        <f>IF(Gdansk_result[[#This Row],[All Around]]="Yes",SUM(I30,L30,O30,R30,U30,X30),0)</f>
        <v>0</v>
      </c>
      <c r="AB30" s="8">
        <v>28.5</v>
      </c>
    </row>
    <row r="31" spans="1:28" x14ac:dyDescent="0.25">
      <c r="A31" s="2">
        <v>17</v>
      </c>
      <c r="B31" t="s">
        <v>75</v>
      </c>
      <c r="C31" s="2" t="s">
        <v>60</v>
      </c>
      <c r="D31" s="2">
        <v>2003</v>
      </c>
      <c r="E31" s="2" t="s">
        <v>76</v>
      </c>
      <c r="F31" t="s">
        <v>28</v>
      </c>
      <c r="G31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31" s="5">
        <v>0</v>
      </c>
      <c r="I31" s="8">
        <v>0</v>
      </c>
      <c r="J31" s="8">
        <v>0</v>
      </c>
      <c r="K31" s="5">
        <v>4.2</v>
      </c>
      <c r="L31" s="8">
        <v>8.3000000000000007</v>
      </c>
      <c r="M31" s="8">
        <v>12.5</v>
      </c>
      <c r="N31" s="5">
        <v>0</v>
      </c>
      <c r="O31" s="8">
        <v>0</v>
      </c>
      <c r="P31" s="8">
        <v>0</v>
      </c>
      <c r="Q31" s="5">
        <v>0</v>
      </c>
      <c r="R31" s="8">
        <v>0</v>
      </c>
      <c r="S31" s="8">
        <v>0</v>
      </c>
      <c r="T31" s="5">
        <v>3.1</v>
      </c>
      <c r="U31" s="8">
        <v>9</v>
      </c>
      <c r="V31" s="8">
        <v>12.1</v>
      </c>
      <c r="W31" s="5">
        <v>0</v>
      </c>
      <c r="X31" s="8">
        <v>0</v>
      </c>
      <c r="Y31" s="8">
        <v>0</v>
      </c>
      <c r="Z31" s="4">
        <f>IF(Gdansk_result[[#This Row],[All Around]]="Yes",SUM(H31,K31,N31,Q31,T31,W31),0)</f>
        <v>0</v>
      </c>
      <c r="AA31" s="7">
        <f>IF(Gdansk_result[[#This Row],[All Around]]="Yes",SUM(I31,L31,O31,R31,U31,X31),0)</f>
        <v>0</v>
      </c>
      <c r="AB31" s="8">
        <v>24.6</v>
      </c>
    </row>
    <row r="32" spans="1:28" x14ac:dyDescent="0.25">
      <c r="A32" s="2">
        <v>18</v>
      </c>
      <c r="B32" t="s">
        <v>96</v>
      </c>
      <c r="C32" s="2" t="s">
        <v>60</v>
      </c>
      <c r="D32" s="2">
        <v>2002</v>
      </c>
      <c r="E32" s="2" t="s">
        <v>97</v>
      </c>
      <c r="F32" t="s">
        <v>62</v>
      </c>
      <c r="G32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32" s="5">
        <v>0</v>
      </c>
      <c r="I32" s="8">
        <v>0</v>
      </c>
      <c r="J32" s="8">
        <v>0</v>
      </c>
      <c r="K32" s="5">
        <v>4.5</v>
      </c>
      <c r="L32" s="8">
        <v>6.3</v>
      </c>
      <c r="M32" s="8">
        <v>10.8</v>
      </c>
      <c r="N32" s="5">
        <v>0</v>
      </c>
      <c r="O32" s="8">
        <v>0</v>
      </c>
      <c r="P32" s="8">
        <v>0</v>
      </c>
      <c r="Q32" s="5">
        <v>0</v>
      </c>
      <c r="R32" s="8">
        <v>0</v>
      </c>
      <c r="S32" s="8">
        <v>0</v>
      </c>
      <c r="T32" s="5">
        <v>3.5</v>
      </c>
      <c r="U32" s="8">
        <v>3</v>
      </c>
      <c r="V32" s="8">
        <v>6.5</v>
      </c>
      <c r="W32" s="5">
        <v>0</v>
      </c>
      <c r="X32" s="8">
        <v>0</v>
      </c>
      <c r="Y32" s="8">
        <v>0</v>
      </c>
      <c r="Z32" s="4">
        <f>IF(Gdansk_result[[#This Row],[All Around]]="Yes",SUM(H32,K32,N32,Q32,T32,W32),0)</f>
        <v>0</v>
      </c>
      <c r="AA32" s="7">
        <f>IF(Gdansk_result[[#This Row],[All Around]]="Yes",SUM(I32,L32,O32,R32,U32,X32),0)</f>
        <v>0</v>
      </c>
      <c r="AB32" s="8">
        <v>17.3</v>
      </c>
    </row>
    <row r="33" spans="1:28" x14ac:dyDescent="0.25">
      <c r="A33" s="2">
        <v>19</v>
      </c>
      <c r="B33" t="s">
        <v>94</v>
      </c>
      <c r="C33" s="2" t="s">
        <v>60</v>
      </c>
      <c r="D33" s="2">
        <v>2002</v>
      </c>
      <c r="E33" s="2" t="s">
        <v>95</v>
      </c>
      <c r="F33" t="s">
        <v>72</v>
      </c>
      <c r="G33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33" s="5">
        <v>0</v>
      </c>
      <c r="I33" s="8">
        <v>0</v>
      </c>
      <c r="J33" s="8">
        <v>0</v>
      </c>
      <c r="K33" s="5">
        <v>0</v>
      </c>
      <c r="L33" s="8">
        <v>0</v>
      </c>
      <c r="M33" s="8">
        <v>0</v>
      </c>
      <c r="N33" s="5">
        <v>4.3</v>
      </c>
      <c r="O33" s="8">
        <v>7.2</v>
      </c>
      <c r="P33" s="8">
        <v>11.5</v>
      </c>
      <c r="Q33" s="5">
        <v>0</v>
      </c>
      <c r="R33" s="8">
        <v>0</v>
      </c>
      <c r="S33" s="8">
        <v>0</v>
      </c>
      <c r="T33" s="5">
        <v>0</v>
      </c>
      <c r="U33" s="8">
        <v>0</v>
      </c>
      <c r="V33" s="8">
        <v>0</v>
      </c>
      <c r="W33" s="5">
        <v>0</v>
      </c>
      <c r="X33" s="8">
        <v>0</v>
      </c>
      <c r="Y33" s="8">
        <v>0</v>
      </c>
      <c r="Z33" s="4">
        <f>IF(Gdansk_result[[#This Row],[All Around]]="Yes",SUM(H33,K33,N33,Q33,T33,W33),0)</f>
        <v>0</v>
      </c>
      <c r="AA33" s="7">
        <f>IF(Gdansk_result[[#This Row],[All Around]]="Yes",SUM(I33,L33,O33,R33,U33,X33),0)</f>
        <v>0</v>
      </c>
      <c r="AB33" s="8">
        <v>11.5</v>
      </c>
    </row>
    <row r="34" spans="1:28" x14ac:dyDescent="0.25">
      <c r="A34" s="2">
        <v>20</v>
      </c>
      <c r="B34" t="s">
        <v>104</v>
      </c>
      <c r="C34" s="2" t="s">
        <v>60</v>
      </c>
      <c r="D34" s="2">
        <v>2004</v>
      </c>
      <c r="E34" s="2" t="s">
        <v>105</v>
      </c>
      <c r="F34" t="s">
        <v>28</v>
      </c>
      <c r="G34" s="2" t="str">
        <f>IF((COUNTIF(Gdansk_result[[#This Row],[FX_total_score]],"&gt;0")+COUNTIF(Gdansk_result[[#This Row],[PH_Total_Score]],"&gt;0")+COUNTIF(Gdansk_result[[#This Row],[SR_Total_Score]],"&gt;0")+COUNTIF(Gdansk_result[[#This Row],[VT_total_score]],"&gt;0")+COUNTIF(Gdansk_result[[#This Row],[PB_total_score]],"&gt;0")+COUNTIF(Gdansk_result[[#This Row],[HB_total_score]],"&gt;0"))=6,"Yes","No")</f>
        <v>No</v>
      </c>
      <c r="H34" s="5">
        <v>4.4000000000000004</v>
      </c>
      <c r="I34" s="8">
        <v>4.5</v>
      </c>
      <c r="J34" s="8">
        <v>8.9</v>
      </c>
      <c r="K34" s="5">
        <v>0</v>
      </c>
      <c r="L34" s="8">
        <v>0</v>
      </c>
      <c r="M34" s="8">
        <v>0</v>
      </c>
      <c r="N34" s="5">
        <v>0</v>
      </c>
      <c r="O34" s="8">
        <v>0</v>
      </c>
      <c r="P34" s="8">
        <v>0</v>
      </c>
      <c r="Q34" s="5">
        <v>0</v>
      </c>
      <c r="R34" s="8">
        <v>0</v>
      </c>
      <c r="S34" s="8">
        <v>0</v>
      </c>
      <c r="T34" s="5">
        <v>0</v>
      </c>
      <c r="U34" s="8">
        <v>0</v>
      </c>
      <c r="V34" s="8">
        <v>0</v>
      </c>
      <c r="W34" s="5">
        <v>0</v>
      </c>
      <c r="X34" s="8">
        <v>0</v>
      </c>
      <c r="Y34" s="8">
        <v>0</v>
      </c>
      <c r="Z34" s="4">
        <f>IF(Gdansk_result[[#This Row],[All Around]]="Yes",SUM(H34,K34,N34,Q34,T34,W34),0)</f>
        <v>0</v>
      </c>
      <c r="AA34" s="7">
        <f>IF(Gdansk_result[[#This Row],[All Around]]="Yes",SUM(I34,L34,O34,R34,U34,X34),0)</f>
        <v>0</v>
      </c>
      <c r="AB34" s="8">
        <v>8.9</v>
      </c>
    </row>
    <row r="37" spans="1:28" x14ac:dyDescent="0.25">
      <c r="F37" s="2"/>
      <c r="G37" s="2"/>
      <c r="H37" s="5"/>
      <c r="I37" s="8"/>
      <c r="J37" s="8"/>
      <c r="K37" s="5"/>
      <c r="L37" s="8"/>
      <c r="M37" s="8"/>
      <c r="N37" s="5"/>
      <c r="O37" s="8"/>
      <c r="P37" s="8"/>
      <c r="Q37" s="5"/>
      <c r="R37" s="8"/>
      <c r="S37" s="8"/>
      <c r="T37" s="5"/>
      <c r="U37" s="8"/>
      <c r="V37" s="8"/>
      <c r="W37" s="8"/>
      <c r="X37" s="8"/>
      <c r="Y37" s="8"/>
      <c r="Z37" s="8"/>
      <c r="AA37" s="8"/>
      <c r="AB37" s="8"/>
    </row>
    <row r="38" spans="1:28" x14ac:dyDescent="0.25">
      <c r="F38" s="2"/>
      <c r="G38" s="2"/>
      <c r="H38" s="5"/>
      <c r="I38" s="8"/>
      <c r="J38" s="8"/>
      <c r="K38" s="5"/>
      <c r="L38" s="8"/>
      <c r="M38" s="8"/>
      <c r="N38" s="5"/>
      <c r="O38" s="8"/>
      <c r="P38" s="8"/>
      <c r="Q38" s="5"/>
      <c r="R38" s="8"/>
      <c r="S38" s="8"/>
      <c r="T38" s="5"/>
      <c r="U38" s="8"/>
      <c r="V38" s="8"/>
      <c r="W38" s="8"/>
      <c r="X38" s="8"/>
      <c r="Y38" s="8"/>
      <c r="Z38" s="8"/>
      <c r="AA38" s="8"/>
      <c r="AB38" s="8"/>
    </row>
    <row r="39" spans="1:28" ht="27.75" customHeight="1" x14ac:dyDescent="0.25">
      <c r="A39" s="15" t="s">
        <v>249</v>
      </c>
      <c r="B39" s="15"/>
      <c r="C39" s="15"/>
      <c r="D39" s="15"/>
      <c r="E39" s="15"/>
      <c r="F39" s="15"/>
      <c r="G39" s="15"/>
      <c r="H39" s="15"/>
      <c r="I39" s="15"/>
      <c r="J39" s="14"/>
      <c r="K39" s="15" t="s">
        <v>250</v>
      </c>
      <c r="L39" s="15"/>
      <c r="M39" s="15"/>
      <c r="N39" s="15"/>
      <c r="O39" s="15"/>
      <c r="P39" s="15"/>
      <c r="Q39" s="15"/>
      <c r="R39" s="15"/>
      <c r="S39" s="15"/>
      <c r="T39" s="14"/>
      <c r="U39" s="14"/>
      <c r="V39" s="8"/>
      <c r="W39" s="5"/>
      <c r="X39" s="8"/>
      <c r="Y39" s="8"/>
      <c r="Z39" s="8"/>
      <c r="AA39" s="8"/>
      <c r="AB39" s="8"/>
    </row>
    <row r="40" spans="1:28" ht="31.5" customHeight="1" x14ac:dyDescent="0.25">
      <c r="A40" s="10" t="s">
        <v>217</v>
      </c>
      <c r="B40" s="10" t="s">
        <v>244</v>
      </c>
      <c r="C40" s="10" t="s">
        <v>251</v>
      </c>
      <c r="D40" s="10" t="s">
        <v>245</v>
      </c>
      <c r="E40" s="10" t="s">
        <v>252</v>
      </c>
      <c r="F40" s="10" t="s">
        <v>246</v>
      </c>
      <c r="G40" s="10" t="s">
        <v>253</v>
      </c>
      <c r="H40" s="10" t="s">
        <v>254</v>
      </c>
      <c r="I40" s="10" t="s">
        <v>255</v>
      </c>
      <c r="J40" s="16"/>
      <c r="K40" s="10" t="s">
        <v>217</v>
      </c>
      <c r="L40" s="10" t="s">
        <v>244</v>
      </c>
      <c r="M40" s="10" t="s">
        <v>251</v>
      </c>
      <c r="N40" s="10" t="s">
        <v>245</v>
      </c>
      <c r="O40" s="10" t="s">
        <v>252</v>
      </c>
      <c r="P40" s="10" t="s">
        <v>246</v>
      </c>
      <c r="Q40" s="10" t="s">
        <v>253</v>
      </c>
      <c r="R40" s="10" t="s">
        <v>254</v>
      </c>
      <c r="S40" s="10" t="s">
        <v>255</v>
      </c>
      <c r="V40" s="5"/>
      <c r="W40" s="5"/>
      <c r="X40" s="5"/>
      <c r="Y40" s="5"/>
      <c r="Z40" s="5"/>
      <c r="AA40" s="5"/>
      <c r="AB40" s="5"/>
    </row>
    <row r="41" spans="1:28" x14ac:dyDescent="0.25">
      <c r="A41" s="10" t="s">
        <v>218</v>
      </c>
      <c r="B41" s="11">
        <f>AVERAGEIFS(Gdansk_result[FX_Dscore],Gdansk_result[[Category]:[Category]],"junior",Gdansk_result[FX_Dscore],"&lt;&gt;0")</f>
        <v>3.5461538461538469</v>
      </c>
      <c r="C41" s="11" cm="1">
        <f t="array" ref="C41">_xlfn.STDEV.S(_xlfn._xlws.FILTER(Gdansk_result[FX_Dscore],(Gdansk_result[Category]="junior")*(Gdansk_result[FX_Dscore]&gt;0)))</f>
        <v>0.47366546671566478</v>
      </c>
      <c r="D41" s="12">
        <f>AVERAGEIFS(Gdansk_result[FX_Escore],Gdansk_result[[Category]:[Category]],"junior",Gdansk_result[FX_Escore],"&lt;&gt;0")</f>
        <v>7.2692307692307692</v>
      </c>
      <c r="E41" s="12" cm="1">
        <f t="array" ref="E41">_xlfn.STDEV.S(_xlfn._xlws.FILTER(Gdansk_result[FX_Escore],(Gdansk_result[Category]="junior")*(Gdansk_result[FX_Escore]&gt;0)))</f>
        <v>0.610170215847752</v>
      </c>
      <c r="F41" s="12">
        <f>AVERAGEIFS(Gdansk_result[FX_total_score],Gdansk_result[[Category]:[Category]],"junior",Gdansk_result[FX_total_score],"&lt;&gt;0")</f>
        <v>10.815384615384614</v>
      </c>
      <c r="G41" s="12" cm="1">
        <f t="array" ref="G41">_xlfn.STDEV.S(_xlfn._xlws.FILTER(Gdansk_result[FX_total_score],(Gdansk_result[Category]="junior")*(Gdansk_result[FX_total_score]&gt;0)))</f>
        <v>0.77765261508181793</v>
      </c>
      <c r="H41" s="12" cm="1">
        <f t="array" ref="H41">MAX(_xlfn._xlws.FILTER(Gdansk_result[FX_total_score],Gdansk_result[Category]="junior"))</f>
        <v>11.9</v>
      </c>
      <c r="I41" s="10" t="str" cm="1">
        <f t="array" ref="I41">_xlfn.XLOOKUP(H41,_xlfn._xlws.FILTER(Gdansk_result[FX_total_score],Gdansk_result[Category]="junior"),_xlfn._xlws.FILTER(Gdansk_result[Name],Gdansk_result[Category]="junior"),0)</f>
        <v>LEKHAC Tomasz</v>
      </c>
      <c r="J41" s="16"/>
      <c r="K41" s="10" t="s">
        <v>218</v>
      </c>
      <c r="L41" s="11">
        <f>AVERAGEIFS(Gdansk_result[FX_Dscore],Gdansk_result[[Category]:[Category]],"senior",Gdansk_result[FX_Dscore],"&lt;&gt;0")</f>
        <v>4.276470588235294</v>
      </c>
      <c r="M41" s="11" cm="1">
        <f t="array" ref="M41">_xlfn.STDEV.S(_xlfn._xlws.FILTER(_xlfn._xlws.FILTER(Gdansk_result[FX_Dscore],Gdansk_result[Category]="senior",""),_xlfn._xlws.FILTER(Gdansk_result[FX_Dscore],Gdansk_result[Category]="senior","")&lt;&gt;0,""))</f>
        <v>0.77663489794489715</v>
      </c>
      <c r="N41" s="12">
        <f>AVERAGEIFS(Gdansk_result[FX_Escore],Gdansk_result[[Category]:[Category]],"senior",Gdansk_result[FX_Escore],"&lt;&gt;0")</f>
        <v>6.7235294117647069</v>
      </c>
      <c r="O41" s="12" cm="1">
        <f t="array" ref="O41">_xlfn.STDEV.S(_xlfn._xlws.FILTER(_xlfn._xlws.FILTER(Gdansk_result[FX_Escore],Gdansk_result[Category]="senior",""),_xlfn._xlws.FILTER(Gdansk_result[FX_Escore],Gdansk_result[Category]="senior","")&lt;&gt;0,""))</f>
        <v>0.87126302842819747</v>
      </c>
      <c r="P41" s="12">
        <f>AVERAGEIFS(Gdansk_result[FX_total_score],Gdansk_result[[Category]:[Category]],"senior",Gdansk_result[FX_total_score],"&lt;&gt;0")</f>
        <v>11.000000000000002</v>
      </c>
      <c r="Q41" s="12" cm="1">
        <f t="array" ref="Q41">_xlfn.STDEV.S(_xlfn._xlws.FILTER(_xlfn._xlws.FILTER(Gdansk_result[FX_total_score],Gdansk_result[Category]="senior",""),_xlfn._xlws.FILTER(Gdansk_result[FX_total_score],Gdansk_result[Category]="senior","")&lt;&gt;0,""))</f>
        <v>0.98915999716931546</v>
      </c>
      <c r="R41" s="12" cm="1">
        <f t="array" ref="R41">MAX(_xlfn._xlws.FILTER(Gdansk_result[FX_total_score],Gdansk_result[Category]="senior"))</f>
        <v>12.8</v>
      </c>
      <c r="S41" s="10" t="str" cm="1">
        <f t="array" ref="S41">_xlfn.XLOOKUP(R41,_xlfn._xlws.FILTER(Gdansk_result[FX_total_score],Gdansk_result[Category]="senior"),_xlfn._xlws.FILTER(Gdansk_result[Name],Gdansk_result[Category]="senior"),0)</f>
        <v>GARNCZAREK Kacper</v>
      </c>
    </row>
    <row r="42" spans="1:28" ht="31.5" customHeight="1" x14ac:dyDescent="0.25">
      <c r="A42" s="10" t="s">
        <v>238</v>
      </c>
      <c r="B42" s="11">
        <f>AVERAGEIFS(Gdansk_result[PH_Dscore],Gdansk_result[[Category]:[Category]],"junior",Gdansk_result[PH_Dscore],"&lt;&gt;0")</f>
        <v>3.0076923076923077</v>
      </c>
      <c r="C42" s="11" cm="1">
        <f t="array" ref="C42">_xlfn.STDEV.S(_xlfn._xlws.FILTER(Gdansk_result[PH_Dscore],(Gdansk_result[Category]="junior")*(Gdansk_result[PH_Dscore]&gt;0)))</f>
        <v>0.5950651763484095</v>
      </c>
      <c r="D42" s="12">
        <f>AVERAGEIFS(Gdansk_result[PH_Escore],Gdansk_result[[Category]:[Category]],"junior",Gdansk_result[PH_Escore],"&lt;&gt;0")</f>
        <v>7.0923076923076929</v>
      </c>
      <c r="E42" s="12" cm="1">
        <f t="array" ref="E42">_xlfn.STDEV.S(_xlfn._xlws.FILTER(Gdansk_result[PH_Escore],(Gdansk_result[Category]="junior")*(Gdansk_result[PH_Escore]&gt;0)))</f>
        <v>1.5190246533338123</v>
      </c>
      <c r="F42" s="12">
        <f>AVERAGEIFS(Gdansk_result[PH_Total_Score],Gdansk_result[[Category]:[Category]],"junior",Gdansk_result[PH_Total_Score],"&lt;&gt;0")</f>
        <v>10.099999999999998</v>
      </c>
      <c r="G42" s="12" cm="1">
        <f t="array" ref="G42">_xlfn.STDEV.S(_xlfn._xlws.FILTER(Gdansk_result[PH_Total_Score],(Gdansk_result[Category]="junior")*(Gdansk_result[PH_Total_Score]&gt;0)))</f>
        <v>1.9874606914351858</v>
      </c>
      <c r="H42" s="12" cm="1">
        <f t="array" ref="H42">MAX(_xlfn._xlws.FILTER(Gdansk_result[PH_Total_Score],Gdansk_result[Category]="junior"))</f>
        <v>12.5</v>
      </c>
      <c r="I42" s="10" t="str" cm="1">
        <f t="array" ref="I42">_xlfn.XLOOKUP(H42,_xlfn._xlws.FILTER(Gdansk_result[PH_Total_Score],Gdansk_result[Category]="junior"),_xlfn._xlws.FILTER(Gdansk_result[Name],Gdansk_result[Category]="junior"),0)</f>
        <v>LEKHAC Tomasz</v>
      </c>
      <c r="J42" s="16"/>
      <c r="K42" s="10" t="s">
        <v>238</v>
      </c>
      <c r="L42" s="11">
        <f>AVERAGEIFS(Gdansk_result[PH_Dscore],Gdansk_result[[Category]:[Category]],"senior",Gdansk_result[PH_Dscore],"&lt;&gt;0")</f>
        <v>3.5388888888888892</v>
      </c>
      <c r="M42" s="11" cm="1">
        <f t="array" ref="M42">_xlfn.STDEV.S(_xlfn._xlws.FILTER(_xlfn._xlws.FILTER(Gdansk_result[PH_Dscore],Gdansk_result[Category]="senior",""),_xlfn._xlws.FILTER(Gdansk_result[PH_Dscore],Gdansk_result[Category]="senior","")&lt;&gt;0,""))</f>
        <v>0.70555684215826386</v>
      </c>
      <c r="N42" s="12">
        <f>AVERAGEIFS(Gdansk_result[PH_Escore],Gdansk_result[[Category]:[Category]],"senior",Gdansk_result[PH_Escore],"&lt;&gt;0")</f>
        <v>6.7555555555555555</v>
      </c>
      <c r="O42" s="12" cm="1">
        <f t="array" ref="O42">_xlfn.STDEV.S(_xlfn._xlws.FILTER(_xlfn._xlws.FILTER(Gdansk_result[PH_Escore],Gdansk_result[Category]="senior",""),_xlfn._xlws.FILTER(Gdansk_result[PH_Escore],Gdansk_result[Category]="senior","")&lt;&gt;0,""))</f>
        <v>1.1495381283353494</v>
      </c>
      <c r="P42" s="12">
        <f>AVERAGEIFS(Gdansk_result[PH_Total_Score],Gdansk_result[[Category]:[Category]],"senior",Gdansk_result[PH_Total_Score],"&lt;&gt;0")</f>
        <v>10.294444444444444</v>
      </c>
      <c r="Q42" s="12" cm="1">
        <f t="array" ref="Q42">_xlfn.STDEV.S(_xlfn._xlws.FILTER(_xlfn._xlws.FILTER(Gdansk_result[PH_Total_Score],Gdansk_result[Category]="senior",""),_xlfn._xlws.FILTER(Gdansk_result[PH_Total_Score],Gdansk_result[Category]="senior","")&lt;&gt;0,""))</f>
        <v>1.4069040780974811</v>
      </c>
      <c r="R42" s="12" cm="1">
        <f t="array" ref="R42">MAX(_xlfn._xlws.FILTER(Gdansk_result[PH_Total_Score],Gdansk_result[Category]="senior"))</f>
        <v>12.5</v>
      </c>
      <c r="S42" s="10" t="str" cm="1">
        <f t="array" ref="S42">_xlfn.XLOOKUP(R42,_xlfn._xlws.FILTER(Gdansk_result[PH_Total_Score],Gdansk_result[Category]="senior"),_xlfn._xlws.FILTER(Gdansk_result[Name],Gdansk_result[Category]="senior"),0)</f>
        <v>LAKHIN Yaroslav</v>
      </c>
    </row>
    <row r="43" spans="1:28" ht="31.5" customHeight="1" x14ac:dyDescent="0.25">
      <c r="A43" s="10" t="s">
        <v>239</v>
      </c>
      <c r="B43" s="11">
        <f>AVERAGEIFS(Gdansk_result[SR_Dscore],Gdansk_result[[Category]:[Category]],"junior",Gdansk_result[SR_Dscore],"&lt;&gt;0")</f>
        <v>2.5363636363636357</v>
      </c>
      <c r="C43" s="11" cm="1">
        <f t="array" ref="C43">_xlfn.STDEV.S(_xlfn._xlws.FILTER(Gdansk_result[SR_Dscore],(Gdansk_result[Category]="junior")*(Gdansk_result[SR_Dscore]&gt;0)))</f>
        <v>0.59375538275072326</v>
      </c>
      <c r="D43" s="12">
        <f>AVERAGEIFS(Gdansk_result[SR_Escore],Gdansk_result[[Category]:[Category]],"junior",Gdansk_result[SR_Escore],"&lt;&gt;0")</f>
        <v>7.754545454545454</v>
      </c>
      <c r="E43" s="12" cm="1">
        <f t="array" ref="E43">_xlfn.STDEV.S(_xlfn._xlws.FILTER(Gdansk_result[SR_Escore],(Gdansk_result[Category]="junior")*(Gdansk_result[SR_Escore]&gt;0)))</f>
        <v>0.6593385114850131</v>
      </c>
      <c r="F43" s="12">
        <f>AVERAGEIFS(Gdansk_result[SR_Total_Score],Gdansk_result[[Category]:[Category]],"junior",Gdansk_result[SR_Total_Score],"&lt;&gt;0")</f>
        <v>10.290909090909093</v>
      </c>
      <c r="G43" s="12" cm="1">
        <f t="array" ref="G43">_xlfn.STDEV.S(_xlfn._xlws.FILTER(Gdansk_result[SR_Total_Score],(Gdansk_result[Category]="junior")*(Gdansk_result[SR_Total_Score]&gt;0)))</f>
        <v>0.69635414187688316</v>
      </c>
      <c r="H43" s="12" cm="1">
        <f t="array" ref="H43">MAX(_xlfn._xlws.FILTER(Gdansk_result[SR_Total_Score],Gdansk_result[Category]="junior"))</f>
        <v>11.2</v>
      </c>
      <c r="I43" s="10" t="str" cm="1">
        <f t="array" ref="I43">_xlfn.XLOOKUP(H43,_xlfn._xlws.FILTER(Gdansk_result[SR_Total_Score],Gdansk_result[Category]="junior"),_xlfn._xlws.FILTER(Gdansk_result[Name],Gdansk_result[Category]="junior"),0)</f>
        <v>LEKHAC Tomasz</v>
      </c>
      <c r="J43" s="16"/>
      <c r="K43" s="10" t="s">
        <v>239</v>
      </c>
      <c r="L43" s="11">
        <f>AVERAGEIFS(Gdansk_result[SR_Dscore],Gdansk_result[[Category]:[Category]],"senior",Gdansk_result[SR_Dscore],"&lt;&gt;0")</f>
        <v>3.5400000000000005</v>
      </c>
      <c r="M43" s="11" cm="1">
        <f t="array" ref="M43">_xlfn.STDEV.S(_xlfn._xlws.FILTER(_xlfn._xlws.FILTER(Gdansk_result[SR_Dscore],Gdansk_result[Category]="senior",""),_xlfn._xlws.FILTER(Gdansk_result[SR_Dscore],Gdansk_result[Category]="senior","")&lt;&gt;0,""))</f>
        <v>0.78540253555558281</v>
      </c>
      <c r="N43" s="12">
        <f>AVERAGEIFS(Gdansk_result[SR_Escore],Gdansk_result[[Category]:[Category]],"senior",Gdansk_result[SR_Escore],"&lt;&gt;0")</f>
        <v>7.4866666666666672</v>
      </c>
      <c r="O43" s="12" cm="1">
        <f t="array" ref="O43">_xlfn.STDEV.S(_xlfn._xlws.FILTER(_xlfn._xlws.FILTER(Gdansk_result[SR_Escore],Gdansk_result[Category]="senior",""),_xlfn._xlws.FILTER(Gdansk_result[SR_Escore],Gdansk_result[Category]="senior","")&lt;&gt;0,""))</f>
        <v>0.84504155998106012</v>
      </c>
      <c r="P43" s="12">
        <f>AVERAGEIFS(Gdansk_result[SR_Total_Score],Gdansk_result[[Category]:[Category]],"senior",Gdansk_result[SR_Total_Score],"&lt;&gt;0")</f>
        <v>11.026666666666667</v>
      </c>
      <c r="Q43" s="12" cm="1">
        <f t="array" ref="Q43">_xlfn.STDEV.S(_xlfn._xlws.FILTER(_xlfn._xlws.FILTER(Gdansk_result[SR_Total_Score],Gdansk_result[Category]="senior",""),_xlfn._xlws.FILTER(Gdansk_result[SR_Total_Score],Gdansk_result[Category]="senior","")&lt;&gt;0,""))</f>
        <v>1.0832930395436913</v>
      </c>
      <c r="R43" s="12" cm="1">
        <f t="array" ref="R43">MAX(_xlfn._xlws.FILTER(Gdansk_result[SR_Total_Score],Gdansk_result[Category]="senior"))</f>
        <v>12.2</v>
      </c>
      <c r="S43" s="10" t="str" cm="1">
        <f t="array" ref="S43">_xlfn.XLOOKUP(R43,_xlfn._xlws.FILTER(Gdansk_result[SR_Total_Score],Gdansk_result[Category]="senior"),_xlfn._xlws.FILTER(Gdansk_result[Name],Gdansk_result[Category]="senior"),0)</f>
        <v>SASNAL Filip</v>
      </c>
    </row>
    <row r="44" spans="1:28" ht="31.5" x14ac:dyDescent="0.25">
      <c r="A44" s="10" t="s">
        <v>240</v>
      </c>
      <c r="B44" s="11">
        <f>AVERAGEIFS(Gdansk_result[VT_Dscore],Gdansk_result[[Category]:[Category]],"junior",Gdansk_result[VT_Dscore],"&lt;&gt;0")</f>
        <v>2.5384615384615392</v>
      </c>
      <c r="C44" s="11" cm="1">
        <f t="array" ref="C44">_xlfn.STDEV.S(_xlfn._xlws.FILTER(Gdansk_result[VT_Dscore],(Gdansk_result[Category]="junior")*(Gdansk_result[VT_Dscore]&gt;0)))</f>
        <v>0.78053236270558801</v>
      </c>
      <c r="D44" s="12">
        <f>AVERAGEIFS(Gdansk_result[VT_Escore],Gdansk_result[[Category]:[Category]],"junior",Gdansk_result[VT_Escore],"&lt;&gt;0")</f>
        <v>8.4384615384615387</v>
      </c>
      <c r="E44" s="12" cm="1">
        <f t="array" ref="E44">_xlfn.STDEV.S(_xlfn._xlws.FILTER(Gdansk_result[VT_Escore],(Gdansk_result[Category]="junior")*(Gdansk_result[VT_Escore]&gt;0)))</f>
        <v>0.4407162003271145</v>
      </c>
      <c r="F44" s="12">
        <f>AVERAGEIFS(Gdansk_result[VT_total_score],Gdansk_result[[Category]:[Category]],"junior",Gdansk_result[VT_total_score],"&lt;&gt;0")</f>
        <v>10.976923076923079</v>
      </c>
      <c r="G44" s="12" cm="1">
        <f t="array" ref="G44">_xlfn.STDEV.S(_xlfn._xlws.FILTER(Gdansk_result[VT_total_score],(Gdansk_result[Category]="junior")*(Gdansk_result[VT_total_score]&gt;0)))</f>
        <v>0.9496963077337286</v>
      </c>
      <c r="H44" s="12" cm="1">
        <f t="array" ref="H44">MAX(_xlfn._xlws.FILTER(Gdansk_result[VT_total_score],Gdansk_result[Category]="junior"))</f>
        <v>12.9</v>
      </c>
      <c r="I44" s="10" t="str" cm="1">
        <f t="array" ref="I44">_xlfn.XLOOKUP(H44,_xlfn._xlws.FILTER(Gdansk_result[VT_total_score],Gdansk_result[Category]="junior"),_xlfn._xlws.FILTER(Gdansk_result[Name],Gdansk_result[Category]="junior"),0)</f>
        <v>MISHCHENKO Oleksandr</v>
      </c>
      <c r="J44" s="16"/>
      <c r="K44" s="10" t="s">
        <v>240</v>
      </c>
      <c r="L44" s="11">
        <f>AVERAGEIFS(Gdansk_result[VT_Dscore],Gdansk_result[[Category]:[Category]],"senior",Gdansk_result[VT_Dscore],"&lt;&gt;0")</f>
        <v>3.8399999999999994</v>
      </c>
      <c r="M44" s="11" cm="1">
        <f t="array" ref="M44">_xlfn.STDEV.S(_xlfn._xlws.FILTER(_xlfn._xlws.FILTER(Gdansk_result[VT_Dscore],Gdansk_result[Category]="senior",""),_xlfn._xlws.FILTER(Gdansk_result[VT_Dscore],Gdansk_result[Category]="senior","")&lt;&gt;0,""))</f>
        <v>0.89186802354865113</v>
      </c>
      <c r="N44" s="12">
        <f>AVERAGEIFS(Gdansk_result[VT_Escore],Gdansk_result[[Category]:[Category]],"senior",Gdansk_result[VT_Escore],"&lt;&gt;0")</f>
        <v>8.4666666666666668</v>
      </c>
      <c r="O44" s="12" cm="1">
        <f t="array" ref="O44">_xlfn.STDEV.S(_xlfn._xlws.FILTER(_xlfn._xlws.FILTER(Gdansk_result[VT_Escore],Gdansk_result[Category]="senior",""),_xlfn._xlws.FILTER(Gdansk_result[VT_Escore],Gdansk_result[Category]="senior","")&lt;&gt;0,""))</f>
        <v>0.33309515300043158</v>
      </c>
      <c r="P44" s="12">
        <f>AVERAGEIFS(Gdansk_result[VT_total_score],Gdansk_result[[Category]:[Category]],"senior",Gdansk_result[VT_total_score],"&lt;&gt;0")</f>
        <v>12.306666666666667</v>
      </c>
      <c r="Q44" s="12" cm="1">
        <f t="array" ref="Q44">_xlfn.STDEV.S(_xlfn._xlws.FILTER(_xlfn._xlws.FILTER(Gdansk_result[VT_total_score],Gdansk_result[Category]="senior",""),_xlfn._xlws.FILTER(Gdansk_result[VT_total_score],Gdansk_result[Category]="senior","")&lt;&gt;0,""))</f>
        <v>0.98159248648500241</v>
      </c>
      <c r="R44" s="12" cm="1">
        <f t="array" ref="R44">MAX(_xlfn._xlws.FILTER(Gdansk_result[VT_total_score],Gdansk_result[Category]="senior"))</f>
        <v>13.4</v>
      </c>
      <c r="S44" s="10" t="str" cm="1">
        <f t="array" ref="S44">_xlfn.XLOOKUP(R44,_xlfn._xlws.FILTER(Gdansk_result[VT_total_score],Gdansk_result[Category]="senior"),_xlfn._xlws.FILTER(Gdansk_result[Name],Gdansk_result[Category]="senior"),0)</f>
        <v>KORNIICHUK Yehor</v>
      </c>
    </row>
    <row r="45" spans="1:28" ht="27" customHeight="1" x14ac:dyDescent="0.25">
      <c r="A45" s="10" t="s">
        <v>241</v>
      </c>
      <c r="B45" s="11">
        <f>AVERAGEIFS(Gdansk_result[PB_Dscore],Gdansk_result[[Category]:[Category]],"junior",Gdansk_result[PB_Dscore],"&lt;&gt;0")</f>
        <v>2.9538461538461531</v>
      </c>
      <c r="C45" s="11" cm="1">
        <f t="array" ref="C45">_xlfn.STDEV.S(_xlfn._xlws.FILTER(Gdansk_result[PB_Dscore],(Gdansk_result[Category]="junior")*(Gdansk_result[PB_Dscore]&gt;0)))</f>
        <v>0.57244415246582303</v>
      </c>
      <c r="D45" s="12">
        <f>AVERAGEIFS(Gdansk_result[PB_Escore],Gdansk_result[[Category]:[Category]],"junior",Gdansk_result[PB_Escore],"&lt;&gt;0")</f>
        <v>8.2692307692307683</v>
      </c>
      <c r="E45" s="12" cm="1">
        <f t="array" ref="E45">_xlfn.STDEV.S(_xlfn._xlws.FILTER(Gdansk_result[PB_Escore],(Gdansk_result[Category]="junior")*(Gdansk_result[PB_Escore]&gt;0)))</f>
        <v>0.66003107929932037</v>
      </c>
      <c r="F45" s="12">
        <f>AVERAGEIFS(Gdansk_result[PB_total_score],Gdansk_result[[Category]:[Category]],"junior",Gdansk_result[PB_total_score],"&lt;&gt;0")</f>
        <v>11.223076923076924</v>
      </c>
      <c r="G45" s="12" cm="1">
        <f t="array" ref="G45">_xlfn.STDEV.S(_xlfn._xlws.FILTER(Gdansk_result[PB_total_score],(Gdansk_result[Category]="junior")*(Gdansk_result[PB_total_score]&gt;0)))</f>
        <v>0.52939249168873792</v>
      </c>
      <c r="H45" s="12" cm="1">
        <f t="array" ref="H45">MAX(_xlfn._xlws.FILTER(Gdansk_result[PB_total_score],Gdansk_result[Category]="junior"))</f>
        <v>12</v>
      </c>
      <c r="I45" s="10" t="str" cm="1">
        <f t="array" ref="I45">_xlfn.XLOOKUP(H45,_xlfn._xlws.FILTER(Gdansk_result[PB_total_score],Gdansk_result[Category]="junior"),_xlfn._xlws.FILTER(Gdansk_result[Name],Gdansk_result[Category]="junior"),0)</f>
        <v>KOPERSKI Filip</v>
      </c>
      <c r="J45" s="16"/>
      <c r="K45" s="10" t="s">
        <v>241</v>
      </c>
      <c r="L45" s="11">
        <f>AVERAGEIFS(Gdansk_result[PB_Dscore],Gdansk_result[[Category]:[Category]],"senior",Gdansk_result[PB_Dscore],"&lt;&gt;0")</f>
        <v>3.5117647058823538</v>
      </c>
      <c r="M45" s="11" cm="1">
        <f t="array" ref="M45">_xlfn.STDEV.S(_xlfn._xlws.FILTER(_xlfn._xlws.FILTER(Gdansk_result[PB_Dscore],Gdansk_result[Category]="senior",""),_xlfn._xlws.FILTER(Gdansk_result[PB_Dscore],Gdansk_result[Category]="senior","")&lt;&gt;0,""))</f>
        <v>0.82906751303887405</v>
      </c>
      <c r="N45" s="12">
        <f>AVERAGEIFS(Gdansk_result[PB_Escore],Gdansk_result[[Category]:[Category]],"senior",Gdansk_result[PB_Escore],"&lt;&gt;0")</f>
        <v>7.2058823529411784</v>
      </c>
      <c r="O45" s="12" cm="1">
        <f t="array" ref="O45">_xlfn.STDEV.S(_xlfn._xlws.FILTER(_xlfn._xlws.FILTER(Gdansk_result[PB_Escore],Gdansk_result[Category]="senior",""),_xlfn._xlws.FILTER(Gdansk_result[PB_Escore],Gdansk_result[Category]="senior","")&lt;&gt;0,""))</f>
        <v>1.7209991967732237</v>
      </c>
      <c r="P45" s="12">
        <f>AVERAGEIFS(Gdansk_result[PB_total_score],Gdansk_result[[Category]:[Category]],"senior",Gdansk_result[PB_total_score],"&lt;&gt;0")</f>
        <v>10.717647058823529</v>
      </c>
      <c r="Q45" s="12" cm="1">
        <f t="array" ref="Q45">_xlfn.STDEV.S(_xlfn._xlws.FILTER(_xlfn._xlws.FILTER(Gdansk_result[PB_total_score],Gdansk_result[Category]="senior",""),_xlfn._xlws.FILTER(Gdansk_result[PB_total_score],Gdansk_result[Category]="senior","")&lt;&gt;0,""))</f>
        <v>2.0329274747631998</v>
      </c>
      <c r="R45" s="12" cm="1">
        <f t="array" ref="R45">MAX(_xlfn._xlws.FILTER(Gdansk_result[PB_total_score],Gdansk_result[Category]="senior"))</f>
        <v>13.4</v>
      </c>
      <c r="S45" s="10" t="str" cm="1">
        <f t="array" ref="S45">_xlfn.XLOOKUP(R45,_xlfn._xlws.FILTER(Gdansk_result[PB_total_score],Gdansk_result[Category]="senior"),_xlfn._xlws.FILTER(Gdansk_result[Name],Gdansk_result[Category]="senior"),0)</f>
        <v>SASNAL Filip</v>
      </c>
    </row>
    <row r="46" spans="1:28" ht="31.5" customHeight="1" x14ac:dyDescent="0.25">
      <c r="A46" s="10" t="s">
        <v>242</v>
      </c>
      <c r="B46" s="11">
        <f>AVERAGEIFS(Gdansk_result[HB_Dscore],Gdansk_result[[Category]:[Category]],"junior",Gdansk_result[HB_Dscore],"&lt;&gt;0")</f>
        <v>2.3916666666666671</v>
      </c>
      <c r="C46" s="11" cm="1">
        <f t="array" ref="C46">_xlfn.STDEV.S(_xlfn._xlws.FILTER(Gdansk_result[HB_Dscore],(Gdansk_result[Category]="junior")*(Gdansk_result[HB_Dscore]&gt;0)))</f>
        <v>0.53164980499527492</v>
      </c>
      <c r="D46" s="12">
        <f>AVERAGEIFS(Gdansk_result[HB_Escore],Gdansk_result[[Category]:[Category]],"junior",Gdansk_result[HB_Escore],"&lt;&gt;0")</f>
        <v>7.0666666666666673</v>
      </c>
      <c r="E46" s="12" cm="1">
        <f t="array" ref="E46">_xlfn.STDEV.S(_xlfn._xlws.FILTER(Gdansk_result[HB_Escore],(Gdansk_result[Category]="junior")*(Gdansk_result[HB_Escore]&gt;0)))</f>
        <v>1.6554775929036456</v>
      </c>
      <c r="F46" s="12">
        <f>AVERAGEIFS(Gdansk_result[HB_total_score],Gdansk_result[[Category]:[Category]],"junior",Gdansk_result[HB_total_score],"&lt;&gt;0")</f>
        <v>9.4583333333333321</v>
      </c>
      <c r="G46" s="12" cm="1">
        <f t="array" ref="G46">_xlfn.STDEV.S(_xlfn._xlws.FILTER(Gdansk_result[HB_total_score],(Gdansk_result[Category]="junior")*(Gdansk_result[HB_total_score]&gt;0)))</f>
        <v>1.8860532785944848</v>
      </c>
      <c r="H46" s="12" cm="1">
        <f t="array" ref="H46">MAX(_xlfn._xlws.FILTER(Gdansk_result[HB_total_score],Gdansk_result[Category]="junior"))</f>
        <v>12</v>
      </c>
      <c r="I46" s="10" t="str" cm="1">
        <f t="array" ref="I46">_xlfn.XLOOKUP(H46,_xlfn._xlws.FILTER(Gdansk_result[HB_total_score],Gdansk_result[Category]="junior"),_xlfn._xlws.FILTER(Gdansk_result[Name],Gdansk_result[Category]="junior"),0)</f>
        <v>LEKHAC Tomasz</v>
      </c>
      <c r="J46" s="16"/>
      <c r="K46" s="10" t="s">
        <v>242</v>
      </c>
      <c r="L46" s="11">
        <f>AVERAGEIFS(Gdansk_result[HB_Dscore],Gdansk_result[[Category]:[Category]],"senior",Gdansk_result[HB_Dscore],"&lt;&gt;0")</f>
        <v>3.2461538461538471</v>
      </c>
      <c r="M46" s="11" cm="1">
        <f t="array" ref="M46">_xlfn.STDEV.S(_xlfn._xlws.FILTER(_xlfn._xlws.FILTER(Gdansk_result[HB_Dscore],Gdansk_result[Category]="senior",""),_xlfn._xlws.FILTER(Gdansk_result[HB_Dscore],Gdansk_result[Category]="senior","")&lt;&gt;0,""))</f>
        <v>0.96230226074016711</v>
      </c>
      <c r="N46" s="12">
        <f>AVERAGEIFS(Gdansk_result[HB_Escore],Gdansk_result[[Category]:[Category]],"senior",Gdansk_result[HB_Escore],"&lt;&gt;0")</f>
        <v>6.6769230769230754</v>
      </c>
      <c r="O46" s="12" cm="1">
        <f t="array" ref="O46">_xlfn.STDEV.S(_xlfn._xlws.FILTER(_xlfn._xlws.FILTER(Gdansk_result[HB_Escore],Gdansk_result[Category]="senior",""),_xlfn._xlws.FILTER(Gdansk_result[HB_Escore],Gdansk_result[Category]="senior","")&lt;&gt;0,""))</f>
        <v>2.0757142731093214</v>
      </c>
      <c r="P46" s="12">
        <f>AVERAGEIFS(Gdansk_result[HB_total_score],Gdansk_result[[Category]:[Category]],"senior",Gdansk_result[HB_total_score],"&lt;&gt;0")</f>
        <v>9.9230769230769251</v>
      </c>
      <c r="Q46" s="12" cm="1">
        <f t="array" ref="Q46">_xlfn.STDEV.S(_xlfn._xlws.FILTER(_xlfn._xlws.FILTER(Gdansk_result[HB_total_score],Gdansk_result[Category]="senior",""),_xlfn._xlws.FILTER(Gdansk_result[HB_total_score],Gdansk_result[Category]="senior","")&lt;&gt;0,""))</f>
        <v>2.606131822629667</v>
      </c>
      <c r="R46" s="12" cm="1">
        <f t="array" ref="R46">MAX(_xlfn._xlws.FILTER(Gdansk_result[HB_total_score],Gdansk_result[Category]="senior"))</f>
        <v>12.2</v>
      </c>
      <c r="S46" s="10" t="str" cm="1">
        <f t="array" ref="S46">_xlfn.XLOOKUP(R46,_xlfn._xlws.FILTER(Gdansk_result[HB_total_score],Gdansk_result[Category]="senior"),_xlfn._xlws.FILTER(Gdansk_result[Name],Gdansk_result[Category]="senior"),0)</f>
        <v>SASNAL Filip</v>
      </c>
    </row>
    <row r="47" spans="1:28" ht="31.5" customHeight="1" x14ac:dyDescent="0.25">
      <c r="A47" s="10" t="s">
        <v>243</v>
      </c>
      <c r="B47" s="11">
        <f>AVERAGEIFS(Gdansk_result[AA_Dscore],Gdansk_result[[Category]:[Category]],"junior",Gdansk_result[AA_Dscore],"&lt;&gt;0",Gdansk_result[All Around],"Yes")</f>
        <v>17.400000000000002</v>
      </c>
      <c r="C47" s="11" cm="1">
        <f t="array" ref="C47">_xlfn.STDEV.S(_xlfn._xlws.FILTER(Gdansk_result[AA_Dscore],(Gdansk_result[Category]="junior")*(Gdansk_result[All Around]="Yes")))</f>
        <v>2.6955518915428121</v>
      </c>
      <c r="D47" s="12">
        <f>AVERAGEIFS(Gdansk_result[AA_Escore],Gdansk_result[[Category]:[Category]],"junior",Gdansk_result[AA_Escore],"&lt;&gt;0",Gdansk_result[All Around],"yes")</f>
        <v>46.172727272727279</v>
      </c>
      <c r="E47" s="12" cm="1">
        <f t="array" ref="E47">_xlfn.STDEV.S(_xlfn._xlws.FILTER(Gdansk_result[AA_Escore],(Gdansk_result[Category]="junior")*(Gdansk_result[All Around]="Yes")))</f>
        <v>2.6736083890842779</v>
      </c>
      <c r="F47" s="12">
        <f>AVERAGEIFS(Gdansk_result[Total_Score],Gdansk_result[[Category]:[Category]],"junior",Gdansk_result[Total_Score],"&lt;&gt;0",Gdansk_result[All Around],"yes")</f>
        <v>63.572727272727278</v>
      </c>
      <c r="G47" s="12" cm="1">
        <f t="array" ref="G47">_xlfn.STDEV.S(_xlfn._xlws.FILTER(Gdansk_result[Total_Score],(Gdansk_result[Category]="junior")*(Gdansk_result[All Around]="Yes")))</f>
        <v>4.1854727114367645</v>
      </c>
      <c r="H47" s="12" cm="1">
        <f t="array" ref="H47">MAX(_xlfn._xlws.FILTER(Gdansk_result[Total_Score],Gdansk_result[Category]="junior"))</f>
        <v>70</v>
      </c>
      <c r="I47" s="10" t="str" cm="1">
        <f t="array" ref="I47">_xlfn.XLOOKUP(H47,_xlfn._xlws.FILTER(Gdansk_result[Total_Score],Gdansk_result[Category]="junior"),_xlfn._xlws.FILTER(Gdansk_result[Name],Gdansk_result[Category]="junior"),0)</f>
        <v>LEKHAC Tomasz</v>
      </c>
      <c r="J47" s="16"/>
      <c r="K47" s="10" t="s">
        <v>243</v>
      </c>
      <c r="L47" s="11">
        <f>AVERAGEIFS(Gdansk_result[AA_Dscore],Gdansk_result[[Category]:[Category]],"senior",Gdansk_result[AA_Dscore],"&lt;&gt;0",Gdansk_result[All Around],"Yes")</f>
        <v>22.292307692307695</v>
      </c>
      <c r="M47" s="11" cm="1">
        <f t="array" ref="M47">_xlfn.STDEV.S(_xlfn._xlws.FILTER(Gdansk_result[AA_Dscore],(Gdansk_result[Category]="senior")*(Gdansk_result[All Around]="yes"),""))</f>
        <v>4.1867771094366288</v>
      </c>
      <c r="N47" s="12">
        <f>AVERAGEIFS(Gdansk_result[AA_Escore],Gdansk_result[[Category]:[Category]],"senior",Gdansk_result[AA_Escore],"&lt;&gt;0",Gdansk_result[All Around],"yes")</f>
        <v>43.861538461538466</v>
      </c>
      <c r="O47" s="12" cm="1">
        <f t="array" ref="O47">_xlfn.STDEV.S(_xlfn._xlws.FILTER(Gdansk_result[AA_Escore],(Gdansk_result[Category]="senior")*(Gdansk_result[All Around]="yes"),""))</f>
        <v>2.9536103504971845</v>
      </c>
      <c r="P47" s="12">
        <f>AVERAGEIFS(Gdansk_result[Total_Score],Gdansk_result[[Category]:[Category]],"senior",Gdansk_result[Total_Score],"&lt;&gt;0",Gdansk_result[All Around],"yes")</f>
        <v>66.15384615384616</v>
      </c>
      <c r="Q47" s="12" cm="1">
        <f t="array" ref="Q47">_xlfn.STDEV.S(_xlfn._xlws.FILTER(Gdansk_result[Total_Score],(Gdansk_result[Category]="senior")*(Gdansk_result[All Around]="yes"),""))</f>
        <v>5.7183717648492953</v>
      </c>
      <c r="R47" s="12" cm="1">
        <f t="array" ref="R47">MAX(_xlfn._xlws.FILTER(Gdansk_result[Total_Score],Gdansk_result[Category]="senior"))</f>
        <v>72.55</v>
      </c>
      <c r="S47" s="10" t="str" cm="1">
        <f t="array" ref="S47">_xlfn.XLOOKUP(R47,_xlfn._xlws.FILTER(Gdansk_result[Total_Score],Gdansk_result[Category]="senior"),_xlfn._xlws.FILTER(Gdansk_result[Name],Gdansk_result[Category]="senior"),0)</f>
        <v>SASNAL Filip</v>
      </c>
    </row>
  </sheetData>
  <mergeCells count="2">
    <mergeCell ref="A39:I39"/>
    <mergeCell ref="K39:S39"/>
  </mergeCells>
  <phoneticPr fontId="1" type="noConversion"/>
  <conditionalFormatting sqref="H2:Y34 AB2:AB34">
    <cfRule type="cellIs" dxfId="10" priority="2" operator="equal">
      <formula>0</formula>
    </cfRule>
  </conditionalFormatting>
  <conditionalFormatting sqref="Z2:AA34">
    <cfRule type="cellIs" dxfId="9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9E64-90DF-5040-A1C2-836D3D85C530}">
  <sheetPr>
    <tabColor theme="5" tint="0.39997558519241921"/>
  </sheetPr>
  <dimension ref="A1:W61"/>
  <sheetViews>
    <sheetView zoomScale="75" zoomScaleNormal="75" workbookViewId="0">
      <selection activeCell="W1" sqref="W1"/>
    </sheetView>
  </sheetViews>
  <sheetFormatPr defaultColWidth="11" defaultRowHeight="15.75" x14ac:dyDescent="0.25"/>
  <cols>
    <col min="1" max="1" width="23.125" bestFit="1" customWidth="1"/>
    <col min="2" max="2" width="18.5" style="2" bestFit="1" customWidth="1"/>
    <col min="3" max="3" width="17" style="2" bestFit="1" customWidth="1"/>
    <col min="4" max="4" width="26.25" customWidth="1"/>
    <col min="5" max="6" width="7.625" style="2" customWidth="1"/>
    <col min="7" max="8" width="7.625" style="7" customWidth="1"/>
    <col min="9" max="9" width="7.625" style="2" customWidth="1"/>
    <col min="10" max="11" width="7.625" style="7" customWidth="1"/>
    <col min="12" max="12" width="7.625" style="2" customWidth="1"/>
    <col min="13" max="14" width="7.625" style="7" customWidth="1"/>
    <col min="15" max="15" width="7.625" style="2" customWidth="1"/>
    <col min="16" max="17" width="7.625" style="7" customWidth="1"/>
    <col min="18" max="20" width="7.625" style="2" customWidth="1"/>
    <col min="21" max="21" width="10.125" style="2" customWidth="1"/>
    <col min="22" max="23" width="7.625" style="2" customWidth="1"/>
  </cols>
  <sheetData>
    <row r="1" spans="1:23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  <c r="O1" s="2" t="s">
        <v>154</v>
      </c>
      <c r="P1" s="2" t="s">
        <v>155</v>
      </c>
      <c r="Q1" s="2" t="s">
        <v>156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63</v>
      </c>
      <c r="B2" s="2" t="s">
        <v>60</v>
      </c>
      <c r="C2" s="2" t="s">
        <v>64</v>
      </c>
      <c r="D2" t="s">
        <v>39</v>
      </c>
      <c r="E2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2" s="4">
        <v>5.8</v>
      </c>
      <c r="G2" s="7">
        <v>7.8</v>
      </c>
      <c r="H2" s="7">
        <v>13.6</v>
      </c>
      <c r="I2" s="4">
        <v>6</v>
      </c>
      <c r="J2" s="7">
        <v>6.6</v>
      </c>
      <c r="K2" s="7">
        <v>12.6</v>
      </c>
      <c r="L2" s="4">
        <v>5.6</v>
      </c>
      <c r="M2" s="7">
        <v>7.65</v>
      </c>
      <c r="N2" s="7">
        <v>13.25</v>
      </c>
      <c r="O2" s="4">
        <v>5.6</v>
      </c>
      <c r="P2" s="7">
        <v>6.65</v>
      </c>
      <c r="Q2" s="7">
        <v>12.25</v>
      </c>
      <c r="R2" s="4">
        <f>LARGE(CHOOSE({1;2;3;4},F2,I2,L2,O2),1)+LARGE(CHOOSE({1;2;3;4},F2,I2,L2,O2),2)+LARGE(CHOOSE({1;2;3;4},F2,I2,L2,O2),3)</f>
        <v>17.399999999999999</v>
      </c>
      <c r="S2" s="7">
        <f>LARGE(CHOOSE({1;2;3;4},G2,J2,M2,P2),1)+LARGE(CHOOSE({1;2;3;4},G2,J2,M2,P2),2)+LARGE(CHOOSE({1;2;3;4},G2,J2,M2,P2),3)</f>
        <v>22.1</v>
      </c>
      <c r="T2" s="7">
        <f>LARGE(CHOOSE({1;2;3;4},H2,K2,N2,Q2),1)+LARGE(CHOOSE({1;2;3;4},H2,K2,N2,Q2),2)+LARGE(CHOOSE({1;2;3;4},H2,K2,N2,Q2),3)</f>
        <v>39.450000000000003</v>
      </c>
      <c r="U2" s="4" cm="1">
        <f t="array" ref="U2">IF(FX[[#This Row],[Number_of_competition]:[Number_of_competition]]&gt;=3,(LARGE(CHOOSE({1;2;3;4},F2,I2,L2,O2),1)+LARGE(CHOOSE({1;2;3;4},F2,I2,L2,O2),2)+LARGE(CHOOSE({1;2;3;4},F2,I2,L2,O2),3))/3,0)</f>
        <v>5.8</v>
      </c>
      <c r="V2" s="7" cm="1">
        <f t="array" ref="V2">IF(FX[[#This Row],[Number_of_competition]:[Number_of_competition]]&gt;=3,(LARGE(CHOOSE({1;2;3;4},G2,J2,M2,P2),1)+LARGE(CHOOSE({1;2;3;4},G2,J2,M2,P2),2)+LARGE(CHOOSE({1;2;3;4},G2,J2,M2,P2),3))/3,0)</f>
        <v>7.3666666666666671</v>
      </c>
      <c r="W2" s="7" cm="1">
        <f t="array" ref="W2">IF(FX[[#This Row],[Number_of_competition]:[Number_of_competition]]&gt;=3,(LARGE(CHOOSE({1;2;3;4},H2,K2,N2,Q2),1)+LARGE(CHOOSE({1;2;3;4},H2,K2,N2,Q2),2)+LARGE(CHOOSE({1;2;3;4},H2,K2,N2,Q2),3))/3,0)</f>
        <v>13.15</v>
      </c>
    </row>
    <row r="3" spans="1:23" x14ac:dyDescent="0.25">
      <c r="A3" t="s">
        <v>59</v>
      </c>
      <c r="B3" s="2" t="s">
        <v>60</v>
      </c>
      <c r="C3" s="2" t="s">
        <v>61</v>
      </c>
      <c r="D3" t="s">
        <v>62</v>
      </c>
      <c r="E3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3" s="4">
        <v>0</v>
      </c>
      <c r="G3" s="7">
        <v>0</v>
      </c>
      <c r="H3" s="7">
        <v>0</v>
      </c>
      <c r="I3" s="4">
        <v>5.3</v>
      </c>
      <c r="J3" s="7">
        <v>8.15</v>
      </c>
      <c r="K3" s="7">
        <v>13.45</v>
      </c>
      <c r="L3" s="4">
        <v>5.3</v>
      </c>
      <c r="M3" s="7">
        <v>7.25</v>
      </c>
      <c r="N3" s="7">
        <v>12.55</v>
      </c>
      <c r="O3" s="4">
        <v>5.4</v>
      </c>
      <c r="P3" s="7">
        <v>7.4</v>
      </c>
      <c r="Q3" s="7">
        <v>12.8</v>
      </c>
      <c r="R3" s="4">
        <f>LARGE(CHOOSE({1;2;3;4},F3,I3,L3,O3),1)+LARGE(CHOOSE({1;2;3;4},F3,I3,L3,O3),2)+LARGE(CHOOSE({1;2;3;4},F3,I3,L3,O3),3)</f>
        <v>16</v>
      </c>
      <c r="S3" s="7">
        <f>LARGE(CHOOSE({1;2;3;4},G3,J3,M3,P3),1)+LARGE(CHOOSE({1;2;3;4},G3,J3,M3,P3),2)+LARGE(CHOOSE({1;2;3;4},G3,J3,M3,P3),3)</f>
        <v>22.8</v>
      </c>
      <c r="T3" s="7">
        <f>LARGE(CHOOSE({1;2;3;4},H3,K3,N3,Q3),1)+LARGE(CHOOSE({1;2;3;4},H3,K3,N3,Q3),2)+LARGE(CHOOSE({1;2;3;4},H3,K3,N3,Q3),3)</f>
        <v>38.799999999999997</v>
      </c>
      <c r="U3" s="4" cm="1">
        <f t="array" ref="U3">IF(FX[[#This Row],[Number_of_competition]:[Number_of_competition]]&gt;=3,(LARGE(CHOOSE({1;2;3;4},F3,I3,L3,O3),1)+LARGE(CHOOSE({1;2;3;4},F3,I3,L3,O3),2)+LARGE(CHOOSE({1;2;3;4},F3,I3,L3,O3),3))/3,0)</f>
        <v>5.333333333333333</v>
      </c>
      <c r="V3" s="7" cm="1">
        <f t="array" ref="V3">IF(FX[[#This Row],[Number_of_competition]:[Number_of_competition]]&gt;=3,(LARGE(CHOOSE({1;2;3;4},G3,J3,M3,P3),1)+LARGE(CHOOSE({1;2;3;4},G3,J3,M3,P3),2)+LARGE(CHOOSE({1;2;3;4},G3,J3,M3,P3),3))/3,0)</f>
        <v>7.6000000000000005</v>
      </c>
      <c r="W3" s="7" cm="1">
        <f t="array" ref="W3">IF(FX[[#This Row],[Number_of_competition]:[Number_of_competition]]&gt;=3,(LARGE(CHOOSE({1;2;3;4},H3,K3,N3,Q3),1)+LARGE(CHOOSE({1;2;3;4},H3,K3,N3,Q3),2)+LARGE(CHOOSE({1;2;3;4},H3,K3,N3,Q3),3))/3,0)</f>
        <v>12.933333333333332</v>
      </c>
    </row>
    <row r="4" spans="1:23" x14ac:dyDescent="0.25">
      <c r="A4" t="s">
        <v>73</v>
      </c>
      <c r="B4" s="2" t="s">
        <v>60</v>
      </c>
      <c r="C4" s="2" t="s">
        <v>74</v>
      </c>
      <c r="D4" t="s">
        <v>62</v>
      </c>
      <c r="E4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4" s="4">
        <v>4.7</v>
      </c>
      <c r="G4" s="7">
        <v>8.1</v>
      </c>
      <c r="H4" s="7">
        <v>12.8</v>
      </c>
      <c r="I4" s="4">
        <v>4.7</v>
      </c>
      <c r="J4" s="7">
        <v>8.6999999999999993</v>
      </c>
      <c r="K4" s="7">
        <v>13.4</v>
      </c>
      <c r="L4" s="4">
        <v>4.5</v>
      </c>
      <c r="M4" s="7">
        <v>8.15</v>
      </c>
      <c r="N4" s="7">
        <v>12.65</v>
      </c>
      <c r="O4" s="4">
        <v>4.7</v>
      </c>
      <c r="P4" s="7">
        <v>6.7</v>
      </c>
      <c r="Q4" s="7">
        <v>11.4</v>
      </c>
      <c r="R4" s="4">
        <f>LARGE(CHOOSE({1;2;3;4},F4,I4,L4,O4),1)+LARGE(CHOOSE({1;2;3;4},F4,I4,L4,O4),2)+LARGE(CHOOSE({1;2;3;4},F4,I4,L4,O4),3)</f>
        <v>14.100000000000001</v>
      </c>
      <c r="S4" s="7">
        <f>LARGE(CHOOSE({1;2;3;4},G4,J4,M4,P4),1)+LARGE(CHOOSE({1;2;3;4},G4,J4,M4,P4),2)+LARGE(CHOOSE({1;2;3;4},G4,J4,M4,P4),3)</f>
        <v>24.950000000000003</v>
      </c>
      <c r="T4" s="7">
        <f>LARGE(CHOOSE({1;2;3;4},H4,K4,N4,Q4),1)+LARGE(CHOOSE({1;2;3;4},H4,K4,N4,Q4),2)+LARGE(CHOOSE({1;2;3;4},H4,K4,N4,Q4),3)</f>
        <v>38.85</v>
      </c>
      <c r="U4" s="4" cm="1">
        <f t="array" ref="U4">IF(FX[[#This Row],[Number_of_competition]:[Number_of_competition]]&gt;=3,(LARGE(CHOOSE({1;2;3;4},F4,I4,L4,O4),1)+LARGE(CHOOSE({1;2;3;4},F4,I4,L4,O4),2)+LARGE(CHOOSE({1;2;3;4},F4,I4,L4,O4),3))/3,0)</f>
        <v>4.7</v>
      </c>
      <c r="V4" s="7" cm="1">
        <f t="array" ref="V4">IF(FX[[#This Row],[Number_of_competition]:[Number_of_competition]]&gt;=3,(LARGE(CHOOSE({1;2;3;4},G4,J4,M4,P4),1)+LARGE(CHOOSE({1;2;3;4},G4,J4,M4,P4),2)+LARGE(CHOOSE({1;2;3;4},G4,J4,M4,P4),3))/3,0)</f>
        <v>8.3166666666666682</v>
      </c>
      <c r="W4" s="7" cm="1">
        <f t="array" ref="W4">IF(FX[[#This Row],[Number_of_competition]:[Number_of_competition]]&gt;=3,(LARGE(CHOOSE({1;2;3;4},H4,K4,N4,Q4),1)+LARGE(CHOOSE({1;2;3;4},H4,K4,N4,Q4),2)+LARGE(CHOOSE({1;2;3;4},H4,K4,N4,Q4),3))/3,0)</f>
        <v>12.950000000000001</v>
      </c>
    </row>
    <row r="5" spans="1:23" x14ac:dyDescent="0.25">
      <c r="A5" t="s">
        <v>100</v>
      </c>
      <c r="B5" s="2" t="s">
        <v>60</v>
      </c>
      <c r="C5" s="2" t="s">
        <v>101</v>
      </c>
      <c r="D5" t="s">
        <v>31</v>
      </c>
      <c r="E5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5" s="4">
        <v>4.3</v>
      </c>
      <c r="G5" s="7">
        <v>7.4</v>
      </c>
      <c r="H5" s="7">
        <v>11.7</v>
      </c>
      <c r="I5" s="4">
        <v>4.2</v>
      </c>
      <c r="J5" s="7">
        <v>7.3</v>
      </c>
      <c r="K5" s="7">
        <v>11.5</v>
      </c>
      <c r="L5" s="4">
        <v>4.4000000000000004</v>
      </c>
      <c r="M5" s="7">
        <v>7.55</v>
      </c>
      <c r="N5" s="7">
        <v>11.95</v>
      </c>
      <c r="O5" s="4">
        <v>0</v>
      </c>
      <c r="P5" s="7">
        <v>0</v>
      </c>
      <c r="Q5" s="7">
        <v>0</v>
      </c>
      <c r="R5" s="4">
        <f>LARGE(CHOOSE({1;2;3;4},F5,I5,L5,O5),1)+LARGE(CHOOSE({1;2;3;4},F5,I5,L5,O5),2)+LARGE(CHOOSE({1;2;3;4},F5,I5,L5,O5),3)</f>
        <v>12.899999999999999</v>
      </c>
      <c r="S5" s="7">
        <f>LARGE(CHOOSE({1;2;3;4},G5,J5,M5,P5),1)+LARGE(CHOOSE({1;2;3;4},G5,J5,M5,P5),2)+LARGE(CHOOSE({1;2;3;4},G5,J5,M5,P5),3)</f>
        <v>22.25</v>
      </c>
      <c r="T5" s="7">
        <f>LARGE(CHOOSE({1;2;3;4},H5,K5,N5,Q5),1)+LARGE(CHOOSE({1;2;3;4},H5,K5,N5,Q5),2)+LARGE(CHOOSE({1;2;3;4},H5,K5,N5,Q5),3)</f>
        <v>35.15</v>
      </c>
      <c r="U5" s="4" cm="1">
        <f t="array" ref="U5">IF(FX[[#This Row],[Number_of_competition]:[Number_of_competition]]&gt;=3,(LARGE(CHOOSE({1;2;3;4},F5,I5,L5,O5),1)+LARGE(CHOOSE({1;2;3;4},F5,I5,L5,O5),2)+LARGE(CHOOSE({1;2;3;4},F5,I5,L5,O5),3))/3,0)</f>
        <v>4.3</v>
      </c>
      <c r="V5" s="7" cm="1">
        <f t="array" ref="V5">IF(FX[[#This Row],[Number_of_competition]:[Number_of_competition]]&gt;=3,(LARGE(CHOOSE({1;2;3;4},G5,J5,M5,P5),1)+LARGE(CHOOSE({1;2;3;4},G5,J5,M5,P5),2)+LARGE(CHOOSE({1;2;3;4},G5,J5,M5,P5),3))/3,0)</f>
        <v>7.416666666666667</v>
      </c>
      <c r="W5" s="7" cm="1">
        <f t="array" ref="W5">IF(FX[[#This Row],[Number_of_competition]:[Number_of_competition]]&gt;=3,(LARGE(CHOOSE({1;2;3;4},H5,K5,N5,Q5),1)+LARGE(CHOOSE({1;2;3;4},H5,K5,N5,Q5),2)+LARGE(CHOOSE({1;2;3;4},H5,K5,N5,Q5),3))/3,0)</f>
        <v>11.716666666666667</v>
      </c>
    </row>
    <row r="6" spans="1:23" x14ac:dyDescent="0.25">
      <c r="A6" t="s">
        <v>84</v>
      </c>
      <c r="B6" s="2" t="s">
        <v>60</v>
      </c>
      <c r="C6" s="2" t="s">
        <v>85</v>
      </c>
      <c r="D6" t="s">
        <v>39</v>
      </c>
      <c r="E6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6" s="4">
        <v>4.5</v>
      </c>
      <c r="G6" s="7">
        <v>7.35</v>
      </c>
      <c r="H6" s="7">
        <v>11.85</v>
      </c>
      <c r="I6" s="4">
        <v>4.0999999999999996</v>
      </c>
      <c r="J6" s="7">
        <v>6.25</v>
      </c>
      <c r="K6" s="7">
        <v>10.35</v>
      </c>
      <c r="L6" s="4">
        <v>4.0999999999999996</v>
      </c>
      <c r="M6" s="7">
        <v>8.4</v>
      </c>
      <c r="N6" s="7">
        <v>12.5</v>
      </c>
      <c r="O6" s="4">
        <v>4.0999999999999996</v>
      </c>
      <c r="P6" s="7">
        <v>7.3</v>
      </c>
      <c r="Q6" s="7">
        <v>11.4</v>
      </c>
      <c r="R6" s="4">
        <f>LARGE(CHOOSE({1;2;3;4},F6,I6,L6,O6),1)+LARGE(CHOOSE({1;2;3;4},F6,I6,L6,O6),2)+LARGE(CHOOSE({1;2;3;4},F6,I6,L6,O6),3)</f>
        <v>12.7</v>
      </c>
      <c r="S6" s="7">
        <f>LARGE(CHOOSE({1;2;3;4},G6,J6,M6,P6),1)+LARGE(CHOOSE({1;2;3;4},G6,J6,M6,P6),2)+LARGE(CHOOSE({1;2;3;4},G6,J6,M6,P6),3)</f>
        <v>23.05</v>
      </c>
      <c r="T6" s="7">
        <f>LARGE(CHOOSE({1;2;3;4},H6,K6,N6,Q6),1)+LARGE(CHOOSE({1;2;3;4},H6,K6,N6,Q6),2)+LARGE(CHOOSE({1;2;3;4},H6,K6,N6,Q6),3)</f>
        <v>35.75</v>
      </c>
      <c r="U6" s="4" cm="1">
        <f t="array" ref="U6">IF(FX[[#This Row],[Number_of_competition]:[Number_of_competition]]&gt;=3,(LARGE(CHOOSE({1;2;3;4},F6,I6,L6,O6),1)+LARGE(CHOOSE({1;2;3;4},F6,I6,L6,O6),2)+LARGE(CHOOSE({1;2;3;4},F6,I6,L6,O6),3))/3,0)</f>
        <v>4.2333333333333334</v>
      </c>
      <c r="V6" s="7" cm="1">
        <f t="array" ref="V6">IF(FX[[#This Row],[Number_of_competition]:[Number_of_competition]]&gt;=3,(LARGE(CHOOSE({1;2;3;4},G6,J6,M6,P6),1)+LARGE(CHOOSE({1;2;3;4},G6,J6,M6,P6),2)+LARGE(CHOOSE({1;2;3;4},G6,J6,M6,P6),3))/3,0)</f>
        <v>7.6833333333333336</v>
      </c>
      <c r="W6" s="7" cm="1">
        <f t="array" ref="W6">IF(FX[[#This Row],[Number_of_competition]:[Number_of_competition]]&gt;=3,(LARGE(CHOOSE({1;2;3;4},H6,K6,N6,Q6),1)+LARGE(CHOOSE({1;2;3;4},H6,K6,N6,Q6),2)+LARGE(CHOOSE({1;2;3;4},H6,K6,N6,Q6),3))/3,0)</f>
        <v>11.916666666666666</v>
      </c>
    </row>
    <row r="7" spans="1:23" x14ac:dyDescent="0.25">
      <c r="A7" t="s">
        <v>29</v>
      </c>
      <c r="B7" s="2" t="s">
        <v>26</v>
      </c>
      <c r="C7" s="2" t="s">
        <v>30</v>
      </c>
      <c r="D7" t="s">
        <v>31</v>
      </c>
      <c r="E7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7" s="4">
        <v>4</v>
      </c>
      <c r="G7" s="7">
        <v>8.9499999999999993</v>
      </c>
      <c r="H7" s="7">
        <v>12.95</v>
      </c>
      <c r="I7" s="4">
        <v>4.3</v>
      </c>
      <c r="J7" s="7">
        <v>8.15</v>
      </c>
      <c r="K7" s="7">
        <v>12.45</v>
      </c>
      <c r="L7" s="4">
        <v>0</v>
      </c>
      <c r="M7" s="7">
        <v>0</v>
      </c>
      <c r="N7" s="7">
        <v>0</v>
      </c>
      <c r="O7" s="4">
        <v>4.4000000000000004</v>
      </c>
      <c r="P7" s="7">
        <v>7.5</v>
      </c>
      <c r="Q7" s="7">
        <v>11.9</v>
      </c>
      <c r="R7" s="4">
        <f>LARGE(CHOOSE({1;2;3;4},F7,I7,L7,O7),1)+LARGE(CHOOSE({1;2;3;4},F7,I7,L7,O7),2)+LARGE(CHOOSE({1;2;3;4},F7,I7,L7,O7),3)</f>
        <v>12.7</v>
      </c>
      <c r="S7" s="7">
        <f>LARGE(CHOOSE({1;2;3;4},G7,J7,M7,P7),1)+LARGE(CHOOSE({1;2;3;4},G7,J7,M7,P7),2)+LARGE(CHOOSE({1;2;3;4},G7,J7,M7,P7),3)</f>
        <v>24.6</v>
      </c>
      <c r="T7" s="7">
        <f>LARGE(CHOOSE({1;2;3;4},H7,K7,N7,Q7),1)+LARGE(CHOOSE({1;2;3;4},H7,K7,N7,Q7),2)+LARGE(CHOOSE({1;2;3;4},H7,K7,N7,Q7),3)</f>
        <v>37.299999999999997</v>
      </c>
      <c r="U7" s="4" cm="1">
        <f t="array" ref="U7">IF(FX[[#This Row],[Number_of_competition]:[Number_of_competition]]&gt;=3,(LARGE(CHOOSE({1;2;3;4},F7,I7,L7,O7),1)+LARGE(CHOOSE({1;2;3;4},F7,I7,L7,O7),2)+LARGE(CHOOSE({1;2;3;4},F7,I7,L7,O7),3))/3,0)</f>
        <v>4.2333333333333334</v>
      </c>
      <c r="V7" s="7" cm="1">
        <f t="array" ref="V7">IF(FX[[#This Row],[Number_of_competition]:[Number_of_competition]]&gt;=3,(LARGE(CHOOSE({1;2;3;4},G7,J7,M7,P7),1)+LARGE(CHOOSE({1;2;3;4},G7,J7,M7,P7),2)+LARGE(CHOOSE({1;2;3;4},G7,J7,M7,P7),3))/3,0)</f>
        <v>8.2000000000000011</v>
      </c>
      <c r="W7" s="7" cm="1">
        <f t="array" ref="W7">IF(FX[[#This Row],[Number_of_competition]:[Number_of_competition]]&gt;=3,(LARGE(CHOOSE({1;2;3;4},H7,K7,N7,Q7),1)+LARGE(CHOOSE({1;2;3;4},H7,K7,N7,Q7),2)+LARGE(CHOOSE({1;2;3;4},H7,K7,N7,Q7),3))/3,0)</f>
        <v>12.433333333333332</v>
      </c>
    </row>
    <row r="8" spans="1:23" x14ac:dyDescent="0.25">
      <c r="A8" t="s">
        <v>68</v>
      </c>
      <c r="B8" s="2" t="s">
        <v>60</v>
      </c>
      <c r="C8" s="2" t="s">
        <v>69</v>
      </c>
      <c r="D8" t="s">
        <v>31</v>
      </c>
      <c r="E8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8" s="4">
        <v>0</v>
      </c>
      <c r="G8" s="7">
        <v>0</v>
      </c>
      <c r="H8" s="7">
        <v>0</v>
      </c>
      <c r="I8" s="4">
        <v>4.2</v>
      </c>
      <c r="J8" s="7">
        <v>8.35</v>
      </c>
      <c r="K8" s="7">
        <v>12.55</v>
      </c>
      <c r="L8" s="4">
        <v>4.5</v>
      </c>
      <c r="M8" s="7">
        <v>8</v>
      </c>
      <c r="N8" s="7">
        <v>12.5</v>
      </c>
      <c r="O8" s="4">
        <v>4</v>
      </c>
      <c r="P8" s="7">
        <v>6.3</v>
      </c>
      <c r="Q8" s="7">
        <v>10.3</v>
      </c>
      <c r="R8" s="4">
        <f>LARGE(CHOOSE({1;2;3;4},F8,I8,L8,O8),1)+LARGE(CHOOSE({1;2;3;4},F8,I8,L8,O8),2)+LARGE(CHOOSE({1;2;3;4},F8,I8,L8,O8),3)</f>
        <v>12.7</v>
      </c>
      <c r="S8" s="7">
        <f>LARGE(CHOOSE({1;2;3;4},G8,J8,M8,P8),1)+LARGE(CHOOSE({1;2;3;4},G8,J8,M8,P8),2)+LARGE(CHOOSE({1;2;3;4},G8,J8,M8,P8),3)</f>
        <v>22.650000000000002</v>
      </c>
      <c r="T8" s="7">
        <f>LARGE(CHOOSE({1;2;3;4},H8,K8,N8,Q8),1)+LARGE(CHOOSE({1;2;3;4},H8,K8,N8,Q8),2)+LARGE(CHOOSE({1;2;3;4},H8,K8,N8,Q8),3)</f>
        <v>35.35</v>
      </c>
      <c r="U8" s="4" cm="1">
        <f t="array" ref="U8">IF(FX[[#This Row],[Number_of_competition]:[Number_of_competition]]&gt;=3,(LARGE(CHOOSE({1;2;3;4},F8,I8,L8,O8),1)+LARGE(CHOOSE({1;2;3;4},F8,I8,L8,O8),2)+LARGE(CHOOSE({1;2;3;4},F8,I8,L8,O8),3))/3,0)</f>
        <v>4.2333333333333334</v>
      </c>
      <c r="V8" s="7" cm="1">
        <f t="array" ref="V8">IF(FX[[#This Row],[Number_of_competition]:[Number_of_competition]]&gt;=3,(LARGE(CHOOSE({1;2;3;4},G8,J8,M8,P8),1)+LARGE(CHOOSE({1;2;3;4},G8,J8,M8,P8),2)+LARGE(CHOOSE({1;2;3;4},G8,J8,M8,P8),3))/3,0)</f>
        <v>7.5500000000000007</v>
      </c>
      <c r="W8" s="7" cm="1">
        <f t="array" ref="W8">IF(FX[[#This Row],[Number_of_competition]:[Number_of_competition]]&gt;=3,(LARGE(CHOOSE({1;2;3;4},H8,K8,N8,Q8),1)+LARGE(CHOOSE({1;2;3;4},H8,K8,N8,Q8),2)+LARGE(CHOOSE({1;2;3;4},H8,K8,N8,Q8),3))/3,0)</f>
        <v>11.783333333333333</v>
      </c>
    </row>
    <row r="9" spans="1:23" x14ac:dyDescent="0.25">
      <c r="A9" t="s">
        <v>32</v>
      </c>
      <c r="B9" s="2" t="s">
        <v>26</v>
      </c>
      <c r="C9" s="2" t="s">
        <v>33</v>
      </c>
      <c r="D9" t="s">
        <v>31</v>
      </c>
      <c r="E9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9" s="4">
        <v>4.2</v>
      </c>
      <c r="G9" s="7">
        <v>8.6</v>
      </c>
      <c r="H9" s="7">
        <v>12.8</v>
      </c>
      <c r="I9" s="4">
        <v>4.2</v>
      </c>
      <c r="J9" s="7">
        <v>8.5500000000000007</v>
      </c>
      <c r="K9" s="7">
        <v>12.75</v>
      </c>
      <c r="L9" s="4">
        <v>4.2</v>
      </c>
      <c r="M9" s="7">
        <v>8.3000000000000007</v>
      </c>
      <c r="N9" s="7">
        <v>12.5</v>
      </c>
      <c r="O9" s="4">
        <v>4.0999999999999996</v>
      </c>
      <c r="P9" s="7">
        <v>7.8</v>
      </c>
      <c r="Q9" s="7">
        <v>11.9</v>
      </c>
      <c r="R9" s="4">
        <f>LARGE(CHOOSE({1;2;3;4},F9,I9,L9,O9),1)+LARGE(CHOOSE({1;2;3;4},F9,I9,L9,O9),2)+LARGE(CHOOSE({1;2;3;4},F9,I9,L9,O9),3)</f>
        <v>12.600000000000001</v>
      </c>
      <c r="S9" s="7">
        <f>LARGE(CHOOSE({1;2;3;4},G9,J9,M9,P9),1)+LARGE(CHOOSE({1;2;3;4},G9,J9,M9,P9),2)+LARGE(CHOOSE({1;2;3;4},G9,J9,M9,P9),3)</f>
        <v>25.45</v>
      </c>
      <c r="T9" s="7">
        <f>LARGE(CHOOSE({1;2;3;4},H9,K9,N9,Q9),1)+LARGE(CHOOSE({1;2;3;4},H9,K9,N9,Q9),2)+LARGE(CHOOSE({1;2;3;4},H9,K9,N9,Q9),3)</f>
        <v>38.049999999999997</v>
      </c>
      <c r="U9" s="4" cm="1">
        <f t="array" ref="U9">IF(FX[[#This Row],[Number_of_competition]:[Number_of_competition]]&gt;=3,(LARGE(CHOOSE({1;2;3;4},F9,I9,L9,O9),1)+LARGE(CHOOSE({1;2;3;4},F9,I9,L9,O9),2)+LARGE(CHOOSE({1;2;3;4},F9,I9,L9,O9),3))/3,0)</f>
        <v>4.2</v>
      </c>
      <c r="V9" s="7" cm="1">
        <f t="array" ref="V9">IF(FX[[#This Row],[Number_of_competition]:[Number_of_competition]]&gt;=3,(LARGE(CHOOSE({1;2;3;4},G9,J9,M9,P9),1)+LARGE(CHOOSE({1;2;3;4},G9,J9,M9,P9),2)+LARGE(CHOOSE({1;2;3;4},G9,J9,M9,P9),3))/3,0)</f>
        <v>8.4833333333333325</v>
      </c>
      <c r="W9" s="7" cm="1">
        <f t="array" ref="W9">IF(FX[[#This Row],[Number_of_competition]:[Number_of_competition]]&gt;=3,(LARGE(CHOOSE({1;2;3;4},H9,K9,N9,Q9),1)+LARGE(CHOOSE({1;2;3;4},H9,K9,N9,Q9),2)+LARGE(CHOOSE({1;2;3;4},H9,K9,N9,Q9),3))/3,0)</f>
        <v>12.683333333333332</v>
      </c>
    </row>
    <row r="10" spans="1:23" x14ac:dyDescent="0.25">
      <c r="A10" t="s">
        <v>82</v>
      </c>
      <c r="B10" s="2" t="s">
        <v>60</v>
      </c>
      <c r="C10" s="2" t="s">
        <v>83</v>
      </c>
      <c r="D10" t="s">
        <v>36</v>
      </c>
      <c r="E10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10" s="4">
        <v>0</v>
      </c>
      <c r="G10" s="7">
        <v>0</v>
      </c>
      <c r="H10" s="7">
        <v>0</v>
      </c>
      <c r="I10" s="4">
        <v>4.4000000000000004</v>
      </c>
      <c r="J10" s="7">
        <v>8.1</v>
      </c>
      <c r="K10" s="7">
        <v>12.5</v>
      </c>
      <c r="L10" s="4">
        <v>4.0999999999999996</v>
      </c>
      <c r="M10" s="7">
        <v>6.7</v>
      </c>
      <c r="N10" s="7">
        <v>10.8</v>
      </c>
      <c r="O10" s="4">
        <v>3.9</v>
      </c>
      <c r="P10" s="7">
        <v>7.9</v>
      </c>
      <c r="Q10" s="7">
        <v>11.8</v>
      </c>
      <c r="R10" s="4">
        <f>LARGE(CHOOSE({1;2;3;4},F10,I10,L10,O10),1)+LARGE(CHOOSE({1;2;3;4},F10,I10,L10,O10),2)+LARGE(CHOOSE({1;2;3;4},F10,I10,L10,O10),3)</f>
        <v>12.4</v>
      </c>
      <c r="S10" s="7">
        <f>LARGE(CHOOSE({1;2;3;4},G10,J10,M10,P10),1)+LARGE(CHOOSE({1;2;3;4},G10,J10,M10,P10),2)+LARGE(CHOOSE({1;2;3;4},G10,J10,M10,P10),3)</f>
        <v>22.7</v>
      </c>
      <c r="T10" s="7">
        <f>LARGE(CHOOSE({1;2;3;4},H10,K10,N10,Q10),1)+LARGE(CHOOSE({1;2;3;4},H10,K10,N10,Q10),2)+LARGE(CHOOSE({1;2;3;4},H10,K10,N10,Q10),3)</f>
        <v>35.1</v>
      </c>
      <c r="U10" s="4" cm="1">
        <f t="array" ref="U10">IF(FX[[#This Row],[Number_of_competition]:[Number_of_competition]]&gt;=3,(LARGE(CHOOSE({1;2;3;4},F10,I10,L10,O10),1)+LARGE(CHOOSE({1;2;3;4},F10,I10,L10,O10),2)+LARGE(CHOOSE({1;2;3;4},F10,I10,L10,O10),3))/3,0)</f>
        <v>4.1333333333333337</v>
      </c>
      <c r="V10" s="7" cm="1">
        <f t="array" ref="V10">IF(FX[[#This Row],[Number_of_competition]:[Number_of_competition]]&gt;=3,(LARGE(CHOOSE({1;2;3;4},G10,J10,M10,P10),1)+LARGE(CHOOSE({1;2;3;4},G10,J10,M10,P10),2)+LARGE(CHOOSE({1;2;3;4},G10,J10,M10,P10),3))/3,0)</f>
        <v>7.5666666666666664</v>
      </c>
      <c r="W10" s="7" cm="1">
        <f t="array" ref="W10">IF(FX[[#This Row],[Number_of_competition]:[Number_of_competition]]&gt;=3,(LARGE(CHOOSE({1;2;3;4},H10,K10,N10,Q10),1)+LARGE(CHOOSE({1;2;3;4},H10,K10,N10,Q10),2)+LARGE(CHOOSE({1;2;3;4},H10,K10,N10,Q10),3))/3,0)</f>
        <v>11.700000000000001</v>
      </c>
    </row>
    <row r="11" spans="1:23" x14ac:dyDescent="0.25">
      <c r="A11" t="s">
        <v>86</v>
      </c>
      <c r="B11" s="2" t="s">
        <v>60</v>
      </c>
      <c r="C11" s="2" t="s">
        <v>87</v>
      </c>
      <c r="D11" t="s">
        <v>72</v>
      </c>
      <c r="E11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11" s="4">
        <v>4.2</v>
      </c>
      <c r="G11" s="7">
        <v>8.6</v>
      </c>
      <c r="H11" s="7">
        <v>12.8</v>
      </c>
      <c r="I11" s="4">
        <v>3.9</v>
      </c>
      <c r="J11" s="7">
        <v>8</v>
      </c>
      <c r="K11" s="7">
        <v>11.9</v>
      </c>
      <c r="L11" s="4">
        <v>4.2</v>
      </c>
      <c r="M11" s="7">
        <v>7.55</v>
      </c>
      <c r="N11" s="7">
        <v>11.75</v>
      </c>
      <c r="O11" s="4">
        <v>3.9</v>
      </c>
      <c r="P11" s="7">
        <v>7.2</v>
      </c>
      <c r="Q11" s="7">
        <v>11.1</v>
      </c>
      <c r="R11" s="4">
        <f>LARGE(CHOOSE({1;2;3;4},F11,I11,L11,O11),1)+LARGE(CHOOSE({1;2;3;4},F11,I11,L11,O11),2)+LARGE(CHOOSE({1;2;3;4},F11,I11,L11,O11),3)</f>
        <v>12.3</v>
      </c>
      <c r="S11" s="7">
        <f>LARGE(CHOOSE({1;2;3;4},G11,J11,M11,P11),1)+LARGE(CHOOSE({1;2;3;4},G11,J11,M11,P11),2)+LARGE(CHOOSE({1;2;3;4},G11,J11,M11,P11),3)</f>
        <v>24.150000000000002</v>
      </c>
      <c r="T11" s="7">
        <f>LARGE(CHOOSE({1;2;3;4},H11,K11,N11,Q11),1)+LARGE(CHOOSE({1;2;3;4},H11,K11,N11,Q11),2)+LARGE(CHOOSE({1;2;3;4},H11,K11,N11,Q11),3)</f>
        <v>36.450000000000003</v>
      </c>
      <c r="U11" s="4" cm="1">
        <f t="array" ref="U11">IF(FX[[#This Row],[Number_of_competition]:[Number_of_competition]]&gt;=3,(LARGE(CHOOSE({1;2;3;4},F11,I11,L11,O11),1)+LARGE(CHOOSE({1;2;3;4},F11,I11,L11,O11),2)+LARGE(CHOOSE({1;2;3;4},F11,I11,L11,O11),3))/3,0)</f>
        <v>4.1000000000000005</v>
      </c>
      <c r="V11" s="7" cm="1">
        <f t="array" ref="V11">IF(FX[[#This Row],[Number_of_competition]:[Number_of_competition]]&gt;=3,(LARGE(CHOOSE({1;2;3;4},G11,J11,M11,P11),1)+LARGE(CHOOSE({1;2;3;4},G11,J11,M11,P11),2)+LARGE(CHOOSE({1;2;3;4},G11,J11,M11,P11),3))/3,0)</f>
        <v>8.0500000000000007</v>
      </c>
      <c r="W11" s="7" cm="1">
        <f t="array" ref="W11">IF(FX[[#This Row],[Number_of_competition]:[Number_of_competition]]&gt;=3,(LARGE(CHOOSE({1;2;3;4},H11,K11,N11,Q11),1)+LARGE(CHOOSE({1;2;3;4},H11,K11,N11,Q11),2)+LARGE(CHOOSE({1;2;3;4},H11,K11,N11,Q11),3))/3,0)</f>
        <v>12.15</v>
      </c>
    </row>
    <row r="12" spans="1:23" x14ac:dyDescent="0.25">
      <c r="A12" t="s">
        <v>77</v>
      </c>
      <c r="B12" s="2" t="s">
        <v>60</v>
      </c>
      <c r="C12" s="2" t="s">
        <v>78</v>
      </c>
      <c r="D12" t="s">
        <v>79</v>
      </c>
      <c r="E12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12" s="4">
        <v>4.2</v>
      </c>
      <c r="G12" s="7">
        <v>6.3</v>
      </c>
      <c r="H12" s="7">
        <v>10.5</v>
      </c>
      <c r="I12" s="4">
        <v>3.9</v>
      </c>
      <c r="J12" s="7">
        <v>7.85</v>
      </c>
      <c r="K12" s="7">
        <v>11.75</v>
      </c>
      <c r="L12" s="4">
        <v>3.9</v>
      </c>
      <c r="M12" s="7">
        <v>8</v>
      </c>
      <c r="N12" s="7">
        <v>11.9</v>
      </c>
      <c r="O12" s="4">
        <v>3.8</v>
      </c>
      <c r="P12" s="7">
        <v>7.4</v>
      </c>
      <c r="Q12" s="7">
        <v>11.2</v>
      </c>
      <c r="R12" s="4">
        <f>LARGE(CHOOSE({1;2;3;4},F12,I12,L12,O12),1)+LARGE(CHOOSE({1;2;3;4},F12,I12,L12,O12),2)+LARGE(CHOOSE({1;2;3;4},F12,I12,L12,O12),3)</f>
        <v>12</v>
      </c>
      <c r="S12" s="7">
        <f>LARGE(CHOOSE({1;2;3;4},G12,J12,M12,P12),1)+LARGE(CHOOSE({1;2;3;4},G12,J12,M12,P12),2)+LARGE(CHOOSE({1;2;3;4},G12,J12,M12,P12),3)</f>
        <v>23.25</v>
      </c>
      <c r="T12" s="7">
        <f>LARGE(CHOOSE({1;2;3;4},H12,K12,N12,Q12),1)+LARGE(CHOOSE({1;2;3;4},H12,K12,N12,Q12),2)+LARGE(CHOOSE({1;2;3;4},H12,K12,N12,Q12),3)</f>
        <v>34.849999999999994</v>
      </c>
      <c r="U12" s="4" cm="1">
        <f t="array" ref="U12">IF(FX[[#This Row],[Number_of_competition]:[Number_of_competition]]&gt;=3,(LARGE(CHOOSE({1;2;3;4},F12,I12,L12,O12),1)+LARGE(CHOOSE({1;2;3;4},F12,I12,L12,O12),2)+LARGE(CHOOSE({1;2;3;4},F12,I12,L12,O12),3))/3,0)</f>
        <v>4</v>
      </c>
      <c r="V12" s="7" cm="1">
        <f t="array" ref="V12">IF(FX[[#This Row],[Number_of_competition]:[Number_of_competition]]&gt;=3,(LARGE(CHOOSE({1;2;3;4},G12,J12,M12,P12),1)+LARGE(CHOOSE({1;2;3;4},G12,J12,M12,P12),2)+LARGE(CHOOSE({1;2;3;4},G12,J12,M12,P12),3))/3,0)</f>
        <v>7.75</v>
      </c>
      <c r="W12" s="7" cm="1">
        <f t="array" ref="W12">IF(FX[[#This Row],[Number_of_competition]:[Number_of_competition]]&gt;=3,(LARGE(CHOOSE({1;2;3;4},H12,K12,N12,Q12),1)+LARGE(CHOOSE({1;2;3;4},H12,K12,N12,Q12),2)+LARGE(CHOOSE({1;2;3;4},H12,K12,N12,Q12),3))/3,0)</f>
        <v>11.616666666666665</v>
      </c>
    </row>
    <row r="13" spans="1:23" x14ac:dyDescent="0.25">
      <c r="A13" t="s">
        <v>25</v>
      </c>
      <c r="B13" s="2" t="s">
        <v>26</v>
      </c>
      <c r="C13" s="2" t="s">
        <v>27</v>
      </c>
      <c r="D13" t="s">
        <v>28</v>
      </c>
      <c r="E13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13" s="4">
        <v>4</v>
      </c>
      <c r="G13" s="7">
        <v>8.9499999999999993</v>
      </c>
      <c r="H13" s="7">
        <v>12.95</v>
      </c>
      <c r="I13" s="4">
        <v>4</v>
      </c>
      <c r="J13" s="7">
        <v>8.6999999999999993</v>
      </c>
      <c r="K13" s="7">
        <v>12.7</v>
      </c>
      <c r="L13" s="4">
        <v>4</v>
      </c>
      <c r="M13" s="7">
        <v>8.4499999999999993</v>
      </c>
      <c r="N13" s="7">
        <v>12.45</v>
      </c>
      <c r="O13" s="4">
        <v>4</v>
      </c>
      <c r="P13" s="7">
        <v>7.9</v>
      </c>
      <c r="Q13" s="7">
        <v>11.9</v>
      </c>
      <c r="R13" s="4">
        <f>LARGE(CHOOSE({1;2;3;4},F13,I13,L13,O13),1)+LARGE(CHOOSE({1;2;3;4},F13,I13,L13,O13),2)+LARGE(CHOOSE({1;2;3;4},F13,I13,L13,O13),3)</f>
        <v>12</v>
      </c>
      <c r="S13" s="7">
        <f>LARGE(CHOOSE({1;2;3;4},G13,J13,M13,P13),1)+LARGE(CHOOSE({1;2;3;4},G13,J13,M13,P13),2)+LARGE(CHOOSE({1;2;3;4},G13,J13,M13,P13),3)</f>
        <v>26.099999999999998</v>
      </c>
      <c r="T13" s="7">
        <f>LARGE(CHOOSE({1;2;3;4},H13,K13,N13,Q13),1)+LARGE(CHOOSE({1;2;3;4},H13,K13,N13,Q13),2)+LARGE(CHOOSE({1;2;3;4},H13,K13,N13,Q13),3)</f>
        <v>38.099999999999994</v>
      </c>
      <c r="U13" s="4" cm="1">
        <f t="array" ref="U13">IF(FX[[#This Row],[Number_of_competition]:[Number_of_competition]]&gt;=3,(LARGE(CHOOSE({1;2;3;4},F13,I13,L13,O13),1)+LARGE(CHOOSE({1;2;3;4},F13,I13,L13,O13),2)+LARGE(CHOOSE({1;2;3;4},F13,I13,L13,O13),3))/3,0)</f>
        <v>4</v>
      </c>
      <c r="V13" s="7" cm="1">
        <f t="array" ref="V13">IF(FX[[#This Row],[Number_of_competition]:[Number_of_competition]]&gt;=3,(LARGE(CHOOSE({1;2;3;4},G13,J13,M13,P13),1)+LARGE(CHOOSE({1;2;3;4},G13,J13,M13,P13),2)+LARGE(CHOOSE({1;2;3;4},G13,J13,M13,P13),3))/3,0)</f>
        <v>8.6999999999999993</v>
      </c>
      <c r="W13" s="7" cm="1">
        <f t="array" ref="W13">IF(FX[[#This Row],[Number_of_competition]:[Number_of_competition]]&gt;=3,(LARGE(CHOOSE({1;2;3;4},H13,K13,N13,Q13),1)+LARGE(CHOOSE({1;2;3;4},H13,K13,N13,Q13),2)+LARGE(CHOOSE({1;2;3;4},H13,K13,N13,Q13),3))/3,0)</f>
        <v>12.699999999999998</v>
      </c>
    </row>
    <row r="14" spans="1:23" x14ac:dyDescent="0.25">
      <c r="A14" t="s">
        <v>106</v>
      </c>
      <c r="B14" s="2" t="s">
        <v>60</v>
      </c>
      <c r="C14" s="2" t="s">
        <v>107</v>
      </c>
      <c r="D14" t="s">
        <v>31</v>
      </c>
      <c r="E14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14" s="4">
        <v>3.9</v>
      </c>
      <c r="G14" s="7">
        <v>8.4</v>
      </c>
      <c r="H14" s="7">
        <v>12.3</v>
      </c>
      <c r="I14" s="4">
        <v>4</v>
      </c>
      <c r="J14" s="7">
        <v>6</v>
      </c>
      <c r="K14" s="7">
        <v>10</v>
      </c>
      <c r="L14" s="4">
        <v>3.8</v>
      </c>
      <c r="M14" s="7">
        <v>7.45</v>
      </c>
      <c r="N14" s="7">
        <v>11.25</v>
      </c>
      <c r="O14" s="4">
        <v>0</v>
      </c>
      <c r="P14" s="7">
        <v>0</v>
      </c>
      <c r="Q14" s="7">
        <v>0</v>
      </c>
      <c r="R14" s="4">
        <f>LARGE(CHOOSE({1;2;3;4},F14,I14,L14,O14),1)+LARGE(CHOOSE({1;2;3;4},F14,I14,L14,O14),2)+LARGE(CHOOSE({1;2;3;4},F14,I14,L14,O14),3)</f>
        <v>11.7</v>
      </c>
      <c r="S14" s="7">
        <f>LARGE(CHOOSE({1;2;3;4},G14,J14,M14,P14),1)+LARGE(CHOOSE({1;2;3;4},G14,J14,M14,P14),2)+LARGE(CHOOSE({1;2;3;4},G14,J14,M14,P14),3)</f>
        <v>21.85</v>
      </c>
      <c r="T14" s="7">
        <f>LARGE(CHOOSE({1;2;3;4},H14,K14,N14,Q14),1)+LARGE(CHOOSE({1;2;3;4},H14,K14,N14,Q14),2)+LARGE(CHOOSE({1;2;3;4},H14,K14,N14,Q14),3)</f>
        <v>33.549999999999997</v>
      </c>
      <c r="U14" s="4" cm="1">
        <f t="array" ref="U14">IF(FX[[#This Row],[Number_of_competition]:[Number_of_competition]]&gt;=3,(LARGE(CHOOSE({1;2;3;4},F14,I14,L14,O14),1)+LARGE(CHOOSE({1;2;3;4},F14,I14,L14,O14),2)+LARGE(CHOOSE({1;2;3;4},F14,I14,L14,O14),3))/3,0)</f>
        <v>3.9</v>
      </c>
      <c r="V14" s="7" cm="1">
        <f t="array" ref="V14">IF(FX[[#This Row],[Number_of_competition]:[Number_of_competition]]&gt;=3,(LARGE(CHOOSE({1;2;3;4},G14,J14,M14,P14),1)+LARGE(CHOOSE({1;2;3;4},G14,J14,M14,P14),2)+LARGE(CHOOSE({1;2;3;4},G14,J14,M14,P14),3))/3,0)</f>
        <v>7.2833333333333341</v>
      </c>
      <c r="W14" s="7" cm="1">
        <f t="array" ref="W14">IF(FX[[#This Row],[Number_of_competition]:[Number_of_competition]]&gt;=3,(LARGE(CHOOSE({1;2;3;4},H14,K14,N14,Q14),1)+LARGE(CHOOSE({1;2;3;4},H14,K14,N14,Q14),2)+LARGE(CHOOSE({1;2;3;4},H14,K14,N14,Q14),3))/3,0)</f>
        <v>11.183333333333332</v>
      </c>
    </row>
    <row r="15" spans="1:23" x14ac:dyDescent="0.25">
      <c r="A15" t="s">
        <v>90</v>
      </c>
      <c r="B15" s="2" t="s">
        <v>60</v>
      </c>
      <c r="C15" s="2" t="s">
        <v>91</v>
      </c>
      <c r="D15" t="s">
        <v>36</v>
      </c>
      <c r="E15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15" s="4">
        <v>0</v>
      </c>
      <c r="G15" s="7">
        <v>0</v>
      </c>
      <c r="H15" s="7">
        <v>0</v>
      </c>
      <c r="I15" s="4">
        <v>4</v>
      </c>
      <c r="J15" s="7">
        <v>7.85</v>
      </c>
      <c r="K15" s="7">
        <v>11.85</v>
      </c>
      <c r="L15" s="4">
        <v>4</v>
      </c>
      <c r="M15" s="7">
        <v>7.9</v>
      </c>
      <c r="N15" s="7">
        <v>11.9</v>
      </c>
      <c r="O15" s="4">
        <v>3.6</v>
      </c>
      <c r="P15" s="7">
        <v>5.7</v>
      </c>
      <c r="Q15" s="7">
        <v>9.3000000000000007</v>
      </c>
      <c r="R15" s="4">
        <f>LARGE(CHOOSE({1;2;3;4},F15,I15,L15,O15),1)+LARGE(CHOOSE({1;2;3;4},F15,I15,L15,O15),2)+LARGE(CHOOSE({1;2;3;4},F15,I15,L15,O15),3)</f>
        <v>11.6</v>
      </c>
      <c r="S15" s="7">
        <f>LARGE(CHOOSE({1;2;3;4},G15,J15,M15,P15),1)+LARGE(CHOOSE({1;2;3;4},G15,J15,M15,P15),2)+LARGE(CHOOSE({1;2;3;4},G15,J15,M15,P15),3)</f>
        <v>21.45</v>
      </c>
      <c r="T15" s="7">
        <f>LARGE(CHOOSE({1;2;3;4},H15,K15,N15,Q15),1)+LARGE(CHOOSE({1;2;3;4},H15,K15,N15,Q15),2)+LARGE(CHOOSE({1;2;3;4},H15,K15,N15,Q15),3)</f>
        <v>33.049999999999997</v>
      </c>
      <c r="U15" s="4" cm="1">
        <f t="array" ref="U15">IF(FX[[#This Row],[Number_of_competition]:[Number_of_competition]]&gt;=3,(LARGE(CHOOSE({1;2;3;4},F15,I15,L15,O15),1)+LARGE(CHOOSE({1;2;3;4},F15,I15,L15,O15),2)+LARGE(CHOOSE({1;2;3;4},F15,I15,L15,O15),3))/3,0)</f>
        <v>3.8666666666666667</v>
      </c>
      <c r="V15" s="7" cm="1">
        <f t="array" ref="V15">IF(FX[[#This Row],[Number_of_competition]:[Number_of_competition]]&gt;=3,(LARGE(CHOOSE({1;2;3;4},G15,J15,M15,P15),1)+LARGE(CHOOSE({1;2;3;4},G15,J15,M15,P15),2)+LARGE(CHOOSE({1;2;3;4},G15,J15,M15,P15),3))/3,0)</f>
        <v>7.1499999999999995</v>
      </c>
      <c r="W15" s="7" cm="1">
        <f t="array" ref="W15">IF(FX[[#This Row],[Number_of_competition]:[Number_of_competition]]&gt;=3,(LARGE(CHOOSE({1;2;3;4},H15,K15,N15,Q15),1)+LARGE(CHOOSE({1;2;3;4},H15,K15,N15,Q15),2)+LARGE(CHOOSE({1;2;3;4},H15,K15,N15,Q15),3))/3,0)</f>
        <v>11.016666666666666</v>
      </c>
    </row>
    <row r="16" spans="1:23" x14ac:dyDescent="0.25">
      <c r="A16" t="s">
        <v>42</v>
      </c>
      <c r="B16" s="2" t="s">
        <v>26</v>
      </c>
      <c r="C16" s="2" t="s">
        <v>43</v>
      </c>
      <c r="D16" t="s">
        <v>36</v>
      </c>
      <c r="E16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16" s="4">
        <v>4</v>
      </c>
      <c r="G16" s="7">
        <v>8.1999999999999993</v>
      </c>
      <c r="H16" s="7">
        <v>12.2</v>
      </c>
      <c r="I16" s="4">
        <v>3.4</v>
      </c>
      <c r="J16" s="7">
        <v>8.4</v>
      </c>
      <c r="K16" s="7">
        <v>11.8</v>
      </c>
      <c r="L16" s="4">
        <v>3.8</v>
      </c>
      <c r="M16" s="7">
        <v>7.1</v>
      </c>
      <c r="N16" s="7">
        <v>10.9</v>
      </c>
      <c r="O16" s="4">
        <v>3.4</v>
      </c>
      <c r="P16" s="7">
        <v>7.5</v>
      </c>
      <c r="Q16" s="7">
        <v>10.9</v>
      </c>
      <c r="R16" s="4">
        <f>LARGE(CHOOSE({1;2;3;4},F16,I16,L16,O16),1)+LARGE(CHOOSE({1;2;3;4},F16,I16,L16,O16),2)+LARGE(CHOOSE({1;2;3;4},F16,I16,L16,O16),3)</f>
        <v>11.2</v>
      </c>
      <c r="S16" s="7">
        <f>LARGE(CHOOSE({1;2;3;4},G16,J16,M16,P16),1)+LARGE(CHOOSE({1;2;3;4},G16,J16,M16,P16),2)+LARGE(CHOOSE({1;2;3;4},G16,J16,M16,P16),3)</f>
        <v>24.1</v>
      </c>
      <c r="T16" s="7">
        <f>LARGE(CHOOSE({1;2;3;4},H16,K16,N16,Q16),1)+LARGE(CHOOSE({1;2;3;4},H16,K16,N16,Q16),2)+LARGE(CHOOSE({1;2;3;4},H16,K16,N16,Q16),3)</f>
        <v>34.9</v>
      </c>
      <c r="U16" s="4" cm="1">
        <f t="array" ref="U16">IF(FX[[#This Row],[Number_of_competition]:[Number_of_competition]]&gt;=3,(LARGE(CHOOSE({1;2;3;4},F16,I16,L16,O16),1)+LARGE(CHOOSE({1;2;3;4},F16,I16,L16,O16),2)+LARGE(CHOOSE({1;2;3;4},F16,I16,L16,O16),3))/3,0)</f>
        <v>3.7333333333333329</v>
      </c>
      <c r="V16" s="7" cm="1">
        <f t="array" ref="V16">IF(FX[[#This Row],[Number_of_competition]:[Number_of_competition]]&gt;=3,(LARGE(CHOOSE({1;2;3;4},G16,J16,M16,P16),1)+LARGE(CHOOSE({1;2;3;4},G16,J16,M16,P16),2)+LARGE(CHOOSE({1;2;3;4},G16,J16,M16,P16),3))/3,0)</f>
        <v>8.0333333333333332</v>
      </c>
      <c r="W16" s="7" cm="1">
        <f t="array" ref="W16">IF(FX[[#This Row],[Number_of_competition]:[Number_of_competition]]&gt;=3,(LARGE(CHOOSE({1;2;3;4},H16,K16,N16,Q16),1)+LARGE(CHOOSE({1;2;3;4},H16,K16,N16,Q16),2)+LARGE(CHOOSE({1;2;3;4},H16,K16,N16,Q16),3))/3,0)</f>
        <v>11.633333333333333</v>
      </c>
    </row>
    <row r="17" spans="1:23" x14ac:dyDescent="0.25">
      <c r="A17" t="s">
        <v>34</v>
      </c>
      <c r="B17" s="2" t="s">
        <v>26</v>
      </c>
      <c r="C17" s="2" t="s">
        <v>35</v>
      </c>
      <c r="D17" t="s">
        <v>36</v>
      </c>
      <c r="E17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17" s="4">
        <v>3.8</v>
      </c>
      <c r="G17" s="7">
        <v>8.6999999999999993</v>
      </c>
      <c r="H17" s="7">
        <v>12.5</v>
      </c>
      <c r="I17" s="4">
        <v>3.7</v>
      </c>
      <c r="J17" s="7">
        <v>8.1</v>
      </c>
      <c r="K17" s="7">
        <v>11.8</v>
      </c>
      <c r="L17" s="4">
        <v>3.6</v>
      </c>
      <c r="M17" s="7">
        <v>8.25</v>
      </c>
      <c r="N17" s="7">
        <v>11.85</v>
      </c>
      <c r="O17" s="4">
        <v>3.6</v>
      </c>
      <c r="P17" s="7">
        <v>7.4</v>
      </c>
      <c r="Q17" s="7">
        <v>11</v>
      </c>
      <c r="R17" s="4">
        <f>LARGE(CHOOSE({1;2;3;4},F17,I17,L17,O17),1)+LARGE(CHOOSE({1;2;3;4},F17,I17,L17,O17),2)+LARGE(CHOOSE({1;2;3;4},F17,I17,L17,O17),3)</f>
        <v>11.1</v>
      </c>
      <c r="S17" s="7">
        <f>LARGE(CHOOSE({1;2;3;4},G17,J17,M17,P17),1)+LARGE(CHOOSE({1;2;3;4},G17,J17,M17,P17),2)+LARGE(CHOOSE({1;2;3;4},G17,J17,M17,P17),3)</f>
        <v>25.049999999999997</v>
      </c>
      <c r="T17" s="7">
        <f>LARGE(CHOOSE({1;2;3;4},H17,K17,N17,Q17),1)+LARGE(CHOOSE({1;2;3;4},H17,K17,N17,Q17),2)+LARGE(CHOOSE({1;2;3;4},H17,K17,N17,Q17),3)</f>
        <v>36.150000000000006</v>
      </c>
      <c r="U17" s="4" cm="1">
        <f t="array" ref="U17">IF(FX[[#This Row],[Number_of_competition]:[Number_of_competition]]&gt;=3,(LARGE(CHOOSE({1;2;3;4},F17,I17,L17,O17),1)+LARGE(CHOOSE({1;2;3;4},F17,I17,L17,O17),2)+LARGE(CHOOSE({1;2;3;4},F17,I17,L17,O17),3))/3,0)</f>
        <v>3.6999999999999997</v>
      </c>
      <c r="V17" s="7" cm="1">
        <f t="array" ref="V17">IF(FX[[#This Row],[Number_of_competition]:[Number_of_competition]]&gt;=3,(LARGE(CHOOSE({1;2;3;4},G17,J17,M17,P17),1)+LARGE(CHOOSE({1;2;3;4},G17,J17,M17,P17),2)+LARGE(CHOOSE({1;2;3;4},G17,J17,M17,P17),3))/3,0)</f>
        <v>8.35</v>
      </c>
      <c r="W17" s="7" cm="1">
        <f t="array" ref="W17">IF(FX[[#This Row],[Number_of_competition]:[Number_of_competition]]&gt;=3,(LARGE(CHOOSE({1;2;3;4},H17,K17,N17,Q17),1)+LARGE(CHOOSE({1;2;3;4},H17,K17,N17,Q17),2)+LARGE(CHOOSE({1;2;3;4},H17,K17,N17,Q17),3))/3,0)</f>
        <v>12.050000000000002</v>
      </c>
    </row>
    <row r="18" spans="1:23" x14ac:dyDescent="0.25">
      <c r="A18" t="s">
        <v>80</v>
      </c>
      <c r="B18" s="2" t="s">
        <v>60</v>
      </c>
      <c r="C18" s="2" t="s">
        <v>81</v>
      </c>
      <c r="D18" t="s">
        <v>62</v>
      </c>
      <c r="E18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18" s="4">
        <v>3.6</v>
      </c>
      <c r="G18" s="7">
        <v>9</v>
      </c>
      <c r="H18" s="7">
        <v>12.6</v>
      </c>
      <c r="I18" s="4">
        <v>3.4</v>
      </c>
      <c r="J18" s="7">
        <v>8.6999999999999993</v>
      </c>
      <c r="K18" s="7">
        <v>12.1</v>
      </c>
      <c r="L18" s="4">
        <v>3.6</v>
      </c>
      <c r="M18" s="7">
        <v>8.4</v>
      </c>
      <c r="N18" s="7">
        <v>12</v>
      </c>
      <c r="O18" s="4">
        <v>3.6</v>
      </c>
      <c r="P18" s="7">
        <v>7.45</v>
      </c>
      <c r="Q18" s="7">
        <v>11.05</v>
      </c>
      <c r="R18" s="4">
        <f>LARGE(CHOOSE({1;2;3;4},F18,I18,L18,O18),1)+LARGE(CHOOSE({1;2;3;4},F18,I18,L18,O18),2)+LARGE(CHOOSE({1;2;3;4},F18,I18,L18,O18),3)</f>
        <v>10.8</v>
      </c>
      <c r="S18" s="7">
        <f>LARGE(CHOOSE({1;2;3;4},G18,J18,M18,P18),1)+LARGE(CHOOSE({1;2;3;4},G18,J18,M18,P18),2)+LARGE(CHOOSE({1;2;3;4},G18,J18,M18,P18),3)</f>
        <v>26.1</v>
      </c>
      <c r="T18" s="7">
        <f>LARGE(CHOOSE({1;2;3;4},H18,K18,N18,Q18),1)+LARGE(CHOOSE({1;2;3;4},H18,K18,N18,Q18),2)+LARGE(CHOOSE({1;2;3;4},H18,K18,N18,Q18),3)</f>
        <v>36.700000000000003</v>
      </c>
      <c r="U18" s="4" cm="1">
        <f t="array" ref="U18">IF(FX[[#This Row],[Number_of_competition]:[Number_of_competition]]&gt;=3,(LARGE(CHOOSE({1;2;3;4},F18,I18,L18,O18),1)+LARGE(CHOOSE({1;2;3;4},F18,I18,L18,O18),2)+LARGE(CHOOSE({1;2;3;4},F18,I18,L18,O18),3))/3,0)</f>
        <v>3.6</v>
      </c>
      <c r="V18" s="7" cm="1">
        <f t="array" ref="V18">IF(FX[[#This Row],[Number_of_competition]:[Number_of_competition]]&gt;=3,(LARGE(CHOOSE({1;2;3;4},G18,J18,M18,P18),1)+LARGE(CHOOSE({1;2;3;4},G18,J18,M18,P18),2)+LARGE(CHOOSE({1;2;3;4},G18,J18,M18,P18),3))/3,0)</f>
        <v>8.7000000000000011</v>
      </c>
      <c r="W18" s="7" cm="1">
        <f t="array" ref="W18">IF(FX[[#This Row],[Number_of_competition]:[Number_of_competition]]&gt;=3,(LARGE(CHOOSE({1;2;3;4},H18,K18,N18,Q18),1)+LARGE(CHOOSE({1;2;3;4},H18,K18,N18,Q18),2)+LARGE(CHOOSE({1;2;3;4},H18,K18,N18,Q18),3))/3,0)</f>
        <v>12.233333333333334</v>
      </c>
    </row>
    <row r="19" spans="1:23" x14ac:dyDescent="0.25">
      <c r="A19" t="s">
        <v>48</v>
      </c>
      <c r="B19" s="2" t="s">
        <v>26</v>
      </c>
      <c r="C19" s="2" t="s">
        <v>49</v>
      </c>
      <c r="D19" t="s">
        <v>36</v>
      </c>
      <c r="E19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19" s="4">
        <v>3.7</v>
      </c>
      <c r="G19" s="7">
        <v>7.4</v>
      </c>
      <c r="H19" s="7">
        <v>11.1</v>
      </c>
      <c r="I19" s="4">
        <v>3.2</v>
      </c>
      <c r="J19" s="7">
        <v>8.15</v>
      </c>
      <c r="K19" s="7">
        <v>11.35</v>
      </c>
      <c r="L19" s="4">
        <v>3.5</v>
      </c>
      <c r="M19" s="7">
        <v>7.65</v>
      </c>
      <c r="N19" s="7">
        <v>11.15</v>
      </c>
      <c r="O19" s="4">
        <v>3.2</v>
      </c>
      <c r="P19" s="7">
        <v>7.9</v>
      </c>
      <c r="Q19" s="7">
        <v>11.1</v>
      </c>
      <c r="R19" s="4">
        <f>LARGE(CHOOSE({1;2;3;4},F19,I19,L19,O19),1)+LARGE(CHOOSE({1;2;3;4},F19,I19,L19,O19),2)+LARGE(CHOOSE({1;2;3;4},F19,I19,L19,O19),3)</f>
        <v>10.4</v>
      </c>
      <c r="S19" s="7">
        <f>LARGE(CHOOSE({1;2;3;4},G19,J19,M19,P19),1)+LARGE(CHOOSE({1;2;3;4},G19,J19,M19,P19),2)+LARGE(CHOOSE({1;2;3;4},G19,J19,M19,P19),3)</f>
        <v>23.700000000000003</v>
      </c>
      <c r="T19" s="7">
        <f>LARGE(CHOOSE({1;2;3;4},H19,K19,N19,Q19),1)+LARGE(CHOOSE({1;2;3;4},H19,K19,N19,Q19),2)+LARGE(CHOOSE({1;2;3;4},H19,K19,N19,Q19),3)</f>
        <v>33.6</v>
      </c>
      <c r="U19" s="4" cm="1">
        <f t="array" ref="U19">IF(FX[[#This Row],[Number_of_competition]:[Number_of_competition]]&gt;=3,(LARGE(CHOOSE({1;2;3;4},F19,I19,L19,O19),1)+LARGE(CHOOSE({1;2;3;4},F19,I19,L19,O19),2)+LARGE(CHOOSE({1;2;3;4},F19,I19,L19,O19),3))/3,0)</f>
        <v>3.4666666666666668</v>
      </c>
      <c r="V19" s="7" cm="1">
        <f t="array" ref="V19">IF(FX[[#This Row],[Number_of_competition]:[Number_of_competition]]&gt;=3,(LARGE(CHOOSE({1;2;3;4},G19,J19,M19,P19),1)+LARGE(CHOOSE({1;2;3;4},G19,J19,M19,P19),2)+LARGE(CHOOSE({1;2;3;4},G19,J19,M19,P19),3))/3,0)</f>
        <v>7.9000000000000012</v>
      </c>
      <c r="W19" s="7" cm="1">
        <f t="array" ref="W19">IF(FX[[#This Row],[Number_of_competition]:[Number_of_competition]]&gt;=3,(LARGE(CHOOSE({1;2;3;4},H19,K19,N19,Q19),1)+LARGE(CHOOSE({1;2;3;4},H19,K19,N19,Q19),2)+LARGE(CHOOSE({1;2;3;4},H19,K19,N19,Q19),3))/3,0)</f>
        <v>11.200000000000001</v>
      </c>
    </row>
    <row r="20" spans="1:23" x14ac:dyDescent="0.25">
      <c r="A20" t="s">
        <v>44</v>
      </c>
      <c r="B20" s="2" t="s">
        <v>26</v>
      </c>
      <c r="C20" s="2" t="s">
        <v>45</v>
      </c>
      <c r="D20" t="s">
        <v>39</v>
      </c>
      <c r="E20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20" s="4">
        <v>3.4</v>
      </c>
      <c r="G20" s="7">
        <v>8.4</v>
      </c>
      <c r="H20" s="7">
        <v>11.8</v>
      </c>
      <c r="I20" s="4">
        <v>3.1</v>
      </c>
      <c r="J20" s="7">
        <v>8.35</v>
      </c>
      <c r="K20" s="7">
        <v>11.45</v>
      </c>
      <c r="L20" s="4">
        <v>3.4</v>
      </c>
      <c r="M20" s="7">
        <v>8.0500000000000007</v>
      </c>
      <c r="N20" s="7">
        <v>11.45</v>
      </c>
      <c r="O20" s="4">
        <v>3.3</v>
      </c>
      <c r="P20" s="7">
        <v>7.2</v>
      </c>
      <c r="Q20" s="7">
        <v>10.5</v>
      </c>
      <c r="R20" s="4">
        <f>LARGE(CHOOSE({1;2;3;4},F20,I20,L20,O20),1)+LARGE(CHOOSE({1;2;3;4},F20,I20,L20,O20),2)+LARGE(CHOOSE({1;2;3;4},F20,I20,L20,O20),3)</f>
        <v>10.1</v>
      </c>
      <c r="S20" s="7">
        <f>LARGE(CHOOSE({1;2;3;4},G20,J20,M20,P20),1)+LARGE(CHOOSE({1;2;3;4},G20,J20,M20,P20),2)+LARGE(CHOOSE({1;2;3;4},G20,J20,M20,P20),3)</f>
        <v>24.8</v>
      </c>
      <c r="T20" s="7">
        <f>LARGE(CHOOSE({1;2;3;4},H20,K20,N20,Q20),1)+LARGE(CHOOSE({1;2;3;4},H20,K20,N20,Q20),2)+LARGE(CHOOSE({1;2;3;4},H20,K20,N20,Q20),3)</f>
        <v>34.700000000000003</v>
      </c>
      <c r="U20" s="4" cm="1">
        <f t="array" ref="U20">IF(FX[[#This Row],[Number_of_competition]:[Number_of_competition]]&gt;=3,(LARGE(CHOOSE({1;2;3;4},F20,I20,L20,O20),1)+LARGE(CHOOSE({1;2;3;4},F20,I20,L20,O20),2)+LARGE(CHOOSE({1;2;3;4},F20,I20,L20,O20),3))/3,0)</f>
        <v>3.3666666666666667</v>
      </c>
      <c r="V20" s="7" cm="1">
        <f t="array" ref="V20">IF(FX[[#This Row],[Number_of_competition]:[Number_of_competition]]&gt;=3,(LARGE(CHOOSE({1;2;3;4},G20,J20,M20,P20),1)+LARGE(CHOOSE({1;2;3;4},G20,J20,M20,P20),2)+LARGE(CHOOSE({1;2;3;4},G20,J20,M20,P20),3))/3,0)</f>
        <v>8.2666666666666675</v>
      </c>
      <c r="W20" s="7" cm="1">
        <f t="array" ref="W20">IF(FX[[#This Row],[Number_of_competition]:[Number_of_competition]]&gt;=3,(LARGE(CHOOSE({1;2;3;4},H20,K20,N20,Q20),1)+LARGE(CHOOSE({1;2;3;4},H20,K20,N20,Q20),2)+LARGE(CHOOSE({1;2;3;4},H20,K20,N20,Q20),3))/3,0)</f>
        <v>11.566666666666668</v>
      </c>
    </row>
    <row r="21" spans="1:23" x14ac:dyDescent="0.25">
      <c r="A21" t="s">
        <v>40</v>
      </c>
      <c r="B21" s="2" t="s">
        <v>26</v>
      </c>
      <c r="C21" s="2" t="s">
        <v>41</v>
      </c>
      <c r="D21" t="s">
        <v>39</v>
      </c>
      <c r="E21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21" s="4">
        <v>0</v>
      </c>
      <c r="G21" s="7">
        <v>0</v>
      </c>
      <c r="H21" s="7">
        <v>0</v>
      </c>
      <c r="I21" s="4">
        <v>3.4</v>
      </c>
      <c r="J21" s="7">
        <v>8.1999999999999993</v>
      </c>
      <c r="K21" s="7">
        <v>11.6</v>
      </c>
      <c r="L21" s="4">
        <v>3.4</v>
      </c>
      <c r="M21" s="7">
        <v>7.95</v>
      </c>
      <c r="N21" s="7">
        <v>11.35</v>
      </c>
      <c r="O21" s="4">
        <v>3.1</v>
      </c>
      <c r="P21" s="7">
        <v>7.3</v>
      </c>
      <c r="Q21" s="7">
        <v>10.4</v>
      </c>
      <c r="R21" s="4">
        <f>LARGE(CHOOSE({1;2;3;4},F21,I21,L21,O21),1)+LARGE(CHOOSE({1;2;3;4},F21,I21,L21,O21),2)+LARGE(CHOOSE({1;2;3;4},F21,I21,L21,O21),3)</f>
        <v>9.9</v>
      </c>
      <c r="S21" s="7">
        <f>LARGE(CHOOSE({1;2;3;4},G21,J21,M21,P21),1)+LARGE(CHOOSE({1;2;3;4},G21,J21,M21,P21),2)+LARGE(CHOOSE({1;2;3;4},G21,J21,M21,P21),3)</f>
        <v>23.45</v>
      </c>
      <c r="T21" s="7">
        <f>LARGE(CHOOSE({1;2;3;4},H21,K21,N21,Q21),1)+LARGE(CHOOSE({1;2;3;4},H21,K21,N21,Q21),2)+LARGE(CHOOSE({1;2;3;4},H21,K21,N21,Q21),3)</f>
        <v>33.35</v>
      </c>
      <c r="U21" s="4" cm="1">
        <f t="array" ref="U21">IF(FX[[#This Row],[Number_of_competition]:[Number_of_competition]]&gt;=3,(LARGE(CHOOSE({1;2;3;4},F21,I21,L21,O21),1)+LARGE(CHOOSE({1;2;3;4},F21,I21,L21,O21),2)+LARGE(CHOOSE({1;2;3;4},F21,I21,L21,O21),3))/3,0)</f>
        <v>3.3000000000000003</v>
      </c>
      <c r="V21" s="7" cm="1">
        <f t="array" ref="V21">IF(FX[[#This Row],[Number_of_competition]:[Number_of_competition]]&gt;=3,(LARGE(CHOOSE({1;2;3;4},G21,J21,M21,P21),1)+LARGE(CHOOSE({1;2;3;4},G21,J21,M21,P21),2)+LARGE(CHOOSE({1;2;3;4},G21,J21,M21,P21),3))/3,0)</f>
        <v>7.8166666666666664</v>
      </c>
      <c r="W21" s="7" cm="1">
        <f t="array" ref="W21">IF(FX[[#This Row],[Number_of_competition]:[Number_of_competition]]&gt;=3,(LARGE(CHOOSE({1;2;3;4},H21,K21,N21,Q21),1)+LARGE(CHOOSE({1;2;3;4},H21,K21,N21,Q21),2)+LARGE(CHOOSE({1;2;3;4},H21,K21,N21,Q21),3))/3,0)</f>
        <v>11.116666666666667</v>
      </c>
    </row>
    <row r="22" spans="1:23" x14ac:dyDescent="0.25">
      <c r="A22" t="s">
        <v>37</v>
      </c>
      <c r="B22" s="2" t="s">
        <v>26</v>
      </c>
      <c r="C22" s="2" t="s">
        <v>38</v>
      </c>
      <c r="D22" t="s">
        <v>39</v>
      </c>
      <c r="E22" s="6">
        <f>COUNTIF(FX[[#This Row],[bydgoszcz_FX_Total_Score]],"&gt;0")+COUNTIF(FX[[#This Row],[zabrze_FX_Total_Score]],"&gt;0")+COUNTIF(FX[[#This Row],[cracow_FX_Total_Score]],"&gt;0")+COUNTIF(FX[[#This Row],[gdansk_FX_Total_Score]],"&gt;0")</f>
        <v>4</v>
      </c>
      <c r="F22" s="4">
        <v>3.3</v>
      </c>
      <c r="G22" s="7">
        <v>8.3000000000000007</v>
      </c>
      <c r="H22" s="7">
        <v>11.6</v>
      </c>
      <c r="I22" s="4">
        <v>3.3</v>
      </c>
      <c r="J22" s="7">
        <v>8.3000000000000007</v>
      </c>
      <c r="K22" s="7">
        <v>11.6</v>
      </c>
      <c r="L22" s="4">
        <v>3.3</v>
      </c>
      <c r="M22" s="7">
        <v>7.25</v>
      </c>
      <c r="N22" s="7">
        <v>10.55</v>
      </c>
      <c r="O22" s="4">
        <v>3.3</v>
      </c>
      <c r="P22" s="7">
        <v>5.9</v>
      </c>
      <c r="Q22" s="7">
        <v>9.1999999999999993</v>
      </c>
      <c r="R22" s="4">
        <f>LARGE(CHOOSE({1;2;3;4},F22,I22,L22,O22),1)+LARGE(CHOOSE({1;2;3;4},F22,I22,L22,O22),2)+LARGE(CHOOSE({1;2;3;4},F22,I22,L22,O22),3)</f>
        <v>9.8999999999999986</v>
      </c>
      <c r="S22" s="7">
        <f>LARGE(CHOOSE({1;2;3;4},G22,J22,M22,P22),1)+LARGE(CHOOSE({1;2;3;4},G22,J22,M22,P22),2)+LARGE(CHOOSE({1;2;3;4},G22,J22,M22,P22),3)</f>
        <v>23.85</v>
      </c>
      <c r="T22" s="7">
        <f>LARGE(CHOOSE({1;2;3;4},H22,K22,N22,Q22),1)+LARGE(CHOOSE({1;2;3;4},H22,K22,N22,Q22),2)+LARGE(CHOOSE({1;2;3;4},H22,K22,N22,Q22),3)</f>
        <v>33.75</v>
      </c>
      <c r="U22" s="4" cm="1">
        <f t="array" ref="U22">IF(FX[[#This Row],[Number_of_competition]:[Number_of_competition]]&gt;=3,(LARGE(CHOOSE({1;2;3;4},F22,I22,L22,O22),1)+LARGE(CHOOSE({1;2;3;4},F22,I22,L22,O22),2)+LARGE(CHOOSE({1;2;3;4},F22,I22,L22,O22),3))/3,0)</f>
        <v>3.2999999999999994</v>
      </c>
      <c r="V22" s="7" cm="1">
        <f t="array" ref="V22">IF(FX[[#This Row],[Number_of_competition]:[Number_of_competition]]&gt;=3,(LARGE(CHOOSE({1;2;3;4},G22,J22,M22,P22),1)+LARGE(CHOOSE({1;2;3;4},G22,J22,M22,P22),2)+LARGE(CHOOSE({1;2;3;4},G22,J22,M22,P22),3))/3,0)</f>
        <v>7.95</v>
      </c>
      <c r="W22" s="7" cm="1">
        <f t="array" ref="W22">IF(FX[[#This Row],[Number_of_competition]:[Number_of_competition]]&gt;=3,(LARGE(CHOOSE({1;2;3;4},H22,K22,N22,Q22),1)+LARGE(CHOOSE({1;2;3;4},H22,K22,N22,Q22),2)+LARGE(CHOOSE({1;2;3;4},H22,K22,N22,Q22),3))/3,0)</f>
        <v>11.25</v>
      </c>
    </row>
    <row r="23" spans="1:23" x14ac:dyDescent="0.25">
      <c r="A23" t="s">
        <v>46</v>
      </c>
      <c r="B23" s="2" t="s">
        <v>26</v>
      </c>
      <c r="C23" s="2" t="s">
        <v>47</v>
      </c>
      <c r="D23" t="s">
        <v>36</v>
      </c>
      <c r="E23" s="6">
        <f>COUNTIF(FX[[#This Row],[bydgoszcz_FX_Total_Score]],"&gt;0")+COUNTIF(FX[[#This Row],[zabrze_FX_Total_Score]],"&gt;0")+COUNTIF(FX[[#This Row],[cracow_FX_Total_Score]],"&gt;0")+COUNTIF(FX[[#This Row],[gdansk_FX_Total_Score]],"&gt;0")</f>
        <v>3</v>
      </c>
      <c r="F23" s="4">
        <v>0</v>
      </c>
      <c r="G23" s="7">
        <v>0</v>
      </c>
      <c r="H23" s="7">
        <v>0</v>
      </c>
      <c r="I23" s="4">
        <v>2.9</v>
      </c>
      <c r="J23" s="7">
        <v>8.1999999999999993</v>
      </c>
      <c r="K23" s="7">
        <v>11.1</v>
      </c>
      <c r="L23" s="4">
        <v>3.1</v>
      </c>
      <c r="M23" s="7">
        <v>7.7</v>
      </c>
      <c r="N23" s="7">
        <v>10.8</v>
      </c>
      <c r="O23" s="4">
        <v>2.9</v>
      </c>
      <c r="P23" s="7">
        <v>7.8</v>
      </c>
      <c r="Q23" s="7">
        <v>10.7</v>
      </c>
      <c r="R23" s="4">
        <f>LARGE(CHOOSE({1;2;3;4},F23,I23,L23,O23),1)+LARGE(CHOOSE({1;2;3;4},F23,I23,L23,O23),2)+LARGE(CHOOSE({1;2;3;4},F23,I23,L23,O23),3)</f>
        <v>8.9</v>
      </c>
      <c r="S23" s="7">
        <f>LARGE(CHOOSE({1;2;3;4},G23,J23,M23,P23),1)+LARGE(CHOOSE({1;2;3;4},G23,J23,M23,P23),2)+LARGE(CHOOSE({1;2;3;4},G23,J23,M23,P23),3)</f>
        <v>23.7</v>
      </c>
      <c r="T23" s="7">
        <f>LARGE(CHOOSE({1;2;3;4},H23,K23,N23,Q23),1)+LARGE(CHOOSE({1;2;3;4},H23,K23,N23,Q23),2)+LARGE(CHOOSE({1;2;3;4},H23,K23,N23,Q23),3)</f>
        <v>32.599999999999994</v>
      </c>
      <c r="U23" s="4" cm="1">
        <f t="array" ref="U23">IF(FX[[#This Row],[Number_of_competition]:[Number_of_competition]]&gt;=3,(LARGE(CHOOSE({1;2;3;4},F23,I23,L23,O23),1)+LARGE(CHOOSE({1;2;3;4},F23,I23,L23,O23),2)+LARGE(CHOOSE({1;2;3;4},F23,I23,L23,O23),3))/3,0)</f>
        <v>2.9666666666666668</v>
      </c>
      <c r="V23" s="7" cm="1">
        <f t="array" ref="V23">IF(FX[[#This Row],[Number_of_competition]:[Number_of_competition]]&gt;=3,(LARGE(CHOOSE({1;2;3;4},G23,J23,M23,P23),1)+LARGE(CHOOSE({1;2;3;4},G23,J23,M23,P23),2)+LARGE(CHOOSE({1;2;3;4},G23,J23,M23,P23),3))/3,0)</f>
        <v>7.8999999999999995</v>
      </c>
      <c r="W23" s="7" cm="1">
        <f t="array" ref="W23">IF(FX[[#This Row],[Number_of_competition]:[Number_of_competition]]&gt;=3,(LARGE(CHOOSE({1;2;3;4},H23,K23,N23,Q23),1)+LARGE(CHOOSE({1;2;3;4},H23,K23,N23,Q23),2)+LARGE(CHOOSE({1;2;3;4},H23,K23,N23,Q23),3))/3,0)</f>
        <v>10.866666666666665</v>
      </c>
    </row>
    <row r="24" spans="1:23" x14ac:dyDescent="0.25">
      <c r="A24" t="s">
        <v>127</v>
      </c>
      <c r="B24" s="2" t="s">
        <v>60</v>
      </c>
      <c r="C24" s="2" t="s">
        <v>128</v>
      </c>
      <c r="D24" t="s">
        <v>72</v>
      </c>
      <c r="E24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24" s="4">
        <v>4.4000000000000004</v>
      </c>
      <c r="G24" s="7">
        <v>8.6999999999999993</v>
      </c>
      <c r="H24" s="7">
        <v>13.1</v>
      </c>
      <c r="I24" s="4">
        <v>0</v>
      </c>
      <c r="J24" s="7">
        <v>0</v>
      </c>
      <c r="K24" s="7">
        <v>0</v>
      </c>
      <c r="L24" s="4">
        <v>3.7</v>
      </c>
      <c r="M24" s="7">
        <v>7.1</v>
      </c>
      <c r="N24" s="7">
        <v>10.8</v>
      </c>
      <c r="O24" s="4">
        <v>0</v>
      </c>
      <c r="P24" s="7">
        <v>0</v>
      </c>
      <c r="Q24" s="7">
        <v>0</v>
      </c>
      <c r="R24" s="4">
        <f>LARGE(CHOOSE({1;2;3;4},F24,I24,L24,O24),1)+LARGE(CHOOSE({1;2;3;4},F24,I24,L24,O24),2)+LARGE(CHOOSE({1;2;3;4},F24,I24,L24,O24),3)</f>
        <v>8.1000000000000014</v>
      </c>
      <c r="S24" s="7">
        <f>LARGE(CHOOSE({1;2;3;4},G24,J24,M24,P24),1)+LARGE(CHOOSE({1;2;3;4},G24,J24,M24,P24),2)+LARGE(CHOOSE({1;2;3;4},G24,J24,M24,P24),3)</f>
        <v>15.799999999999999</v>
      </c>
      <c r="T24" s="7">
        <f>LARGE(CHOOSE({1;2;3;4},H24,K24,N24,Q24),1)+LARGE(CHOOSE({1;2;3;4},H24,K24,N24,Q24),2)+LARGE(CHOOSE({1;2;3;4},H24,K24,N24,Q24),3)</f>
        <v>23.9</v>
      </c>
      <c r="U24" s="4" cm="1">
        <f t="array" ref="U24">IF(FX[[#This Row],[Number_of_competition]:[Number_of_competition]]&gt;=3,(LARGE(CHOOSE({1;2;3;4},F24,I24,L24,O24),1)+LARGE(CHOOSE({1;2;3;4},F24,I24,L24,O24),2)+LARGE(CHOOSE({1;2;3;4},F24,I24,L24,O24),3))/3,0)</f>
        <v>0</v>
      </c>
      <c r="V24" s="7" cm="1">
        <f t="array" ref="V24">IF(FX[[#This Row],[Number_of_competition]:[Number_of_competition]]&gt;=3,(LARGE(CHOOSE({1;2;3;4},G24,J24,M24,P24),1)+LARGE(CHOOSE({1;2;3;4},G24,J24,M24,P24),2)+LARGE(CHOOSE({1;2;3;4},G24,J24,M24,P24),3))/3,0)</f>
        <v>0</v>
      </c>
      <c r="W24" s="7" cm="1">
        <f t="array" ref="W24">IF(FX[[#This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112</v>
      </c>
      <c r="B25" s="2" t="s">
        <v>26</v>
      </c>
      <c r="C25" s="2" t="s">
        <v>113</v>
      </c>
      <c r="D25" t="s">
        <v>31</v>
      </c>
      <c r="E25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25" s="4">
        <v>4</v>
      </c>
      <c r="G25" s="7">
        <v>7.8</v>
      </c>
      <c r="H25" s="7">
        <v>11.8</v>
      </c>
      <c r="I25" s="4">
        <v>0</v>
      </c>
      <c r="J25" s="7">
        <v>0</v>
      </c>
      <c r="K25" s="7">
        <v>0</v>
      </c>
      <c r="L25" s="4">
        <v>0</v>
      </c>
      <c r="M25" s="7">
        <v>0</v>
      </c>
      <c r="N25" s="7">
        <v>0</v>
      </c>
      <c r="O25" s="4">
        <v>4.2</v>
      </c>
      <c r="P25" s="7">
        <v>6.3</v>
      </c>
      <c r="Q25" s="7">
        <v>10.5</v>
      </c>
      <c r="R25" s="4">
        <f>LARGE(CHOOSE({1;2;3;4},F25,I25,L25,O25),1)+LARGE(CHOOSE({1;2;3;4},F25,I25,L25,O25),2)+LARGE(CHOOSE({1;2;3;4},F25,I25,L25,O25),3)</f>
        <v>8.1999999999999993</v>
      </c>
      <c r="S25" s="7">
        <f>LARGE(CHOOSE({1;2;3;4},G25,J25,M25,P25),1)+LARGE(CHOOSE({1;2;3;4},G25,J25,M25,P25),2)+LARGE(CHOOSE({1;2;3;4},G25,J25,M25,P25),3)</f>
        <v>14.1</v>
      </c>
      <c r="T25" s="7">
        <f>LARGE(CHOOSE({1;2;3;4},H25,K25,N25,Q25),1)+LARGE(CHOOSE({1;2;3;4},H25,K25,N25,Q25),2)+LARGE(CHOOSE({1;2;3;4},H25,K25,N25,Q25),3)</f>
        <v>22.3</v>
      </c>
      <c r="U25" s="4" cm="1">
        <f t="array" ref="U25">IF(FX[[#This Row],[Number_of_competition]:[Number_of_competition]]&gt;=3,(LARGE(CHOOSE({1;2;3;4},F25,I25,L25,O25),1)+LARGE(CHOOSE({1;2;3;4},F25,I25,L25,O25),2)+LARGE(CHOOSE({1;2;3;4},F25,I25,L25,O25),3))/3,0)</f>
        <v>0</v>
      </c>
      <c r="V25" s="7" cm="1">
        <f t="array" ref="V25">IF(FX[[#This Row],[Number_of_competition]:[Number_of_competition]]&gt;=3,(LARGE(CHOOSE({1;2;3;4},G25,J25,M25,P25),1)+LARGE(CHOOSE({1;2;3;4},G25,J25,M25,P25),2)+LARGE(CHOOSE({1;2;3;4},G25,J25,M25,P25),3))/3,0)</f>
        <v>0</v>
      </c>
      <c r="W25" s="7" cm="1">
        <f t="array" ref="W25">IF(FX[[#This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120</v>
      </c>
      <c r="B26" s="2" t="s">
        <v>26</v>
      </c>
      <c r="C26" s="2" t="s">
        <v>121</v>
      </c>
      <c r="D26" t="s">
        <v>39</v>
      </c>
      <c r="E26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26" s="4">
        <v>3</v>
      </c>
      <c r="G26" s="7">
        <v>8.3000000000000007</v>
      </c>
      <c r="H26" s="7">
        <v>11.3</v>
      </c>
      <c r="I26" s="4">
        <v>0</v>
      </c>
      <c r="J26" s="7">
        <v>0</v>
      </c>
      <c r="K26" s="7">
        <v>0</v>
      </c>
      <c r="L26" s="4">
        <v>2.6</v>
      </c>
      <c r="M26" s="7">
        <v>7.8</v>
      </c>
      <c r="N26" s="7">
        <v>10.4</v>
      </c>
      <c r="O26" s="4">
        <v>0</v>
      </c>
      <c r="P26" s="7">
        <v>0</v>
      </c>
      <c r="Q26" s="7">
        <v>0</v>
      </c>
      <c r="R26" s="4">
        <f>LARGE(CHOOSE({1;2;3;4},F26,I26,L26,O26),1)+LARGE(CHOOSE({1;2;3;4},F26,I26,L26,O26),2)+LARGE(CHOOSE({1;2;3;4},F26,I26,L26,O26),3)</f>
        <v>5.6</v>
      </c>
      <c r="S26" s="7">
        <f>LARGE(CHOOSE({1;2;3;4},G26,J26,M26,P26),1)+LARGE(CHOOSE({1;2;3;4},G26,J26,M26,P26),2)+LARGE(CHOOSE({1;2;3;4},G26,J26,M26,P26),3)</f>
        <v>16.100000000000001</v>
      </c>
      <c r="T26" s="7">
        <f>LARGE(CHOOSE({1;2;3;4},H26,K26,N26,Q26),1)+LARGE(CHOOSE({1;2;3;4},H26,K26,N26,Q26),2)+LARGE(CHOOSE({1;2;3;4},H26,K26,N26,Q26),3)</f>
        <v>21.700000000000003</v>
      </c>
      <c r="U26" s="4" cm="1">
        <f t="array" ref="U26">IF(FX[[#This Row],[Number_of_competition]:[Number_of_competition]]&gt;=3,(LARGE(CHOOSE({1;2;3;4},F26,I26,L26,O26),1)+LARGE(CHOOSE({1;2;3;4},F26,I26,L26,O26),2)+LARGE(CHOOSE({1;2;3;4},F26,I26,L26,O26),3))/3,0)</f>
        <v>0</v>
      </c>
      <c r="V26" s="7" cm="1">
        <f t="array" ref="V26">IF(FX[[#This Row],[Number_of_competition]:[Number_of_competition]]&gt;=3,(LARGE(CHOOSE({1;2;3;4},G26,J26,M26,P26),1)+LARGE(CHOOSE({1;2;3;4},G26,J26,M26,P26),2)+LARGE(CHOOSE({1;2;3;4},G26,J26,M26,P26),3))/3,0)</f>
        <v>0</v>
      </c>
      <c r="W26" s="7" cm="1">
        <f t="array" ref="W26">IF(FX[[#This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116</v>
      </c>
      <c r="B27" s="2" t="s">
        <v>60</v>
      </c>
      <c r="C27" s="2" t="s">
        <v>117</v>
      </c>
      <c r="D27" t="s">
        <v>62</v>
      </c>
      <c r="E27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27" s="4">
        <v>0</v>
      </c>
      <c r="G27" s="7">
        <v>0</v>
      </c>
      <c r="H27" s="7">
        <v>0</v>
      </c>
      <c r="I27" s="4">
        <v>0</v>
      </c>
      <c r="J27" s="7">
        <v>0</v>
      </c>
      <c r="K27" s="7">
        <v>0</v>
      </c>
      <c r="L27" s="4">
        <v>5.4</v>
      </c>
      <c r="M27" s="7">
        <v>8.25</v>
      </c>
      <c r="N27" s="7">
        <v>13.65</v>
      </c>
      <c r="O27" s="4">
        <v>5.8</v>
      </c>
      <c r="P27" s="7">
        <v>5.4</v>
      </c>
      <c r="Q27" s="7">
        <v>11.2</v>
      </c>
      <c r="R27" s="4">
        <f>LARGE(CHOOSE({1;2;3;4},F27,I27,L27,O27),1)+LARGE(CHOOSE({1;2;3;4},F27,I27,L27,O27),2)+LARGE(CHOOSE({1;2;3;4},F27,I27,L27,O27),3)</f>
        <v>11.2</v>
      </c>
      <c r="S27" s="7">
        <f>LARGE(CHOOSE({1;2;3;4},G27,J27,M27,P27),1)+LARGE(CHOOSE({1;2;3;4},G27,J27,M27,P27),2)+LARGE(CHOOSE({1;2;3;4},G27,J27,M27,P27),3)</f>
        <v>13.65</v>
      </c>
      <c r="T27" s="7">
        <f>LARGE(CHOOSE({1;2;3;4},H27,K27,N27,Q27),1)+LARGE(CHOOSE({1;2;3;4},H27,K27,N27,Q27),2)+LARGE(CHOOSE({1;2;3;4},H27,K27,N27,Q27),3)</f>
        <v>24.85</v>
      </c>
      <c r="U27" s="4" cm="1">
        <f t="array" ref="U27">IF(FX[[#This Row],[Number_of_competition]:[Number_of_competition]]&gt;=3,(LARGE(CHOOSE({1;2;3;4},F27,I27,L27,O27),1)+LARGE(CHOOSE({1;2;3;4},F27,I27,L27,O27),2)+LARGE(CHOOSE({1;2;3;4},F27,I27,L27,O27),3))/3,0)</f>
        <v>0</v>
      </c>
      <c r="V27" s="7" cm="1">
        <f t="array" ref="V27">IF(FX[[#This Row],[Number_of_competition]:[Number_of_competition]]&gt;=3,(LARGE(CHOOSE({1;2;3;4},G27,J27,M27,P27),1)+LARGE(CHOOSE({1;2;3;4},G27,J27,M27,P27),2)+LARGE(CHOOSE({1;2;3;4},G27,J27,M27,P27),3))/3,0)</f>
        <v>0</v>
      </c>
      <c r="W27" s="7" cm="1">
        <f t="array" ref="W27">IF(FX[[#This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70</v>
      </c>
      <c r="B28" s="2" t="s">
        <v>60</v>
      </c>
      <c r="C28" s="2" t="s">
        <v>71</v>
      </c>
      <c r="D28" t="s">
        <v>72</v>
      </c>
      <c r="E28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28" s="4">
        <v>0</v>
      </c>
      <c r="G28" s="7">
        <v>0</v>
      </c>
      <c r="H28" s="7">
        <v>0</v>
      </c>
      <c r="I28" s="4">
        <v>5</v>
      </c>
      <c r="J28" s="7">
        <v>6.8</v>
      </c>
      <c r="K28" s="7">
        <v>11.8</v>
      </c>
      <c r="L28" s="4">
        <v>4.9000000000000004</v>
      </c>
      <c r="M28" s="7">
        <v>7.6</v>
      </c>
      <c r="N28" s="7">
        <v>12.5</v>
      </c>
      <c r="O28" s="4">
        <v>0</v>
      </c>
      <c r="P28" s="7">
        <v>0</v>
      </c>
      <c r="Q28" s="7">
        <v>0</v>
      </c>
      <c r="R28" s="4">
        <f>LARGE(CHOOSE({1;2;3;4},F28,I28,L28,O28),1)+LARGE(CHOOSE({1;2;3;4},F28,I28,L28,O28),2)+LARGE(CHOOSE({1;2;3;4},F28,I28,L28,O28),3)</f>
        <v>9.9</v>
      </c>
      <c r="S28" s="7">
        <f>LARGE(CHOOSE({1;2;3;4},G28,J28,M28,P28),1)+LARGE(CHOOSE({1;2;3;4},G28,J28,M28,P28),2)+LARGE(CHOOSE({1;2;3;4},G28,J28,M28,P28),3)</f>
        <v>14.399999999999999</v>
      </c>
      <c r="T28" s="7">
        <f>LARGE(CHOOSE({1;2;3;4},H28,K28,N28,Q28),1)+LARGE(CHOOSE({1;2;3;4},H28,K28,N28,Q28),2)+LARGE(CHOOSE({1;2;3;4},H28,K28,N28,Q28),3)</f>
        <v>24.3</v>
      </c>
      <c r="U28" s="4" cm="1">
        <f t="array" ref="U28">IF(FX[[#This Row],[Number_of_competition]:[Number_of_competition]]&gt;=3,(LARGE(CHOOSE({1;2;3;4},F28,I28,L28,O28),1)+LARGE(CHOOSE({1;2;3;4},F28,I28,L28,O28),2)+LARGE(CHOOSE({1;2;3;4},F28,I28,L28,O28),3))/3,0)</f>
        <v>0</v>
      </c>
      <c r="V28" s="7" cm="1">
        <f t="array" ref="V28">IF(FX[[#This Row],[Number_of_competition]:[Number_of_competition]]&gt;=3,(LARGE(CHOOSE({1;2;3;4},G28,J28,M28,P28),1)+LARGE(CHOOSE({1;2;3;4},G28,J28,M28,P28),2)+LARGE(CHOOSE({1;2;3;4},G28,J28,M28,P28),3))/3,0)</f>
        <v>0</v>
      </c>
      <c r="W28" s="7" cm="1">
        <f t="array" ref="W28">IF(FX[[#This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92</v>
      </c>
      <c r="B29" s="2" t="s">
        <v>60</v>
      </c>
      <c r="C29" s="2" t="s">
        <v>93</v>
      </c>
      <c r="D29" t="s">
        <v>39</v>
      </c>
      <c r="E29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29" s="4">
        <v>0</v>
      </c>
      <c r="G29" s="7">
        <v>0</v>
      </c>
      <c r="H29" s="7">
        <v>0</v>
      </c>
      <c r="I29" s="4">
        <v>3.7</v>
      </c>
      <c r="J29" s="7">
        <v>7.95</v>
      </c>
      <c r="K29" s="7">
        <v>11.65</v>
      </c>
      <c r="L29" s="4">
        <v>4.0999999999999996</v>
      </c>
      <c r="M29" s="7">
        <v>7.95</v>
      </c>
      <c r="N29" s="7">
        <v>12.05</v>
      </c>
      <c r="O29" s="4">
        <v>0</v>
      </c>
      <c r="P29" s="7">
        <v>0</v>
      </c>
      <c r="Q29" s="7">
        <v>0</v>
      </c>
      <c r="R29" s="4">
        <f>LARGE(CHOOSE({1;2;3;4},F29,I29,L29,O29),1)+LARGE(CHOOSE({1;2;3;4},F29,I29,L29,O29),2)+LARGE(CHOOSE({1;2;3;4},F29,I29,L29,O29),3)</f>
        <v>7.8</v>
      </c>
      <c r="S29" s="7">
        <f>LARGE(CHOOSE({1;2;3;4},G29,J29,M29,P29),1)+LARGE(CHOOSE({1;2;3;4},G29,J29,M29,P29),2)+LARGE(CHOOSE({1;2;3;4},G29,J29,M29,P29),3)</f>
        <v>15.9</v>
      </c>
      <c r="T29" s="7">
        <f>LARGE(CHOOSE({1;2;3;4},H29,K29,N29,Q29),1)+LARGE(CHOOSE({1;2;3;4},H29,K29,N29,Q29),2)+LARGE(CHOOSE({1;2;3;4},H29,K29,N29,Q29),3)</f>
        <v>23.700000000000003</v>
      </c>
      <c r="U29" s="4" cm="1">
        <f t="array" ref="U29">IF(FX[[#This Row],[Number_of_competition]:[Number_of_competition]]&gt;=3,(LARGE(CHOOSE({1;2;3;4},F29,I29,L29,O29),1)+LARGE(CHOOSE({1;2;3;4},F29,I29,L29,O29),2)+LARGE(CHOOSE({1;2;3;4},F29,I29,L29,O29),3))/3,0)</f>
        <v>0</v>
      </c>
      <c r="V29" s="7" cm="1">
        <f t="array" ref="V29">IF(FX[[#This Row],[Number_of_competition]:[Number_of_competition]]&gt;=3,(LARGE(CHOOSE({1;2;3;4},G29,J29,M29,P29),1)+LARGE(CHOOSE({1;2;3;4},G29,J29,M29,P29),2)+LARGE(CHOOSE({1;2;3;4},G29,J29,M29,P29),3))/3,0)</f>
        <v>0</v>
      </c>
      <c r="W29" s="7" cm="1">
        <f t="array" ref="W29">IF(FX[[#This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65</v>
      </c>
      <c r="B30" s="2" t="s">
        <v>60</v>
      </c>
      <c r="C30" s="2" t="s">
        <v>66</v>
      </c>
      <c r="D30" t="s">
        <v>67</v>
      </c>
      <c r="E30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30" s="4">
        <v>0</v>
      </c>
      <c r="G30" s="7">
        <v>0</v>
      </c>
      <c r="H30" s="7">
        <v>0</v>
      </c>
      <c r="I30" s="4">
        <v>3.8</v>
      </c>
      <c r="J30" s="7">
        <v>8.4</v>
      </c>
      <c r="K30" s="7">
        <v>12.2</v>
      </c>
      <c r="L30" s="4">
        <v>0</v>
      </c>
      <c r="M30" s="7">
        <v>0</v>
      </c>
      <c r="N30" s="7">
        <v>0</v>
      </c>
      <c r="O30" s="4">
        <v>3.9</v>
      </c>
      <c r="P30" s="7">
        <v>7.3</v>
      </c>
      <c r="Q30" s="7">
        <v>11.2</v>
      </c>
      <c r="R30" s="4">
        <f>LARGE(CHOOSE({1;2;3;4},F30,I30,L30,O30),1)+LARGE(CHOOSE({1;2;3;4},F30,I30,L30,O30),2)+LARGE(CHOOSE({1;2;3;4},F30,I30,L30,O30),3)</f>
        <v>7.6999999999999993</v>
      </c>
      <c r="S30" s="7">
        <f>LARGE(CHOOSE({1;2;3;4},G30,J30,M30,P30),1)+LARGE(CHOOSE({1;2;3;4},G30,J30,M30,P30),2)+LARGE(CHOOSE({1;2;3;4},G30,J30,M30,P30),3)</f>
        <v>15.7</v>
      </c>
      <c r="T30" s="7">
        <f>LARGE(CHOOSE({1;2;3;4},H30,K30,N30,Q30),1)+LARGE(CHOOSE({1;2;3;4},H30,K30,N30,Q30),2)+LARGE(CHOOSE({1;2;3;4},H30,K30,N30,Q30),3)</f>
        <v>23.4</v>
      </c>
      <c r="U30" s="4" cm="1">
        <f t="array" ref="U30">IF(FX[[#This Row],[Number_of_competition]:[Number_of_competition]]&gt;=3,(LARGE(CHOOSE({1;2;3;4},F30,I30,L30,O30),1)+LARGE(CHOOSE({1;2;3;4},F30,I30,L30,O30),2)+LARGE(CHOOSE({1;2;3;4},F30,I30,L30,O30),3))/3,0)</f>
        <v>0</v>
      </c>
      <c r="V30" s="7" cm="1">
        <f t="array" ref="V30">IF(FX[[#This Row],[Number_of_competition]:[Number_of_competition]]&gt;=3,(LARGE(CHOOSE({1;2;3;4},G30,J30,M30,P30),1)+LARGE(CHOOSE({1;2;3;4},G30,J30,M30,P30),2)+LARGE(CHOOSE({1;2;3;4},G30,J30,M30,P30),3))/3,0)</f>
        <v>0</v>
      </c>
      <c r="W30" s="7" cm="1">
        <f t="array" ref="W30">IF(FX[[#This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75</v>
      </c>
      <c r="B31" s="2" t="s">
        <v>60</v>
      </c>
      <c r="C31" s="2" t="s">
        <v>76</v>
      </c>
      <c r="D31" t="s">
        <v>28</v>
      </c>
      <c r="E31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31" s="4">
        <v>0</v>
      </c>
      <c r="G31" s="7">
        <v>0</v>
      </c>
      <c r="H31" s="7">
        <v>0</v>
      </c>
      <c r="I31" s="4">
        <v>3.8</v>
      </c>
      <c r="J31" s="7">
        <v>7.3</v>
      </c>
      <c r="K31" s="7">
        <v>11.1</v>
      </c>
      <c r="L31" s="4">
        <v>3.9</v>
      </c>
      <c r="M31" s="7">
        <v>7.9</v>
      </c>
      <c r="N31" s="7">
        <v>11.8</v>
      </c>
      <c r="O31" s="4">
        <v>0</v>
      </c>
      <c r="P31" s="7">
        <v>0</v>
      </c>
      <c r="Q31" s="7">
        <v>0</v>
      </c>
      <c r="R31" s="4">
        <f>LARGE(CHOOSE({1;2;3;4},F31,I31,L31,O31),1)+LARGE(CHOOSE({1;2;3;4},F31,I31,L31,O31),2)+LARGE(CHOOSE({1;2;3;4},F31,I31,L31,O31),3)</f>
        <v>7.6999999999999993</v>
      </c>
      <c r="S31" s="7">
        <f>LARGE(CHOOSE({1;2;3;4},G31,J31,M31,P31),1)+LARGE(CHOOSE({1;2;3;4},G31,J31,M31,P31),2)+LARGE(CHOOSE({1;2;3;4},G31,J31,M31,P31),3)</f>
        <v>15.2</v>
      </c>
      <c r="T31" s="7">
        <f>LARGE(CHOOSE({1;2;3;4},H31,K31,N31,Q31),1)+LARGE(CHOOSE({1;2;3;4},H31,K31,N31,Q31),2)+LARGE(CHOOSE({1;2;3;4},H31,K31,N31,Q31),3)</f>
        <v>22.9</v>
      </c>
      <c r="U31" s="4" cm="1">
        <f t="array" ref="U31">IF(FX[[#This Row],[Number_of_competition]:[Number_of_competition]]&gt;=3,(LARGE(CHOOSE({1;2;3;4},F31,I31,L31,O31),1)+LARGE(CHOOSE({1;2;3;4},F31,I31,L31,O31),2)+LARGE(CHOOSE({1;2;3;4},F31,I31,L31,O31),3))/3,0)</f>
        <v>0</v>
      </c>
      <c r="V31" s="7" cm="1">
        <f t="array" ref="V31">IF(FX[[#This Row],[Number_of_competition]:[Number_of_competition]]&gt;=3,(LARGE(CHOOSE({1;2;3;4},G31,J31,M31,P31),1)+LARGE(CHOOSE({1;2;3;4},G31,J31,M31,P31),2)+LARGE(CHOOSE({1;2;3;4},G31,J31,M31,P31),3))/3,0)</f>
        <v>0</v>
      </c>
      <c r="W31" s="7" cm="1">
        <f t="array" ref="W31">IF(FX[[#This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108</v>
      </c>
      <c r="B32" s="2" t="s">
        <v>60</v>
      </c>
      <c r="C32" s="2" t="s">
        <v>109</v>
      </c>
      <c r="D32" t="s">
        <v>62</v>
      </c>
      <c r="E32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32" s="4">
        <v>0</v>
      </c>
      <c r="G32" s="7">
        <v>0</v>
      </c>
      <c r="H32" s="7">
        <v>0</v>
      </c>
      <c r="I32" s="4">
        <v>3.3</v>
      </c>
      <c r="J32" s="7">
        <v>8.4</v>
      </c>
      <c r="K32" s="7">
        <v>11.7</v>
      </c>
      <c r="L32" s="4">
        <v>3.5</v>
      </c>
      <c r="M32" s="7">
        <v>7.45</v>
      </c>
      <c r="N32" s="7">
        <v>10.95</v>
      </c>
      <c r="O32" s="4">
        <v>0</v>
      </c>
      <c r="P32" s="7">
        <v>0</v>
      </c>
      <c r="Q32" s="7">
        <v>0</v>
      </c>
      <c r="R32" s="4">
        <f>LARGE(CHOOSE({1;2;3;4},F32,I32,L32,O32),1)+LARGE(CHOOSE({1;2;3;4},F32,I32,L32,O32),2)+LARGE(CHOOSE({1;2;3;4},F32,I32,L32,O32),3)</f>
        <v>6.8</v>
      </c>
      <c r="S32" s="7">
        <f>LARGE(CHOOSE({1;2;3;4},G32,J32,M32,P32),1)+LARGE(CHOOSE({1;2;3;4},G32,J32,M32,P32),2)+LARGE(CHOOSE({1;2;3;4},G32,J32,M32,P32),3)</f>
        <v>15.850000000000001</v>
      </c>
      <c r="T32" s="7">
        <f>LARGE(CHOOSE({1;2;3;4},H32,K32,N32,Q32),1)+LARGE(CHOOSE({1;2;3;4},H32,K32,N32,Q32),2)+LARGE(CHOOSE({1;2;3;4},H32,K32,N32,Q32),3)</f>
        <v>22.65</v>
      </c>
      <c r="U32" s="4" cm="1">
        <f t="array" ref="U32">IF(FX[[#This Row],[Number_of_competition]:[Number_of_competition]]&gt;=3,(LARGE(CHOOSE({1;2;3;4},F32,I32,L32,O32),1)+LARGE(CHOOSE({1;2;3;4},F32,I32,L32,O32),2)+LARGE(CHOOSE({1;2;3;4},F32,I32,L32,O32),3))/3,0)</f>
        <v>0</v>
      </c>
      <c r="V32" s="7" cm="1">
        <f t="array" ref="V32">IF(FX[[#This Row],[Number_of_competition]:[Number_of_competition]]&gt;=3,(LARGE(CHOOSE({1;2;3;4},G32,J32,M32,P32),1)+LARGE(CHOOSE({1;2;3;4},G32,J32,M32,P32),2)+LARGE(CHOOSE({1;2;3;4},G32,J32,M32,P32),3))/3,0)</f>
        <v>0</v>
      </c>
      <c r="W32" s="7" cm="1">
        <f t="array" ref="W32">IF(FX[[#This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104</v>
      </c>
      <c r="B33" s="2" t="s">
        <v>60</v>
      </c>
      <c r="C33" s="2" t="s">
        <v>105</v>
      </c>
      <c r="D33" t="s">
        <v>28</v>
      </c>
      <c r="E33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33" s="4">
        <v>0</v>
      </c>
      <c r="G33" s="7">
        <v>0</v>
      </c>
      <c r="H33" s="7">
        <v>0</v>
      </c>
      <c r="I33" s="4">
        <v>4.5</v>
      </c>
      <c r="J33" s="7">
        <v>6.2</v>
      </c>
      <c r="K33" s="7">
        <v>10.7</v>
      </c>
      <c r="L33" s="4">
        <v>0</v>
      </c>
      <c r="M33" s="7">
        <v>0</v>
      </c>
      <c r="N33" s="7">
        <v>0</v>
      </c>
      <c r="O33" s="4">
        <v>4.4000000000000004</v>
      </c>
      <c r="P33" s="7">
        <v>4.5</v>
      </c>
      <c r="Q33" s="7">
        <v>8.9</v>
      </c>
      <c r="R33" s="4">
        <f>LARGE(CHOOSE({1;2;3;4},F33,I33,L33,O33),1)+LARGE(CHOOSE({1;2;3;4},F33,I33,L33,O33),2)+LARGE(CHOOSE({1;2;3;4},F33,I33,L33,O33),3)</f>
        <v>8.9</v>
      </c>
      <c r="S33" s="7">
        <f>LARGE(CHOOSE({1;2;3;4},G33,J33,M33,P33),1)+LARGE(CHOOSE({1;2;3;4},G33,J33,M33,P33),2)+LARGE(CHOOSE({1;2;3;4},G33,J33,M33,P33),3)</f>
        <v>10.7</v>
      </c>
      <c r="T33" s="7">
        <f>LARGE(CHOOSE({1;2;3;4},H33,K33,N33,Q33),1)+LARGE(CHOOSE({1;2;3;4},H33,K33,N33,Q33),2)+LARGE(CHOOSE({1;2;3;4},H33,K33,N33,Q33),3)</f>
        <v>19.600000000000001</v>
      </c>
      <c r="U33" s="4" cm="1">
        <f t="array" ref="U33">IF(FX[[#This Row],[Number_of_competition]:[Number_of_competition]]&gt;=3,(LARGE(CHOOSE({1;2;3;4},F33,I33,L33,O33),1)+LARGE(CHOOSE({1;2;3;4},F33,I33,L33,O33),2)+LARGE(CHOOSE({1;2;3;4},F33,I33,L33,O33),3))/3,0)</f>
        <v>0</v>
      </c>
      <c r="V33" s="7" cm="1">
        <f t="array" ref="V33">IF(FX[[#This Row],[Number_of_competition]:[Number_of_competition]]&gt;=3,(LARGE(CHOOSE({1;2;3;4},G33,J33,M33,P33),1)+LARGE(CHOOSE({1;2;3;4},G33,J33,M33,P33),2)+LARGE(CHOOSE({1;2;3;4},G33,J33,M33,P33),3))/3,0)</f>
        <v>0</v>
      </c>
      <c r="W33" s="7" cm="1">
        <f t="array" ref="W33">IF(FX[[#This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50</v>
      </c>
      <c r="B34" s="2" t="s">
        <v>26</v>
      </c>
      <c r="C34" s="2" t="s">
        <v>51</v>
      </c>
      <c r="D34" t="s">
        <v>36</v>
      </c>
      <c r="E34" s="6">
        <f>COUNTIF(FX[[#This Row],[bydgoszcz_FX_Total_Score]],"&gt;0")+COUNTIF(FX[[#This Row],[zabrze_FX_Total_Score]],"&gt;0")+COUNTIF(FX[[#This Row],[cracow_FX_Total_Score]],"&gt;0")+COUNTIF(FX[[#This Row],[gdansk_FX_Total_Score]],"&gt;0")</f>
        <v>2</v>
      </c>
      <c r="F34" s="4">
        <v>0</v>
      </c>
      <c r="G34" s="7">
        <v>0</v>
      </c>
      <c r="H34" s="7">
        <v>0</v>
      </c>
      <c r="I34" s="4">
        <v>3.7</v>
      </c>
      <c r="J34" s="7">
        <v>8.3000000000000007</v>
      </c>
      <c r="K34" s="7">
        <v>12</v>
      </c>
      <c r="L34" s="4">
        <v>3.9</v>
      </c>
      <c r="M34" s="7">
        <v>7.35</v>
      </c>
      <c r="N34" s="7">
        <v>11.25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7.6</v>
      </c>
      <c r="S34" s="7">
        <f>LARGE(CHOOSE({1;2;3;4},G34,J34,M34,P34),1)+LARGE(CHOOSE({1;2;3;4},G34,J34,M34,P34),2)+LARGE(CHOOSE({1;2;3;4},G34,J34,M34,P34),3)</f>
        <v>15.65</v>
      </c>
      <c r="T34" s="7">
        <f>LARGE(CHOOSE({1;2;3;4},H34,K34,N34,Q34),1)+LARGE(CHOOSE({1;2;3;4},H34,K34,N34,Q34),2)+LARGE(CHOOSE({1;2;3;4},H34,K34,N34,Q34),3)</f>
        <v>23.25</v>
      </c>
      <c r="U34" s="4" cm="1">
        <f t="array" ref="U34">IF(FX[[#This Row],[Number_of_competition]:[Number_of_competition]]&gt;=3,(LARGE(CHOOSE({1;2;3;4},F34,I34,L34,O34),1)+LARGE(CHOOSE({1;2;3;4},F34,I34,L34,O34),2)+LARGE(CHOOSE({1;2;3;4},F34,I34,L34,O34),3))/3,0)</f>
        <v>0</v>
      </c>
      <c r="V34" s="7" cm="1">
        <f t="array" ref="V34">IF(FX[[#This Row],[Number_of_competition]:[Number_of_competition]]&gt;=3,(LARGE(CHOOSE({1;2;3;4},G34,J34,M34,P34),1)+LARGE(CHOOSE({1;2;3;4},G34,J34,M34,P34),2)+LARGE(CHOOSE({1;2;3;4},G34,J34,M34,P34),3))/3,0)</f>
        <v>0</v>
      </c>
      <c r="W34" s="7" cm="1">
        <f t="array" ref="W34">IF(FX[[#This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142</v>
      </c>
      <c r="B35" s="2" t="s">
        <v>60</v>
      </c>
      <c r="C35" s="2" t="s">
        <v>143</v>
      </c>
      <c r="D35" t="s">
        <v>62</v>
      </c>
      <c r="E35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35" s="4">
        <v>4.5</v>
      </c>
      <c r="G35" s="7">
        <v>8.6999999999999993</v>
      </c>
      <c r="H35" s="7">
        <v>13.2</v>
      </c>
      <c r="I35" s="4">
        <v>0</v>
      </c>
      <c r="J35" s="7">
        <v>0</v>
      </c>
      <c r="K35" s="7">
        <v>0</v>
      </c>
      <c r="L35" s="4">
        <v>0</v>
      </c>
      <c r="M35" s="7">
        <v>0</v>
      </c>
      <c r="N35" s="7">
        <v>0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4.5</v>
      </c>
      <c r="S35" s="7">
        <f>LARGE(CHOOSE({1;2;3;4},G35,J35,M35,P35),1)+LARGE(CHOOSE({1;2;3;4},G35,J35,M35,P35),2)+LARGE(CHOOSE({1;2;3;4},G35,J35,M35,P35),3)</f>
        <v>8.6999999999999993</v>
      </c>
      <c r="T35" s="7">
        <f>LARGE(CHOOSE({1;2;3;4},H35,K35,N35,Q35),1)+LARGE(CHOOSE({1;2;3;4},H35,K35,N35,Q35),2)+LARGE(CHOOSE({1;2;3;4},H35,K35,N35,Q35),3)</f>
        <v>13.2</v>
      </c>
      <c r="U35" s="4" cm="1">
        <f t="array" ref="U35">IF(FX[[#This Row],[Number_of_competition]:[Number_of_competition]]&gt;=3,(LARGE(CHOOSE({1;2;3;4},F35,I35,L35,O35),1)+LARGE(CHOOSE({1;2;3;4},F35,I35,L35,O35),2)+LARGE(CHOOSE({1;2;3;4},F35,I35,L35,O35),3))/3,0)</f>
        <v>0</v>
      </c>
      <c r="V35" s="7" cm="1">
        <f t="array" ref="V35">IF(FX[[#This Row],[Number_of_competition]:[Number_of_competition]]&gt;=3,(LARGE(CHOOSE({1;2;3;4},G35,J35,M35,P35),1)+LARGE(CHOOSE({1;2;3;4},G35,J35,M35,P35),2)+LARGE(CHOOSE({1;2;3;4},G35,J35,M35,P35),3))/3,0)</f>
        <v>0</v>
      </c>
      <c r="W35" s="7" cm="1">
        <f t="array" ref="W35">IF(FX[[#This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132</v>
      </c>
      <c r="B36" s="2" t="s">
        <v>26</v>
      </c>
      <c r="C36" s="2" t="s">
        <v>133</v>
      </c>
      <c r="D36" t="s">
        <v>39</v>
      </c>
      <c r="E36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36" s="4">
        <v>3.8</v>
      </c>
      <c r="G36" s="7">
        <v>7.8</v>
      </c>
      <c r="H36" s="7">
        <v>11.6</v>
      </c>
      <c r="I36" s="4">
        <v>0</v>
      </c>
      <c r="J36" s="7">
        <v>0</v>
      </c>
      <c r="K36" s="7">
        <v>0</v>
      </c>
      <c r="L36" s="4">
        <v>0</v>
      </c>
      <c r="M36" s="7">
        <v>0</v>
      </c>
      <c r="N36" s="7">
        <v>0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3.8</v>
      </c>
      <c r="S36" s="7">
        <f>LARGE(CHOOSE({1;2;3;4},G36,J36,M36,P36),1)+LARGE(CHOOSE({1;2;3;4},G36,J36,M36,P36),2)+LARGE(CHOOSE({1;2;3;4},G36,J36,M36,P36),3)</f>
        <v>7.8</v>
      </c>
      <c r="T36" s="7">
        <f>LARGE(CHOOSE({1;2;3;4},H36,K36,N36,Q36),1)+LARGE(CHOOSE({1;2;3;4},H36,K36,N36,Q36),2)+LARGE(CHOOSE({1;2;3;4},H36,K36,N36,Q36),3)</f>
        <v>11.6</v>
      </c>
      <c r="U36" s="4" cm="1">
        <f t="array" ref="U36">IF(FX[[#This Row],[Number_of_competition]:[Number_of_competition]]&gt;=3,(LARGE(CHOOSE({1;2;3;4},F36,I36,L36,O36),1)+LARGE(CHOOSE({1;2;3;4},F36,I36,L36,O36),2)+LARGE(CHOOSE({1;2;3;4},F36,I36,L36,O36),3))/3,0)</f>
        <v>0</v>
      </c>
      <c r="V36" s="7" cm="1">
        <f t="array" ref="V36">IF(FX[[#This Row],[Number_of_competition]:[Number_of_competition]]&gt;=3,(LARGE(CHOOSE({1;2;3;4},G36,J36,M36,P36),1)+LARGE(CHOOSE({1;2;3;4},G36,J36,M36,P36),2)+LARGE(CHOOSE({1;2;3;4},G36,J36,M36,P36),3))/3,0)</f>
        <v>0</v>
      </c>
      <c r="W36" s="7" cm="1">
        <f t="array" ref="W36">IF(FX[[#This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57</v>
      </c>
      <c r="B37" s="2" t="s">
        <v>26</v>
      </c>
      <c r="C37" s="2" t="s">
        <v>58</v>
      </c>
      <c r="D37" t="s">
        <v>36</v>
      </c>
      <c r="E37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37" s="4">
        <v>3.2</v>
      </c>
      <c r="G37" s="7">
        <v>7.3</v>
      </c>
      <c r="H37" s="7">
        <v>10.5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3.2</v>
      </c>
      <c r="S37" s="7">
        <f>LARGE(CHOOSE({1;2;3;4},G37,J37,M37,P37),1)+LARGE(CHOOSE({1;2;3;4},G37,J37,M37,P37),2)+LARGE(CHOOSE({1;2;3;4},G37,J37,M37,P37),3)</f>
        <v>7.3</v>
      </c>
      <c r="T37" s="7">
        <f>LARGE(CHOOSE({1;2;3;4},H37,K37,N37,Q37),1)+LARGE(CHOOSE({1;2;3;4},H37,K37,N37,Q37),2)+LARGE(CHOOSE({1;2;3;4},H37,K37,N37,Q37),3)</f>
        <v>10.5</v>
      </c>
      <c r="U37" s="4" cm="1">
        <f t="array" ref="U37">IF(FX[[#This Row],[Number_of_competition]:[Number_of_competition]]&gt;=3,(LARGE(CHOOSE({1;2;3;4},F37,I37,L37,O37),1)+LARGE(CHOOSE({1;2;3;4},F37,I37,L37,O37),2)+LARGE(CHOOSE({1;2;3;4},F37,I37,L37,O37),3))/3,0)</f>
        <v>0</v>
      </c>
      <c r="V37" s="7" cm="1">
        <f t="array" ref="V37">IF(FX[[#This Row],[Number_of_competition]:[Number_of_competition]]&gt;=3,(LARGE(CHOOSE({1;2;3;4},G37,J37,M37,P37),1)+LARGE(CHOOSE({1;2;3;4},G37,J37,M37,P37),2)+LARGE(CHOOSE({1;2;3;4},G37,J37,M37,P37),3))/3,0)</f>
        <v>0</v>
      </c>
      <c r="W37" s="7" cm="1">
        <f t="array" ref="W37">IF(FX[[#This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139</v>
      </c>
      <c r="B38" s="2" t="s">
        <v>26</v>
      </c>
      <c r="C38" s="2" t="s">
        <v>140</v>
      </c>
      <c r="D38" t="s">
        <v>124</v>
      </c>
      <c r="E38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38" s="4">
        <v>3</v>
      </c>
      <c r="G38" s="7">
        <v>8.1999999999999993</v>
      </c>
      <c r="H38" s="7">
        <v>11.2</v>
      </c>
      <c r="I38" s="4">
        <v>0</v>
      </c>
      <c r="J38" s="7">
        <v>0</v>
      </c>
      <c r="K38" s="7">
        <v>0</v>
      </c>
      <c r="L38" s="4">
        <v>0</v>
      </c>
      <c r="M38" s="7">
        <v>0</v>
      </c>
      <c r="N38" s="7">
        <v>0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3</v>
      </c>
      <c r="S38" s="7">
        <f>LARGE(CHOOSE({1;2;3;4},G38,J38,M38,P38),1)+LARGE(CHOOSE({1;2;3;4},G38,J38,M38,P38),2)+LARGE(CHOOSE({1;2;3;4},G38,J38,M38,P38),3)</f>
        <v>8.1999999999999993</v>
      </c>
      <c r="T38" s="7">
        <f>LARGE(CHOOSE({1;2;3;4},H38,K38,N38,Q38),1)+LARGE(CHOOSE({1;2;3;4},H38,K38,N38,Q38),2)+LARGE(CHOOSE({1;2;3;4},H38,K38,N38,Q38),3)</f>
        <v>11.2</v>
      </c>
      <c r="U38" s="4" cm="1">
        <f t="array" ref="U38">IF(FX[[#This Row],[Number_of_competition]:[Number_of_competition]]&gt;=3,(LARGE(CHOOSE({1;2;3;4},F38,I38,L38,O38),1)+LARGE(CHOOSE({1;2;3;4},F38,I38,L38,O38),2)+LARGE(CHOOSE({1;2;3;4},F38,I38,L38,O38),3))/3,0)</f>
        <v>0</v>
      </c>
      <c r="V38" s="7" cm="1">
        <f t="array" ref="V38">IF(FX[[#This Row],[Number_of_competition]:[Number_of_competition]]&gt;=3,(LARGE(CHOOSE({1;2;3;4},G38,J38,M38,P38),1)+LARGE(CHOOSE({1;2;3;4},G38,J38,M38,P38),2)+LARGE(CHOOSE({1;2;3;4},G38,J38,M38,P38),3))/3,0)</f>
        <v>0</v>
      </c>
      <c r="W38" s="7" cm="1">
        <f t="array" ref="W38">IF(FX[[#This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135</v>
      </c>
      <c r="B39" s="2" t="s">
        <v>26</v>
      </c>
      <c r="C39" s="2" t="s">
        <v>136</v>
      </c>
      <c r="D39" t="s">
        <v>124</v>
      </c>
      <c r="E39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39" s="4">
        <v>2.9</v>
      </c>
      <c r="G39" s="7">
        <v>7.8</v>
      </c>
      <c r="H39" s="7">
        <v>10.7</v>
      </c>
      <c r="I39" s="4">
        <v>0</v>
      </c>
      <c r="J39" s="7">
        <v>0</v>
      </c>
      <c r="K39" s="7">
        <v>0</v>
      </c>
      <c r="L39" s="4">
        <v>0</v>
      </c>
      <c r="M39" s="7">
        <v>0</v>
      </c>
      <c r="N39" s="7">
        <v>0</v>
      </c>
      <c r="O39" s="4">
        <v>0</v>
      </c>
      <c r="P39" s="7">
        <v>0</v>
      </c>
      <c r="Q39" s="7">
        <v>0</v>
      </c>
      <c r="R39" s="4">
        <f>LARGE(CHOOSE({1;2;3;4},F39,I39,L39,O39),1)+LARGE(CHOOSE({1;2;3;4},F39,I39,L39,O39),2)+LARGE(CHOOSE({1;2;3;4},F39,I39,L39,O39),3)</f>
        <v>2.9</v>
      </c>
      <c r="S39" s="7">
        <f>LARGE(CHOOSE({1;2;3;4},G39,J39,M39,P39),1)+LARGE(CHOOSE({1;2;3;4},G39,J39,M39,P39),2)+LARGE(CHOOSE({1;2;3;4},G39,J39,M39,P39),3)</f>
        <v>7.8</v>
      </c>
      <c r="T39" s="7">
        <f>LARGE(CHOOSE({1;2;3;4},H39,K39,N39,Q39),1)+LARGE(CHOOSE({1;2;3;4},H39,K39,N39,Q39),2)+LARGE(CHOOSE({1;2;3;4},H39,K39,N39,Q39),3)</f>
        <v>10.7</v>
      </c>
      <c r="U39" s="4" cm="1">
        <f t="array" ref="U39">IF(FX[[#This Row],[Number_of_competition]:[Number_of_competition]]&gt;=3,(LARGE(CHOOSE({1;2;3;4},F39,I39,L39,O39),1)+LARGE(CHOOSE({1;2;3;4},F39,I39,L39,O39),2)+LARGE(CHOOSE({1;2;3;4},F39,I39,L39,O39),3))/3,0)</f>
        <v>0</v>
      </c>
      <c r="V39" s="7" cm="1">
        <f t="array" ref="V39">IF(FX[[#This Row],[Number_of_competition]:[Number_of_competition]]&gt;=3,(LARGE(CHOOSE({1;2;3;4},G39,J39,M39,P39),1)+LARGE(CHOOSE({1;2;3;4},G39,J39,M39,P39),2)+LARGE(CHOOSE({1;2;3;4},G39,J39,M39,P39),3))/3,0)</f>
        <v>0</v>
      </c>
      <c r="W39" s="7" cm="1">
        <f t="array" ref="W39">IF(FX[[#This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137</v>
      </c>
      <c r="B40" s="2" t="s">
        <v>26</v>
      </c>
      <c r="C40" s="2" t="s">
        <v>138</v>
      </c>
      <c r="D40" t="s">
        <v>124</v>
      </c>
      <c r="E40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0" s="4">
        <v>2.5</v>
      </c>
      <c r="G40" s="7">
        <v>8.3000000000000007</v>
      </c>
      <c r="H40" s="7">
        <v>10.8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f>LARGE(CHOOSE({1;2;3;4},F40,I40,L40,O40),1)+LARGE(CHOOSE({1;2;3;4},F40,I40,L40,O40),2)+LARGE(CHOOSE({1;2;3;4},F40,I40,L40,O40),3)</f>
        <v>2.5</v>
      </c>
      <c r="S40" s="7">
        <f>LARGE(CHOOSE({1;2;3;4},G40,J40,M40,P40),1)+LARGE(CHOOSE({1;2;3;4},G40,J40,M40,P40),2)+LARGE(CHOOSE({1;2;3;4},G40,J40,M40,P40),3)</f>
        <v>8.3000000000000007</v>
      </c>
      <c r="T40" s="7">
        <f>LARGE(CHOOSE({1;2;3;4},H40,K40,N40,Q40),1)+LARGE(CHOOSE({1;2;3;4},H40,K40,N40,Q40),2)+LARGE(CHOOSE({1;2;3;4},H40,K40,N40,Q40),3)</f>
        <v>10.8</v>
      </c>
      <c r="U40" s="4" cm="1">
        <f t="array" ref="U40">IF(FX[[#This Row],[Number_of_competition]:[Number_of_competition]]&gt;=3,(LARGE(CHOOSE({1;2;3;4},F40,I40,L40,O40),1)+LARGE(CHOOSE({1;2;3;4},F40,I40,L40,O40),2)+LARGE(CHOOSE({1;2;3;4},F40,I40,L40,O40),3))/3,0)</f>
        <v>0</v>
      </c>
      <c r="V40" s="7" cm="1">
        <f t="array" ref="V40">IF(FX[[#This Row],[Number_of_competition]:[Number_of_competition]]&gt;=3,(LARGE(CHOOSE({1;2;3;4},G40,J40,M40,P40),1)+LARGE(CHOOSE({1;2;3;4},G40,J40,M40,P40),2)+LARGE(CHOOSE({1;2;3;4},G40,J40,M40,P40),3))/3,0)</f>
        <v>0</v>
      </c>
      <c r="W40" s="7" cm="1">
        <f t="array" ref="W40">IF(FX[[#This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118</v>
      </c>
      <c r="B41" s="2" t="s">
        <v>60</v>
      </c>
      <c r="C41" s="2" t="s">
        <v>119</v>
      </c>
      <c r="D41" t="s">
        <v>31</v>
      </c>
      <c r="E41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1" s="4">
        <v>0</v>
      </c>
      <c r="G41" s="7">
        <v>0</v>
      </c>
      <c r="H41" s="7">
        <v>0</v>
      </c>
      <c r="I41" s="4">
        <v>0</v>
      </c>
      <c r="J41" s="7">
        <v>0</v>
      </c>
      <c r="K41" s="7">
        <v>0</v>
      </c>
      <c r="L41" s="4">
        <v>4.8</v>
      </c>
      <c r="M41" s="7">
        <v>7.7</v>
      </c>
      <c r="N41" s="7">
        <v>12.5</v>
      </c>
      <c r="O41" s="4">
        <v>0</v>
      </c>
      <c r="P41" s="7">
        <v>0</v>
      </c>
      <c r="Q41" s="7">
        <v>0</v>
      </c>
      <c r="R41" s="4">
        <f>LARGE(CHOOSE({1;2;3;4},F41,I41,L41,O41),1)+LARGE(CHOOSE({1;2;3;4},F41,I41,L41,O41),2)+LARGE(CHOOSE({1;2;3;4},F41,I41,L41,O41),3)</f>
        <v>4.8</v>
      </c>
      <c r="S41" s="7">
        <f>LARGE(CHOOSE({1;2;3;4},G41,J41,M41,P41),1)+LARGE(CHOOSE({1;2;3;4},G41,J41,M41,P41),2)+LARGE(CHOOSE({1;2;3;4},G41,J41,M41,P41),3)</f>
        <v>7.7</v>
      </c>
      <c r="T41" s="7">
        <f>LARGE(CHOOSE({1;2;3;4},H41,K41,N41,Q41),1)+LARGE(CHOOSE({1;2;3;4},H41,K41,N41,Q41),2)+LARGE(CHOOSE({1;2;3;4},H41,K41,N41,Q41),3)</f>
        <v>12.5</v>
      </c>
      <c r="U41" s="4" cm="1">
        <f t="array" ref="U41">IF(FX[[#This Row],[Number_of_competition]:[Number_of_competition]]&gt;=3,(LARGE(CHOOSE({1;2;3;4},F41,I41,L41,O41),1)+LARGE(CHOOSE({1;2;3;4},F41,I41,L41,O41),2)+LARGE(CHOOSE({1;2;3;4},F41,I41,L41,O41),3))/3,0)</f>
        <v>0</v>
      </c>
      <c r="V41" s="7" cm="1">
        <f t="array" ref="V41">IF(FX[[#This Row],[Number_of_competition]:[Number_of_competition]]&gt;=3,(LARGE(CHOOSE({1;2;3;4},G41,J41,M41,P41),1)+LARGE(CHOOSE({1;2;3;4},G41,J41,M41,P41),2)+LARGE(CHOOSE({1;2;3;4},G41,J41,M41,P41),3))/3,0)</f>
        <v>0</v>
      </c>
      <c r="W41" s="7" cm="1">
        <f t="array" ref="W41">IF(FX[[#This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129</v>
      </c>
      <c r="B42" s="2" t="s">
        <v>60</v>
      </c>
      <c r="C42" s="2" t="s">
        <v>130</v>
      </c>
      <c r="D42" t="s">
        <v>72</v>
      </c>
      <c r="E42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2" s="4">
        <v>0</v>
      </c>
      <c r="G42" s="7">
        <v>0</v>
      </c>
      <c r="H42" s="7">
        <v>0</v>
      </c>
      <c r="I42" s="4">
        <v>0</v>
      </c>
      <c r="J42" s="7">
        <v>0</v>
      </c>
      <c r="K42" s="7">
        <v>0</v>
      </c>
      <c r="L42" s="4">
        <v>4.4000000000000004</v>
      </c>
      <c r="M42" s="7">
        <v>7.05</v>
      </c>
      <c r="N42" s="7">
        <v>11.45</v>
      </c>
      <c r="O42" s="4">
        <v>0</v>
      </c>
      <c r="P42" s="7">
        <v>0</v>
      </c>
      <c r="Q42" s="7">
        <v>0</v>
      </c>
      <c r="R42" s="4">
        <f>LARGE(CHOOSE({1;2;3;4},F42,I42,L42,O42),1)+LARGE(CHOOSE({1;2;3;4},F42,I42,L42,O42),2)+LARGE(CHOOSE({1;2;3;4},F42,I42,L42,O42),3)</f>
        <v>4.4000000000000004</v>
      </c>
      <c r="S42" s="7">
        <f>LARGE(CHOOSE({1;2;3;4},G42,J42,M42,P42),1)+LARGE(CHOOSE({1;2;3;4},G42,J42,M42,P42),2)+LARGE(CHOOSE({1;2;3;4},G42,J42,M42,P42),3)</f>
        <v>7.05</v>
      </c>
      <c r="T42" s="7">
        <f>LARGE(CHOOSE({1;2;3;4},H42,K42,N42,Q42),1)+LARGE(CHOOSE({1;2;3;4},H42,K42,N42,Q42),2)+LARGE(CHOOSE({1;2;3;4},H42,K42,N42,Q42),3)</f>
        <v>11.45</v>
      </c>
      <c r="U42" s="4" cm="1">
        <f t="array" ref="U42">IF(FX[[#This Row],[Number_of_competition]:[Number_of_competition]]&gt;=3,(LARGE(CHOOSE({1;2;3;4},F42,I42,L42,O42),1)+LARGE(CHOOSE({1;2;3;4},F42,I42,L42,O42),2)+LARGE(CHOOSE({1;2;3;4},F42,I42,L42,O42),3))/3,0)</f>
        <v>0</v>
      </c>
      <c r="V42" s="7" cm="1">
        <f t="array" ref="V42">IF(FX[[#This Row],[Number_of_competition]:[Number_of_competition]]&gt;=3,(LARGE(CHOOSE({1;2;3;4},G42,J42,M42,P42),1)+LARGE(CHOOSE({1;2;3;4},G42,J42,M42,P42),2)+LARGE(CHOOSE({1;2;3;4},G42,J42,M42,P42),3))/3,0)</f>
        <v>0</v>
      </c>
      <c r="W42" s="7" cm="1">
        <f t="array" ref="W42">IF(FX[[#This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88</v>
      </c>
      <c r="B43" s="2" t="s">
        <v>60</v>
      </c>
      <c r="C43" s="2" t="s">
        <v>89</v>
      </c>
      <c r="D43" t="s">
        <v>36</v>
      </c>
      <c r="E43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3" s="4">
        <v>0</v>
      </c>
      <c r="G43" s="7">
        <v>0</v>
      </c>
      <c r="H43" s="7">
        <v>0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3.2</v>
      </c>
      <c r="P43" s="7">
        <v>7</v>
      </c>
      <c r="Q43" s="7">
        <v>10.199999999999999</v>
      </c>
      <c r="R43" s="4">
        <f>LARGE(CHOOSE({1;2;3;4},F43,I43,L43,O43),1)+LARGE(CHOOSE({1;2;3;4},F43,I43,L43,O43),2)+LARGE(CHOOSE({1;2;3;4},F43,I43,L43,O43),3)</f>
        <v>3.2</v>
      </c>
      <c r="S43" s="7">
        <f>LARGE(CHOOSE({1;2;3;4},G43,J43,M43,P43),1)+LARGE(CHOOSE({1;2;3;4},G43,J43,M43,P43),2)+LARGE(CHOOSE({1;2;3;4},G43,J43,M43,P43),3)</f>
        <v>7</v>
      </c>
      <c r="T43" s="7">
        <f>LARGE(CHOOSE({1;2;3;4},H43,K43,N43,Q43),1)+LARGE(CHOOSE({1;2;3;4},H43,K43,N43,Q43),2)+LARGE(CHOOSE({1;2;3;4},H43,K43,N43,Q43),3)</f>
        <v>10.199999999999999</v>
      </c>
      <c r="U43" s="4" cm="1">
        <f t="array" ref="U43">IF(FX[[#This Row],[Number_of_competition]:[Number_of_competition]]&gt;=3,(LARGE(CHOOSE({1;2;3;4},F43,I43,L43,O43),1)+LARGE(CHOOSE({1;2;3;4},F43,I43,L43,O43),2)+LARGE(CHOOSE({1;2;3;4},F43,I43,L43,O43),3))/3,0)</f>
        <v>0</v>
      </c>
      <c r="V43" s="7" cm="1">
        <f t="array" ref="V43">IF(FX[[#This Row],[Number_of_competition]:[Number_of_competition]]&gt;=3,(LARGE(CHOOSE({1;2;3;4},G43,J43,M43,P43),1)+LARGE(CHOOSE({1;2;3;4},G43,J43,M43,P43),2)+LARGE(CHOOSE({1;2;3;4},G43,J43,M43,P43),3))/3,0)</f>
        <v>0</v>
      </c>
      <c r="W43" s="7" cm="1">
        <f t="array" ref="W43">IF(FX[[#This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125</v>
      </c>
      <c r="B44" s="2" t="s">
        <v>26</v>
      </c>
      <c r="C44" s="2" t="s">
        <v>126</v>
      </c>
      <c r="D44" t="s">
        <v>67</v>
      </c>
      <c r="E44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4" s="4">
        <v>0</v>
      </c>
      <c r="G44" s="7">
        <v>0</v>
      </c>
      <c r="H44" s="7">
        <v>0</v>
      </c>
      <c r="I44" s="4">
        <v>0</v>
      </c>
      <c r="J44" s="7">
        <v>0</v>
      </c>
      <c r="K44" s="7">
        <v>0</v>
      </c>
      <c r="L44" s="4">
        <v>3.5</v>
      </c>
      <c r="M44" s="7">
        <v>7.85</v>
      </c>
      <c r="N44" s="7">
        <v>11.35</v>
      </c>
      <c r="O44" s="4">
        <v>0</v>
      </c>
      <c r="P44" s="7">
        <v>0</v>
      </c>
      <c r="Q44" s="7">
        <v>0</v>
      </c>
      <c r="R44" s="4">
        <f>LARGE(CHOOSE({1;2;3;4},F44,I44,L44,O44),1)+LARGE(CHOOSE({1;2;3;4},F44,I44,L44,O44),2)+LARGE(CHOOSE({1;2;3;4},F44,I44,L44,O44),3)</f>
        <v>3.5</v>
      </c>
      <c r="S44" s="7">
        <f>LARGE(CHOOSE({1;2;3;4},G44,J44,M44,P44),1)+LARGE(CHOOSE({1;2;3;4},G44,J44,M44,P44),2)+LARGE(CHOOSE({1;2;3;4},G44,J44,M44,P44),3)</f>
        <v>7.85</v>
      </c>
      <c r="T44" s="7">
        <f>LARGE(CHOOSE({1;2;3;4},H44,K44,N44,Q44),1)+LARGE(CHOOSE({1;2;3;4},H44,K44,N44,Q44),2)+LARGE(CHOOSE({1;2;3;4},H44,K44,N44,Q44),3)</f>
        <v>11.35</v>
      </c>
      <c r="U44" s="4" cm="1">
        <f t="array" ref="U44">IF(FX[[#This Row],[Number_of_competition]:[Number_of_competition]]&gt;=3,(LARGE(CHOOSE({1;2;3;4},F44,I44,L44,O44),1)+LARGE(CHOOSE({1;2;3;4},F44,I44,L44,O44),2)+LARGE(CHOOSE({1;2;3;4},F44,I44,L44,O44),3))/3,0)</f>
        <v>0</v>
      </c>
      <c r="V44" s="7" cm="1">
        <f t="array" ref="V44">IF(FX[[#This Row],[Number_of_competition]:[Number_of_competition]]&gt;=3,(LARGE(CHOOSE({1;2;3;4},G44,J44,M44,P44),1)+LARGE(CHOOSE({1;2;3;4},G44,J44,M44,P44),2)+LARGE(CHOOSE({1;2;3;4},G44,J44,M44,P44),3))/3,0)</f>
        <v>0</v>
      </c>
      <c r="W44" s="7" cm="1">
        <f t="array" ref="W44">IF(FX[[#This Row],[Number_of_competition]:[Number_of_competition]]&gt;=3,(LARGE(CHOOSE({1;2;3;4},H44,K44,N44,Q44),1)+LARGE(CHOOSE({1;2;3;4},H44,K44,N44,Q44),2)+LARGE(CHOOSE({1;2;3;4},H44,K44,N44,Q44),3))/3,0)</f>
        <v>0</v>
      </c>
    </row>
    <row r="45" spans="1:23" x14ac:dyDescent="0.25">
      <c r="A45" t="s">
        <v>122</v>
      </c>
      <c r="B45" s="2" t="s">
        <v>26</v>
      </c>
      <c r="C45" s="2" t="s">
        <v>123</v>
      </c>
      <c r="D45" t="s">
        <v>124</v>
      </c>
      <c r="E45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5" s="4">
        <v>0</v>
      </c>
      <c r="G45" s="7">
        <v>0</v>
      </c>
      <c r="H45" s="7">
        <v>0</v>
      </c>
      <c r="I45" s="4">
        <v>0</v>
      </c>
      <c r="J45" s="7">
        <v>0</v>
      </c>
      <c r="K45" s="7">
        <v>0</v>
      </c>
      <c r="L45" s="4">
        <v>3.1</v>
      </c>
      <c r="M45" s="7">
        <v>7.55</v>
      </c>
      <c r="N45" s="7">
        <v>10.65</v>
      </c>
      <c r="O45" s="4">
        <v>0</v>
      </c>
      <c r="P45" s="7">
        <v>0</v>
      </c>
      <c r="Q45" s="7">
        <v>0</v>
      </c>
      <c r="R45" s="4">
        <f>LARGE(CHOOSE({1;2;3;4},F45,I45,L45,O45),1)+LARGE(CHOOSE({1;2;3;4},F45,I45,L45,O45),2)+LARGE(CHOOSE({1;2;3;4},F45,I45,L45,O45),3)</f>
        <v>3.1</v>
      </c>
      <c r="S45" s="7">
        <f>LARGE(CHOOSE({1;2;3;4},G45,J45,M45,P45),1)+LARGE(CHOOSE({1;2;3;4},G45,J45,M45,P45),2)+LARGE(CHOOSE({1;2;3;4},G45,J45,M45,P45),3)</f>
        <v>7.55</v>
      </c>
      <c r="T45" s="7">
        <f>LARGE(CHOOSE({1;2;3;4},H45,K45,N45,Q45),1)+LARGE(CHOOSE({1;2;3;4},H45,K45,N45,Q45),2)+LARGE(CHOOSE({1;2;3;4},H45,K45,N45,Q45),3)</f>
        <v>10.65</v>
      </c>
      <c r="U45" s="4" cm="1">
        <f t="array" ref="U45">IF(FX[[#This Row],[Number_of_competition]:[Number_of_competition]]&gt;=3,(LARGE(CHOOSE({1;2;3;4},F45,I45,L45,O45),1)+LARGE(CHOOSE({1;2;3;4},F45,I45,L45,O45),2)+LARGE(CHOOSE({1;2;3;4},F45,I45,L45,O45),3))/3,0)</f>
        <v>0</v>
      </c>
      <c r="V45" s="7" cm="1">
        <f t="array" ref="V45">IF(FX[[#This Row],[Number_of_competition]:[Number_of_competition]]&gt;=3,(LARGE(CHOOSE({1;2;3;4},G45,J45,M45,P45),1)+LARGE(CHOOSE({1;2;3;4},G45,J45,M45,P45),2)+LARGE(CHOOSE({1;2;3;4},G45,J45,M45,P45),3))/3,0)</f>
        <v>0</v>
      </c>
      <c r="W45" s="7" cm="1">
        <f t="array" ref="W45">IF(FX[[#This Row],[Number_of_competition]:[Number_of_competition]]&gt;=3,(LARGE(CHOOSE({1;2;3;4},H45,K45,N45,Q45),1)+LARGE(CHOOSE({1;2;3;4},H45,K45,N45,Q45),2)+LARGE(CHOOSE({1;2;3;4},H45,K45,N45,Q45),3))/3,0)</f>
        <v>0</v>
      </c>
    </row>
    <row r="46" spans="1:23" x14ac:dyDescent="0.25">
      <c r="A46" t="s">
        <v>114</v>
      </c>
      <c r="B46" s="2" t="s">
        <v>26</v>
      </c>
      <c r="C46" s="2" t="s">
        <v>115</v>
      </c>
      <c r="D46" t="s">
        <v>36</v>
      </c>
      <c r="E46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6" s="4">
        <v>0</v>
      </c>
      <c r="G46" s="7">
        <v>0</v>
      </c>
      <c r="H46" s="7">
        <v>0</v>
      </c>
      <c r="I46" s="4">
        <v>0</v>
      </c>
      <c r="J46" s="7">
        <v>0</v>
      </c>
      <c r="K46" s="7">
        <v>0</v>
      </c>
      <c r="L46" s="4">
        <v>0</v>
      </c>
      <c r="M46" s="7">
        <v>0</v>
      </c>
      <c r="N46" s="7">
        <v>0</v>
      </c>
      <c r="O46" s="4">
        <v>3.4</v>
      </c>
      <c r="P46" s="7">
        <v>7.1</v>
      </c>
      <c r="Q46" s="7">
        <v>10.5</v>
      </c>
      <c r="R46" s="4">
        <f>LARGE(CHOOSE({1;2;3;4},F46,I46,L46,O46),1)+LARGE(CHOOSE({1;2;3;4},F46,I46,L46,O46),2)+LARGE(CHOOSE({1;2;3;4},F46,I46,L46,O46),3)</f>
        <v>3.4</v>
      </c>
      <c r="S46" s="7">
        <f>LARGE(CHOOSE({1;2;3;4},G46,J46,M46,P46),1)+LARGE(CHOOSE({1;2;3;4},G46,J46,M46,P46),2)+LARGE(CHOOSE({1;2;3;4},G46,J46,M46,P46),3)</f>
        <v>7.1</v>
      </c>
      <c r="T46" s="7">
        <f>LARGE(CHOOSE({1;2;3;4},H46,K46,N46,Q46),1)+LARGE(CHOOSE({1;2;3;4},H46,K46,N46,Q46),2)+LARGE(CHOOSE({1;2;3;4},H46,K46,N46,Q46),3)</f>
        <v>10.5</v>
      </c>
      <c r="U46" s="4" cm="1">
        <f t="array" ref="U46">IF(FX[[#This Row],[Number_of_competition]:[Number_of_competition]]&gt;=3,(LARGE(CHOOSE({1;2;3;4},F46,I46,L46,O46),1)+LARGE(CHOOSE({1;2;3;4},F46,I46,L46,O46),2)+LARGE(CHOOSE({1;2;3;4},F46,I46,L46,O46),3))/3,0)</f>
        <v>0</v>
      </c>
      <c r="V46" s="7" cm="1">
        <f t="array" ref="V46">IF(FX[[#This Row],[Number_of_competition]:[Number_of_competition]]&gt;=3,(LARGE(CHOOSE({1;2;3;4},G46,J46,M46,P46),1)+LARGE(CHOOSE({1;2;3;4},G46,J46,M46,P46),2)+LARGE(CHOOSE({1;2;3;4},G46,J46,M46,P46),3))/3,0)</f>
        <v>0</v>
      </c>
      <c r="W46" s="7" cm="1">
        <f t="array" ref="W46">IF(FX[[#This Row],[Number_of_competition]:[Number_of_competition]]&gt;=3,(LARGE(CHOOSE({1;2;3;4},H46,K46,N46,Q46),1)+LARGE(CHOOSE({1;2;3;4},H46,K46,N46,Q46),2)+LARGE(CHOOSE({1;2;3;4},H46,K46,N46,Q46),3))/3,0)</f>
        <v>0</v>
      </c>
    </row>
    <row r="47" spans="1:23" x14ac:dyDescent="0.25">
      <c r="A47" t="s">
        <v>52</v>
      </c>
      <c r="B47" s="2" t="s">
        <v>26</v>
      </c>
      <c r="C47" s="2" t="s">
        <v>53</v>
      </c>
      <c r="D47" t="s">
        <v>36</v>
      </c>
      <c r="E47" s="6">
        <f>COUNTIF(FX[[#This Row],[bydgoszcz_FX_Total_Score]],"&gt;0")+COUNTIF(FX[[#This Row],[zabrze_FX_Total_Score]],"&gt;0")+COUNTIF(FX[[#This Row],[cracow_FX_Total_Score]],"&gt;0")+COUNTIF(FX[[#This Row],[gdansk_FX_Total_Score]],"&gt;0")</f>
        <v>1</v>
      </c>
      <c r="F47" s="4">
        <v>0</v>
      </c>
      <c r="G47" s="7">
        <v>0</v>
      </c>
      <c r="H47" s="7">
        <v>0</v>
      </c>
      <c r="I47" s="4">
        <v>0</v>
      </c>
      <c r="J47" s="7">
        <v>0</v>
      </c>
      <c r="K47" s="7">
        <v>0</v>
      </c>
      <c r="L47" s="4">
        <v>0</v>
      </c>
      <c r="M47" s="7">
        <v>0</v>
      </c>
      <c r="N47" s="7">
        <v>0</v>
      </c>
      <c r="O47" s="4">
        <v>3.2</v>
      </c>
      <c r="P47" s="7">
        <v>6.9</v>
      </c>
      <c r="Q47" s="7">
        <v>10.1</v>
      </c>
      <c r="R47" s="4">
        <f>LARGE(CHOOSE({1;2;3;4},F47,I47,L47,O47),1)+LARGE(CHOOSE({1;2;3;4},F47,I47,L47,O47),2)+LARGE(CHOOSE({1;2;3;4},F47,I47,L47,O47),3)</f>
        <v>3.2</v>
      </c>
      <c r="S47" s="7">
        <f>LARGE(CHOOSE({1;2;3;4},G47,J47,M47,P47),1)+LARGE(CHOOSE({1;2;3;4},G47,J47,M47,P47),2)+LARGE(CHOOSE({1;2;3;4},G47,J47,M47,P47),3)</f>
        <v>6.9</v>
      </c>
      <c r="T47" s="7">
        <f>LARGE(CHOOSE({1;2;3;4},H47,K47,N47,Q47),1)+LARGE(CHOOSE({1;2;3;4},H47,K47,N47,Q47),2)+LARGE(CHOOSE({1;2;3;4},H47,K47,N47,Q47),3)</f>
        <v>10.1</v>
      </c>
      <c r="U47" s="4" cm="1">
        <f t="array" ref="U47">IF(FX[[#This Row],[Number_of_competition]:[Number_of_competition]]&gt;=3,(LARGE(CHOOSE({1;2;3;4},F47,I47,L47,O47),1)+LARGE(CHOOSE({1;2;3;4},F47,I47,L47,O47),2)+LARGE(CHOOSE({1;2;3;4},F47,I47,L47,O47),3))/3,0)</f>
        <v>0</v>
      </c>
      <c r="V47" s="7" cm="1">
        <f t="array" ref="V47">IF(FX[[#This Row],[Number_of_competition]:[Number_of_competition]]&gt;=3,(LARGE(CHOOSE({1;2;3;4},G47,J47,M47,P47),1)+LARGE(CHOOSE({1;2;3;4},G47,J47,M47,P47),2)+LARGE(CHOOSE({1;2;3;4},G47,J47,M47,P47),3))/3,0)</f>
        <v>0</v>
      </c>
      <c r="W47" s="7" cm="1">
        <f t="array" ref="W47">IF(FX[[#This Row],[Number_of_competition]:[Number_of_competition]]&gt;=3,(LARGE(CHOOSE({1;2;3;4},H47,K47,N47,Q47),1)+LARGE(CHOOSE({1;2;3;4},H47,K47,N47,Q47),2)+LARGE(CHOOSE({1;2;3;4},H47,K47,N47,Q47),3))/3,0)</f>
        <v>0</v>
      </c>
    </row>
    <row r="51" spans="1:4" x14ac:dyDescent="0.25">
      <c r="A51" s="2" t="s">
        <v>244</v>
      </c>
      <c r="B51" s="7" t="s">
        <v>256</v>
      </c>
      <c r="C51" s="7" t="s">
        <v>260</v>
      </c>
      <c r="D51" s="2" t="s">
        <v>255</v>
      </c>
    </row>
    <row r="52" spans="1:4" x14ac:dyDescent="0.25">
      <c r="A52" s="4" cm="1">
        <f t="array" ref="A52">SUM(_xlfn._xlws.FILTER(FX[bydgoszcz_FX_Dscore],FX[Category]="junior"),_xlfn._xlws.FILTER(FX[zabrze_FX_Dscore],FX[Category]="junior"),_xlfn._xlws.FILTER(FX[cracow_FX_Dscore],FX[Category]="junior"),_xlfn._xlws.FILTER(FX[gdansk_FX_Dscore],FX[Category]="junior"))/(COUNTIFS(FX[bydgoszcz_FX_Dscore],"&gt;0",FX[Category],"junior")+COUNTIFS(FX[zabrze_FX_Dscore],"&gt;0",FX[Category],"junior")+COUNTIFS(FX[cracow_FX_Dscore],"&gt;0",FX[Category],"junior")+COUNTIFS(FX[gdansk_FX_Dscore],"&gt;0",FX[Category],"junior"))</f>
        <v>3.5288461538461537</v>
      </c>
      <c r="B52" s="4" cm="1">
        <f t="array" ref="B52">_xlfn.STDEV.S(_xlfn._xlws.FILTER(FX[bydgoszcz_FX_Dscore],(FX[Category]="junior")*(FX[bydgoszcz_FX_Dscore])&gt;0),_xlfn._xlws.FILTER(FX[zabrze_FX_Dscore],(FX[Category]="junior")*(FX[zabrze_FX_Dscore])&gt;0),_xlfn._xlws.FILTER(FX[cracow_FX_Dscore],(FX[Category]="junior")*(FX[cracow_FX_Dscore])&gt;0),_xlfn._xlws.FILTER(FX[gdansk_FX_Dscore],(FX[Category]="junior")*(FX[gdansk_FX_Dscore])&gt;0))</f>
        <v>0.45818762252585366</v>
      </c>
      <c r="C52" s="4" cm="1">
        <f t="array" ref="C52">MAX(_xlfn._xlws.FILTER(FX[bydgoszcz_FX_Dscore],FX[Category]="junior"),_xlfn._xlws.FILTER(FX[zabrze_FX_Dscore],FX[Category]="junior"),_xlfn._xlws.FILTER(FX[cracow_FX_Dscore],FX[Category]="junior"),_xlfn._xlws.FILTER(FX[gdansk_FX_Dscore],FX[Category]="junior"))</f>
        <v>4.4000000000000004</v>
      </c>
      <c r="D52" s="2" t="str" cm="1">
        <f t="array" ref="D52">_xlfn.XLOOKUP(C52,_xlfn._xlws.FILTER(FX[bydgoszcz_FX_Dscore],FX[Category]="junior"),_xlfn._xlws.FILTER(FX[Name],FX[Category]="junior"),_xlfn.XLOOKUP(C52,_xlfn._xlws.FILTER(FX[zabrze_FX_Dscore],FX[Category]="junior"),_xlfn._xlws.FILTER(FX[Name],FX[Category]="junior"),_xlfn.XLOOKUP(C52,_xlfn._xlws.FILTER(FX[cracow_FX_Dscore],FX[Category]="junior"),_xlfn._xlws.FILTER(FX[Name],FX[Category]="junior"),_xlfn.XLOOKUP(C52,_xlfn._xlws.FILTER(FX[gdansk_FX_Dscore],FX[Category]="junior"),_xlfn._xlws.FILTER(FX[Name],FX[Category]="junior")))))</f>
        <v>CZARNECKI Aleksander</v>
      </c>
    </row>
    <row r="53" spans="1:4" x14ac:dyDescent="0.25">
      <c r="A53" s="4" cm="1">
        <f t="array" ref="A53">SUM(_xlfn._xlws.FILTER(FX[bydgoszcz_FX_Dscore],FX[Category]="senior"),_xlfn._xlws.FILTER(FX[zabrze_FX_Dscore],FX[Category]="senior"),_xlfn._xlws.FILTER(FX[cracow_FX_Dscore],FX[Category]="senior"),_xlfn._xlws.FILTER(FX[gdansk_FX_Dscore],FX[Category]="senior"))/(COUNTIFS(FX[bydgoszcz_FX_Dscore],"&gt;0",FX[Category],"senior")+COUNTIFS(FX[zabrze_FX_Dscore],"&gt;0",FX[Category],"senior")+COUNTIFS(FX[cracow_FX_Dscore],"&gt;0",FX[Category],"senior")+COUNTIFS(FX[gdansk_FX_Dscore],"&gt;0",FX[Category],"senior"))</f>
        <v>4.3048387096774192</v>
      </c>
      <c r="B53" s="4" cm="1">
        <f t="array" ref="B53">_xlfn.STDEV.S(_xlfn._xlws.FILTER(FX[bydgoszcz_FX_Dscore],(FX[Category]="senior")*(FX[bydgoszcz_FX_Dscore])&gt;0),_xlfn._xlws.FILTER(FX[zabrze_FX_Dscore],(FX[Category]="senior")*(FX[zabrze_FX_Dscore])&gt;0),_xlfn._xlws.FILTER(FX[cracow_FX_Dscore],(FX[Category]="senior")*(FX[cracow_FX_Dscore])&gt;0),_xlfn._xlws.FILTER(FX[gdansk_FX_Dscore],(FX[Category]="senior")*(FX[gdansk_FX_Dscore])&gt;0))</f>
        <v>0.655975664121489</v>
      </c>
      <c r="C53" s="4" cm="1">
        <f t="array" ref="C53">MAX(_xlfn._xlws.FILTER(FX[bydgoszcz_FX_Dscore],FX[Category]="senior"),_xlfn._xlws.FILTER(FX[zabrze_FX_Dscore],FX[Category]="senior"),_xlfn._xlws.FILTER(FX[cracow_FX_Dscore],FX[Category]="senior"),_xlfn._xlws.FILTER(FX[gdansk_FX_Dscore],FX[Category]="senior"))</f>
        <v>6</v>
      </c>
      <c r="D53" s="2" t="str" cm="1">
        <f t="array" ref="D53">_xlfn.XLOOKUP(C53,_xlfn._xlws.FILTER(FX[bydgoszcz_FX_Dscore],FX[Category]="senior"),_xlfn._xlws.FILTER(FX[Name],FX[Category]="senior"),_xlfn.XLOOKUP(C53,_xlfn._xlws.FILTER(FX[zabrze_FX_Dscore],FX[Category]="senior"),_xlfn._xlws.FILTER(FX[Name],FX[Category]="senior"),_xlfn.XLOOKUP(C53,_xlfn._xlws.FILTER(FX[cracow_FX_Dscore],FX[Category]="senior"),_xlfn._xlws.FILTER(FX[Name],FX[Category]="senior"),_xlfn.XLOOKUP(C53,_xlfn._xlws.FILTER(FX[gdansk_FX_Dscore],FX[Category]="senior"),_xlfn._xlws.FILTER(FX[Name],FX[Category]="senior")))))</f>
        <v>SASNAL Filip</v>
      </c>
    </row>
    <row r="54" spans="1:4" x14ac:dyDescent="0.25">
      <c r="A54" s="2"/>
      <c r="B54" s="7"/>
      <c r="C54" s="7"/>
      <c r="D54" s="2"/>
    </row>
    <row r="55" spans="1:4" x14ac:dyDescent="0.25">
      <c r="A55" s="2" t="s">
        <v>257</v>
      </c>
      <c r="B55" s="7" t="s">
        <v>258</v>
      </c>
      <c r="C55" s="7" t="s">
        <v>261</v>
      </c>
      <c r="D55" s="2" t="s">
        <v>255</v>
      </c>
    </row>
    <row r="56" spans="1:4" x14ac:dyDescent="0.25">
      <c r="A56" s="7" cm="1">
        <f t="array" ref="A56">SUM(_xlfn._xlws.FILTER(FX[bydgoszcz_FX_Escore],FX[Category]="junior"),_xlfn._xlws.FILTER(FX[zabrze_FX_Escore],FX[Category]="junior"),_xlfn._xlws.FILTER(FX[cracow_FX_Escore],FX[Category]="junior"),_xlfn._xlws.FILTER(FX[gdansk_FX_Escore],FX[Category]="junior"))/(COUNTIFS(FX[bydgoszcz_FX_Escore],"&gt;0",FX[Category],"junior")+COUNTIFS(FX[zabrze_FX_Escore],"&gt;0",FX[Category],"junior")+COUNTIFS(FX[cracow_FX_Escore],"&gt;0",FX[Category],"junior")+COUNTIFS(FX[gdansk_FX_Escore],"&gt;0",FX[Category],"junior"))</f>
        <v>7.8874999999999993</v>
      </c>
      <c r="B56" s="7" cm="1">
        <f t="array" ref="B56">_xlfn.STDEV.S(_xlfn._xlws.FILTER(FX[bydgoszcz_FX_Escore],(FX[Category]="junior")*(FX[bydgoszcz_FX_Escore])&gt;0),_xlfn._xlws.FILTER(FX[zabrze_FX_Escore],(FX[Category]="junior")*(FX[zabrze_FX_Escore])&gt;0),_xlfn._xlws.FILTER(FX[cracow_FX_Escore],(FX[Category]="junior")*(FX[cracow_FX_Escore])&gt;0),_xlfn._xlws.FILTER(FX[gdansk_FX_Escore],(FX[Category]="junior")*(FX[gdansk_FX_Escore])&gt;0))</f>
        <v>0.60891055075727629</v>
      </c>
      <c r="C56" s="7" cm="1">
        <f t="array" ref="C56">MAX(_xlfn._xlws.FILTER(FX[bydgoszcz_FX_Escore],FX[Category]="junior"),_xlfn._xlws.FILTER(FX[zabrze_FX_Escore],FX[Category]="junior"),_xlfn._xlws.FILTER(FX[cracow_FX_Escore],FX[Category]="junior"),_xlfn._xlws.FILTER(FX[gdansk_FX_Escore],FX[Category]="junior"))</f>
        <v>8.9499999999999993</v>
      </c>
      <c r="D56" s="2" t="str" cm="1">
        <f t="array" ref="D56">_xlfn.XLOOKUP(C56,_xlfn._xlws.FILTER(FX[bydgoszcz_FX_Escore],FX[Category]="junior"),_xlfn._xlws.FILTER(FX[Name],FX[Category]="junior"),_xlfn.XLOOKUP(C56,_xlfn._xlws.FILTER(FX[zabrze_FX_Escore],FX[Category]="junior"),_xlfn._xlws.FILTER(FX[Name],FX[Category]="junior"),_xlfn.XLOOKUP(C56,_xlfn._xlws.FILTER(FX[cracow_FX_Escore],FX[Category]="junior"),_xlfn._xlws.FILTER(FX[Name],FX[Category]="junior"),_xlfn.XLOOKUP(C56,_xlfn._xlws.FILTER(FX[gdansk_FX_Escore],FX[Category]="junior"),_xlfn._xlws.FILTER(FX[Name],FX[Category]="junior")))))</f>
        <v>CZARNECKI Aleksander</v>
      </c>
    </row>
    <row r="57" spans="1:4" x14ac:dyDescent="0.25">
      <c r="A57" s="7" cm="1">
        <f t="array" ref="A57">SUM(_xlfn._xlws.FILTER(FX[bydgoszcz_FX_Escore],FX[Category]="senior"),_xlfn._xlws.FILTER(FX[zabrze_FX_Escore],FX[Category]="senior"),_xlfn._xlws.FILTER(FX[cracow_FX_Escore],FX[Category]="senior"),_xlfn._xlws.FILTER(FX[gdansk_FX_Escore],FX[Category]="senior"))/(COUNTIFS(FX[bydgoszcz_FX_Escore],"&gt;0",FX[Category],"senior")+COUNTIFS(FX[zabrze_FX_Escore],"&gt;0",FX[Category],"senior")+COUNTIFS(FX[cracow_FX_Escore],"&gt;0",FX[Category],"senior")+COUNTIFS(FX[gdansk_FX_Escore],"&gt;0",FX[Category],"senior"))</f>
        <v>7.507258064516126</v>
      </c>
      <c r="B57" s="7" cm="1">
        <f t="array" ref="B57">_xlfn.STDEV.S(_xlfn._xlws.FILTER(FX[bydgoszcz_FX_Escore],(FX[Category]="senior")*(FX[bydgoszcz_FX_Escore])&gt;0),_xlfn._xlws.FILTER(FX[zabrze_FX_Escore],(FX[Category]="senior")*(FX[zabrze_FX_Escore])&gt;0),_xlfn._xlws.FILTER(FX[cracow_FX_Escore],(FX[Category]="senior")*(FX[cracow_FX_Escore])&gt;0),_xlfn._xlws.FILTER(FX[gdansk_FX_Escore],(FX[Category]="senior")*(FX[gdansk_FX_Escore])&gt;0))</f>
        <v>0.88228683740522262</v>
      </c>
      <c r="C57" s="7" cm="1">
        <f t="array" ref="C57">MAX(_xlfn._xlws.FILTER(FX[bydgoszcz_FX_Escore],FX[Category]="senior"),_xlfn._xlws.FILTER(FX[zabrze_FX_Escore],FX[Category]="senior"),_xlfn._xlws.FILTER(FX[cracow_FX_Escore],FX[Category]="senior"),_xlfn._xlws.FILTER(FX[gdansk_FX_Escore],FX[Category]="senior"))</f>
        <v>9</v>
      </c>
      <c r="D57" s="2" t="str" cm="1">
        <f t="array" ref="D57">_xlfn.XLOOKUP(C57,_xlfn._xlws.FILTER(FX[bydgoszcz_FX_Escore],FX[Category]="senior"),_xlfn._xlws.FILTER(FX[Name],FX[Category]="senior"),_xlfn.XLOOKUP(C57,_xlfn._xlws.FILTER(FX[zabrze_FX_Escore],FX[Category]="senior"),_xlfn._xlws.FILTER(FX[Name],FX[Category]="senior"),_xlfn.XLOOKUP(C57,_xlfn._xlws.FILTER(FX[cracow_FX_Escore],FX[Category]="senior"),_xlfn._xlws.FILTER(FX[Name],FX[Category]="senior"),_xlfn.XLOOKUP(C57,_xlfn._xlws.FILTER(FX[gdansk_FX_Escore],FX[Category]="senior"),_xlfn._xlws.FILTER(FX[Name],FX[Category]="senior")))))</f>
        <v>BRACKI Borys</v>
      </c>
    </row>
    <row r="58" spans="1:4" x14ac:dyDescent="0.25">
      <c r="A58" s="2"/>
      <c r="B58" s="7"/>
      <c r="C58" s="7"/>
      <c r="D58" s="2"/>
    </row>
    <row r="59" spans="1:4" x14ac:dyDescent="0.25">
      <c r="A59" s="2" t="s">
        <v>246</v>
      </c>
      <c r="B59" s="2" t="s">
        <v>259</v>
      </c>
      <c r="C59" s="7" t="s">
        <v>262</v>
      </c>
      <c r="D59" s="2" t="s">
        <v>255</v>
      </c>
    </row>
    <row r="60" spans="1:4" x14ac:dyDescent="0.25">
      <c r="A60" s="7" cm="1">
        <f t="array" ref="A60">SUM(_xlfn._xlws.FILTER(FX[bydgoszcz_FX_Total_Score],FX[Category]="junior"),_xlfn._xlws.FILTER(FX[zabrze_FX_Total_Score],FX[Category]="junior"),_xlfn._xlws.FILTER(FX[cracow_FX_Total_Score],FX[Category]="junior"),_xlfn._xlws.FILTER(FX[gdansk_FX_Total_Score],FX[Category]="junior"))/(COUNTIFS(FX[bydgoszcz_FX_Total_Score],"&gt;0",FX[Category],"junior")+COUNTIFS(FX[zabrze_FX_Total_Score],"&gt;0",FX[Category],"junior")+COUNTIFS(FX[cracow_FX_Total_Score],"&gt;0",FX[Category],"junior")+COUNTIFS(FX[gdansk_FX_Total_Score],"&gt;0",FX[Category],"junior"))</f>
        <v>11.416346153846153</v>
      </c>
      <c r="B60" s="7" cm="1">
        <f t="array" ref="B60">_xlfn.STDEV.S(_xlfn._xlws.FILTER(FX[bydgoszcz_FX_Total_Score],(FX[Category]="junior")*(FX[bydgoszcz_FX_Total_Score])&gt;0),_xlfn._xlws.FILTER(FX[zabrze_FX_Total_Score],(FX[Category]="junior")*(FX[zabrze_FX_Total_Score])&gt;0),_xlfn._xlws.FILTER(FX[cracow_FX_Total_Score],(FX[Category]="junior")*(FX[cracow_FX_Total_Score])&gt;0),_xlfn._xlws.FILTER(FX[gdansk_FX_Total_Score],(FX[Category]="junior")*(FX[gdansk_FX_Total_Score])&gt;0))</f>
        <v>0.81015135077427824</v>
      </c>
      <c r="C60" s="7" cm="1">
        <f t="array" ref="C60">MAX(_xlfn._xlws.FILTER(FX[bydgoszcz_FX_Total_Score],FX[Category]="junior"),_xlfn._xlws.FILTER(FX[zabrze_FX_Total_Score],FX[Category]="junior"),_xlfn._xlws.FILTER(FX[cracow_FX_Total_Score],FX[Category]="junior"),_xlfn._xlws.FILTER(FX[gdansk_FX_Total_Score],FX[Category]="junior"))</f>
        <v>12.95</v>
      </c>
      <c r="D60" s="2" t="str" cm="1">
        <f t="array" ref="D60">_xlfn.XLOOKUP(C60,_xlfn._xlws.FILTER(FX[bydgoszcz_FX_Total_Score],FX[Category]="junior"),_xlfn._xlws.FILTER(FX[Name],FX[Category]="junior"),_xlfn.XLOOKUP(C60,_xlfn._xlws.FILTER(FX[zabrze_FX_Total_Score],FX[Category]="junior"),_xlfn._xlws.FILTER(FX[Name],FX[Category]="junior"),_xlfn.XLOOKUP(C60,_xlfn._xlws.FILTER(FX[cracow_FX_Total_Score],FX[Category]="junior"),_xlfn._xlws.FILTER(FX[Name],FX[Category]="junior"),_xlfn.XLOOKUP(C60,_xlfn._xlws.FILTER(FX[gdansk_FX_Total_Score],FX[Category]="junior"),_xlfn._xlws.FILTER(FX[Name],FX[Category]="junior")))))</f>
        <v>CZARNECKI Aleksander</v>
      </c>
    </row>
    <row r="61" spans="1:4" x14ac:dyDescent="0.25">
      <c r="A61" s="7" cm="1">
        <f t="array" ref="A61">SUM(_xlfn._xlws.FILTER(FX[bydgoszcz_FX_Total_Score],FX[Category]="senior"),_xlfn._xlws.FILTER(FX[zabrze_FX_Total_Score],FX[Category]="senior"),_xlfn._xlws.FILTER(FX[cracow_FX_Total_Score],FX[Category]="senior"),_xlfn._xlws.FILTER(FX[gdansk_FX_Total_Score],FX[Category]="senior"))/(COUNTIFS(FX[bydgoszcz_FX_Total_Score],"&gt;0",FX[Category],"senior")+COUNTIFS(FX[zabrze_FX_Total_Score],"&gt;0",FX[Category],"senior")+COUNTIFS(FX[cracow_FX_Total_Score],"&gt;0",FX[Category],"senior")+COUNTIFS(FX[gdansk_FX_Total_Score],"&gt;0",FX[Category],"senior"))</f>
        <v>11.812096774193547</v>
      </c>
      <c r="B61" s="7" cm="1">
        <f t="array" ref="B61">_xlfn.STDEV.S(_xlfn._xlws.FILTER(FX[bydgoszcz_FX_Total_Score],(FX[Category]="senior")*(FX[bydgoszcz_FX_Total_Score])&gt;0),_xlfn._xlws.FILTER(FX[zabrze_FX_Total_Score],(FX[Category]="senior")*(FX[zabrze_FX_Total_Score])&gt;0),_xlfn._xlws.FILTER(FX[cracow_FX_Total_Score],(FX[Category]="senior")*(FX[cracow_FX_Total_Score])&gt;0),_xlfn._xlws.FILTER(FX[gdansk_FX_Total_Score],(FX[Category]="senior")*(FX[gdansk_FX_Total_Score])&gt;0))</f>
        <v>1.0005607232812159</v>
      </c>
      <c r="C61" s="7" cm="1">
        <f t="array" ref="C61">MAX(_xlfn._xlws.FILTER(FX[bydgoszcz_FX_Total_Score],FX[Category]="senior"),_xlfn._xlws.FILTER(FX[zabrze_FX_Total_Score],FX[Category]="senior"),_xlfn._xlws.FILTER(FX[cracow_FX_Total_Score],FX[Category]="senior"),_xlfn._xlws.FILTER(FX[gdansk_FX_Total_Score],FX[Category]="senior"))</f>
        <v>13.65</v>
      </c>
      <c r="D61" s="2" t="str" cm="1">
        <f t="array" ref="D61">_xlfn.XLOOKUP(C61,_xlfn._xlws.FILTER(FX[bydgoszcz_FX_Total_Score],FX[Category]="senior"),_xlfn._xlws.FILTER(FX[Name],FX[Category]="senior"),_xlfn.XLOOKUP(C61,_xlfn._xlws.FILTER(FX[zabrze_FX_Total_Score],FX[Category]="senior"),_xlfn._xlws.FILTER(FX[Name],FX[Category]="senior"),_xlfn.XLOOKUP(C61,_xlfn._xlws.FILTER(FX[cracow_FX_Total_Score],FX[Category]="senior"),_xlfn._xlws.FILTER(FX[Name],FX[Category]="senior"),_xlfn.XLOOKUP(C61,_xlfn._xlws.FILTER(FX[gdansk_FX_Total_Score],FX[Category]="senior"),_xlfn._xlws.FILTER(FX[Name],FX[Category]="senior")))))</f>
        <v>GAWROŃSKI Sebastian</v>
      </c>
    </row>
  </sheetData>
  <conditionalFormatting sqref="F2:W47">
    <cfRule type="cellIs" dxfId="6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A210-7223-194C-8078-5CFFCA13D484}">
  <sheetPr>
    <tabColor theme="5" tint="0.39997558519241921"/>
  </sheetPr>
  <dimension ref="A1:W57"/>
  <sheetViews>
    <sheetView zoomScale="75" zoomScaleNormal="75" workbookViewId="0">
      <selection activeCell="Q9" sqref="Q9"/>
    </sheetView>
  </sheetViews>
  <sheetFormatPr defaultColWidth="11" defaultRowHeight="15.75" x14ac:dyDescent="0.25"/>
  <cols>
    <col min="1" max="1" width="21.125" bestFit="1" customWidth="1"/>
    <col min="2" max="2" width="18.5" style="2" bestFit="1" customWidth="1"/>
    <col min="3" max="3" width="20" style="2" bestFit="1" customWidth="1"/>
    <col min="4" max="4" width="22" customWidth="1"/>
    <col min="5" max="5" width="8" style="3" customWidth="1"/>
    <col min="6" max="6" width="8" style="5" customWidth="1"/>
    <col min="7" max="8" width="8" style="8" customWidth="1"/>
    <col min="9" max="9" width="8" style="5" customWidth="1"/>
    <col min="10" max="11" width="8" style="8" customWidth="1"/>
    <col min="12" max="12" width="8" style="5" customWidth="1"/>
    <col min="13" max="14" width="8" style="8" customWidth="1"/>
    <col min="15" max="15" width="8" style="5" customWidth="1"/>
    <col min="16" max="16" width="8" style="8" customWidth="1"/>
    <col min="17" max="17" width="10.375" style="8" customWidth="1"/>
    <col min="18" max="23" width="8" style="3" customWidth="1"/>
  </cols>
  <sheetData>
    <row r="1" spans="1:23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228</v>
      </c>
      <c r="F1" s="2" t="s">
        <v>157</v>
      </c>
      <c r="G1" s="2" t="s">
        <v>158</v>
      </c>
      <c r="H1" s="2" t="s">
        <v>159</v>
      </c>
      <c r="I1" s="2" t="s">
        <v>160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  <c r="O1" s="2" t="s">
        <v>166</v>
      </c>
      <c r="P1" s="2" t="s">
        <v>167</v>
      </c>
      <c r="Q1" s="2" t="s">
        <v>168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25</v>
      </c>
      <c r="B2" s="2" t="s">
        <v>26</v>
      </c>
      <c r="C2" s="2" t="s">
        <v>27</v>
      </c>
      <c r="D2" t="s">
        <v>28</v>
      </c>
      <c r="E2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2" s="5">
        <v>3.8</v>
      </c>
      <c r="G2" s="8">
        <v>8.9499999999999993</v>
      </c>
      <c r="H2" s="8">
        <v>12.75</v>
      </c>
      <c r="I2" s="5">
        <v>3.8</v>
      </c>
      <c r="J2" s="8">
        <v>8.9</v>
      </c>
      <c r="K2" s="8">
        <v>12.7</v>
      </c>
      <c r="L2" s="5">
        <v>3.8</v>
      </c>
      <c r="M2" s="8">
        <v>8.5500000000000007</v>
      </c>
      <c r="N2" s="8">
        <v>12.35</v>
      </c>
      <c r="O2" s="5">
        <v>3.7</v>
      </c>
      <c r="P2" s="8">
        <v>8.8000000000000007</v>
      </c>
      <c r="Q2" s="8">
        <v>12.5</v>
      </c>
      <c r="R2" s="5">
        <f>LARGE(CHOOSE({1;2;3;4},F2,I2,L2,O2),1)+LARGE(CHOOSE({1;2;3;4},F2,I2,L2,O2),2)+LARGE(CHOOSE({1;2;3;4},F2,I2,L2,O2),3)</f>
        <v>11.399999999999999</v>
      </c>
      <c r="S2" s="8">
        <f>LARGE(CHOOSE({1;2;3;4},G2,J2,M2,P2),1)+LARGE(CHOOSE({1;2;3;4},G2,J2,M2,P2),2)+LARGE(CHOOSE({1;2;3;4},G2,J2,M2,P2),3)</f>
        <v>26.650000000000002</v>
      </c>
      <c r="T2" s="8">
        <f>LARGE(CHOOSE({1;2;3;4},H2,K2,N2,Q2),1)+LARGE(CHOOSE({1;2;3;4},H2,K2,N2,Q2),2)+LARGE(CHOOSE({1;2;3;4},H2,K2,N2,Q2),3)</f>
        <v>37.950000000000003</v>
      </c>
      <c r="U2" s="5" cm="1">
        <f t="array" ref="U2">IF(PH[[#This Row],[Number_of_Competition]:[Number_of_Competition]]&gt;=3,(LARGE(CHOOSE({1;2;3;4},F2,I2,L2,O2),1)+LARGE(CHOOSE({1;2;3;4},F2,I2,L2,O2),2)+LARGE(CHOOSE({1;2;3;4},F2,I2,L2,O2),3))/3,0)</f>
        <v>3.7999999999999994</v>
      </c>
      <c r="V2" s="8" cm="1">
        <f t="array" ref="V2">IF(PH[[#This Row],[Number_of_Competition]:[Number_of_Competition]]&gt;=3,(LARGE(CHOOSE({1;2;3;4},G2,J2,M2,P2),1)+LARGE(CHOOSE({1;2;3;4},G2,J2,M2,P2),2)+LARGE(CHOOSE({1;2;3;4},G2,J2,M2,P2),3))/3,0)</f>
        <v>8.8833333333333346</v>
      </c>
      <c r="W2" s="8" cm="1">
        <f t="array" ref="W2">IF(PH[[#This Row],[Number_of_Competition]:[Number_of_Competition]]&gt;=3,(LARGE(CHOOSE({1;2;3;4},H2,K2,N2,Q2),1)+LARGE(CHOOSE({1;2;3;4},H2,K2,N2,Q2),2)+LARGE(CHOOSE({1;2;3;4},H2,K2,N2,Q2),3))/3,0)</f>
        <v>12.65</v>
      </c>
    </row>
    <row r="3" spans="1:23" x14ac:dyDescent="0.25">
      <c r="A3" t="s">
        <v>92</v>
      </c>
      <c r="B3" s="2" t="s">
        <v>60</v>
      </c>
      <c r="C3" s="2" t="s">
        <v>93</v>
      </c>
      <c r="D3" t="s">
        <v>39</v>
      </c>
      <c r="E3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3" s="5">
        <v>4</v>
      </c>
      <c r="G3" s="8">
        <v>8.65</v>
      </c>
      <c r="H3" s="8">
        <v>12.65</v>
      </c>
      <c r="I3" s="5">
        <v>3.7</v>
      </c>
      <c r="J3" s="8">
        <v>8.6</v>
      </c>
      <c r="K3" s="8">
        <v>12.3</v>
      </c>
      <c r="L3" s="5">
        <v>3.7</v>
      </c>
      <c r="M3" s="8">
        <v>8.85</v>
      </c>
      <c r="N3" s="8">
        <v>12.55</v>
      </c>
      <c r="O3" s="5">
        <v>0</v>
      </c>
      <c r="P3" s="8">
        <v>0</v>
      </c>
      <c r="Q3" s="8">
        <v>0</v>
      </c>
      <c r="R3" s="5">
        <f>LARGE(CHOOSE({1;2;3;4},F3,I3,L3,O3),1)+LARGE(CHOOSE({1;2;3;4},F3,I3,L3,O3),2)+LARGE(CHOOSE({1;2;3;4},F3,I3,L3,O3),3)</f>
        <v>11.4</v>
      </c>
      <c r="S3" s="8">
        <f>LARGE(CHOOSE({1;2;3;4},G3,J3,M3,P3),1)+LARGE(CHOOSE({1;2;3;4},G3,J3,M3,P3),2)+LARGE(CHOOSE({1;2;3;4},G3,J3,M3,P3),3)</f>
        <v>26.1</v>
      </c>
      <c r="T3" s="8">
        <f>LARGE(CHOOSE({1;2;3;4},H3,K3,N3,Q3),1)+LARGE(CHOOSE({1;2;3;4},H3,K3,N3,Q3),2)+LARGE(CHOOSE({1;2;3;4},H3,K3,N3,Q3),3)</f>
        <v>37.5</v>
      </c>
      <c r="U3" s="5" cm="1">
        <f t="array" ref="U3">IF(PH[[#This Row],[Number_of_Competition]:[Number_of_Competition]]&gt;=3,(LARGE(CHOOSE({1;2;3;4},F3,I3,L3,O3),1)+LARGE(CHOOSE({1;2;3;4},F3,I3,L3,O3),2)+LARGE(CHOOSE({1;2;3;4},F3,I3,L3,O3),3))/3,0)</f>
        <v>3.8000000000000003</v>
      </c>
      <c r="V3" s="8" cm="1">
        <f t="array" ref="V3">IF(PH[[#This Row],[Number_of_Competition]:[Number_of_Competition]]&gt;=3,(LARGE(CHOOSE({1;2;3;4},G3,J3,M3,P3),1)+LARGE(CHOOSE({1;2;3;4},G3,J3,M3,P3),2)+LARGE(CHOOSE({1;2;3;4},G3,J3,M3,P3),3))/3,0)</f>
        <v>8.7000000000000011</v>
      </c>
      <c r="W3" s="8" cm="1">
        <f t="array" ref="W3">IF(PH[[#This Row],[Number_of_Competition]:[Number_of_Competition]]&gt;=3,(LARGE(CHOOSE({1;2;3;4},H3,K3,N3,Q3),1)+LARGE(CHOOSE({1;2;3;4},H3,K3,N3,Q3),2)+LARGE(CHOOSE({1;2;3;4},H3,K3,N3,Q3),3))/3,0)</f>
        <v>12.5</v>
      </c>
    </row>
    <row r="4" spans="1:23" x14ac:dyDescent="0.25">
      <c r="A4" t="s">
        <v>37</v>
      </c>
      <c r="B4" s="2" t="s">
        <v>26</v>
      </c>
      <c r="C4" s="2" t="s">
        <v>38</v>
      </c>
      <c r="D4" t="s">
        <v>39</v>
      </c>
      <c r="E4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4" s="5">
        <v>4.4000000000000004</v>
      </c>
      <c r="G4" s="8">
        <v>7.85</v>
      </c>
      <c r="H4" s="8">
        <v>12.25</v>
      </c>
      <c r="I4" s="5">
        <v>4.3</v>
      </c>
      <c r="J4" s="8">
        <v>7.9</v>
      </c>
      <c r="K4" s="8">
        <v>12.2</v>
      </c>
      <c r="L4" s="5">
        <v>3.6</v>
      </c>
      <c r="M4" s="8">
        <v>7.45</v>
      </c>
      <c r="N4" s="8">
        <v>11.05</v>
      </c>
      <c r="O4" s="5">
        <v>3.9</v>
      </c>
      <c r="P4" s="8">
        <v>8.1999999999999993</v>
      </c>
      <c r="Q4" s="8">
        <v>12.1</v>
      </c>
      <c r="R4" s="5">
        <f>LARGE(CHOOSE({1;2;3;4},F4,I4,L4,O4),1)+LARGE(CHOOSE({1;2;3;4},F4,I4,L4,O4),2)+LARGE(CHOOSE({1;2;3;4},F4,I4,L4,O4),3)</f>
        <v>12.6</v>
      </c>
      <c r="S4" s="8">
        <f>LARGE(CHOOSE({1;2;3;4},G4,J4,M4,P4),1)+LARGE(CHOOSE({1;2;3;4},G4,J4,M4,P4),2)+LARGE(CHOOSE({1;2;3;4},G4,J4,M4,P4),3)</f>
        <v>23.950000000000003</v>
      </c>
      <c r="T4" s="8">
        <f>LARGE(CHOOSE({1;2;3;4},H4,K4,N4,Q4),1)+LARGE(CHOOSE({1;2;3;4},H4,K4,N4,Q4),2)+LARGE(CHOOSE({1;2;3;4},H4,K4,N4,Q4),3)</f>
        <v>36.549999999999997</v>
      </c>
      <c r="U4" s="5" cm="1">
        <f t="array" ref="U4">IF(PH[[#This Row],[Number_of_Competition]:[Number_of_Competition]]&gt;=3,(LARGE(CHOOSE({1;2;3;4},F4,I4,L4,O4),1)+LARGE(CHOOSE({1;2;3;4},F4,I4,L4,O4),2)+LARGE(CHOOSE({1;2;3;4},F4,I4,L4,O4),3))/3,0)</f>
        <v>4.2</v>
      </c>
      <c r="V4" s="8" cm="1">
        <f t="array" ref="V4">IF(PH[[#This Row],[Number_of_Competition]:[Number_of_Competition]]&gt;=3,(LARGE(CHOOSE({1;2;3;4},G4,J4,M4,P4),1)+LARGE(CHOOSE({1;2;3;4},G4,J4,M4,P4),2)+LARGE(CHOOSE({1;2;3;4},G4,J4,M4,P4),3))/3,0)</f>
        <v>7.9833333333333343</v>
      </c>
      <c r="W4" s="8" cm="1">
        <f t="array" ref="W4">IF(PH[[#This Row],[Number_of_Competition]:[Number_of_Competition]]&gt;=3,(LARGE(CHOOSE({1;2;3;4},H4,K4,N4,Q4),1)+LARGE(CHOOSE({1;2;3;4},H4,K4,N4,Q4),2)+LARGE(CHOOSE({1;2;3;4},H4,K4,N4,Q4),3))/3,0)</f>
        <v>12.183333333333332</v>
      </c>
    </row>
    <row r="5" spans="1:23" x14ac:dyDescent="0.25">
      <c r="A5" t="s">
        <v>59</v>
      </c>
      <c r="B5" s="2" t="s">
        <v>60</v>
      </c>
      <c r="C5" s="2" t="s">
        <v>61</v>
      </c>
      <c r="D5" t="s">
        <v>62</v>
      </c>
      <c r="E5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5" s="5">
        <v>0</v>
      </c>
      <c r="G5" s="8">
        <v>0</v>
      </c>
      <c r="H5" s="8">
        <v>0</v>
      </c>
      <c r="I5" s="5">
        <v>4.9000000000000004</v>
      </c>
      <c r="J5" s="8">
        <v>7.4</v>
      </c>
      <c r="K5" s="8">
        <v>12.3</v>
      </c>
      <c r="L5" s="5">
        <v>5.2</v>
      </c>
      <c r="M5" s="8">
        <v>7.7</v>
      </c>
      <c r="N5" s="8">
        <v>12.9</v>
      </c>
      <c r="O5" s="5">
        <v>4.9000000000000004</v>
      </c>
      <c r="P5" s="8">
        <v>6</v>
      </c>
      <c r="Q5" s="8">
        <v>10.9</v>
      </c>
      <c r="R5" s="5">
        <f>LARGE(CHOOSE({1;2;3;4},F5,I5,L5,O5),1)+LARGE(CHOOSE({1;2;3;4},F5,I5,L5,O5),2)+LARGE(CHOOSE({1;2;3;4},F5,I5,L5,O5),3)</f>
        <v>15.000000000000002</v>
      </c>
      <c r="S5" s="8">
        <f>LARGE(CHOOSE({1;2;3;4},G5,J5,M5,P5),1)+LARGE(CHOOSE({1;2;3;4},G5,J5,M5,P5),2)+LARGE(CHOOSE({1;2;3;4},G5,J5,M5,P5),3)</f>
        <v>21.1</v>
      </c>
      <c r="T5" s="8">
        <f>LARGE(CHOOSE({1;2;3;4},H5,K5,N5,Q5),1)+LARGE(CHOOSE({1;2;3;4},H5,K5,N5,Q5),2)+LARGE(CHOOSE({1;2;3;4},H5,K5,N5,Q5),3)</f>
        <v>36.1</v>
      </c>
      <c r="U5" s="5" cm="1">
        <f t="array" ref="U5">IF(PH[[#This Row],[Number_of_Competition]:[Number_of_Competition]]&gt;=3,(LARGE(CHOOSE({1;2;3;4},F5,I5,L5,O5),1)+LARGE(CHOOSE({1;2;3;4},F5,I5,L5,O5),2)+LARGE(CHOOSE({1;2;3;4},F5,I5,L5,O5),3))/3,0)</f>
        <v>5.0000000000000009</v>
      </c>
      <c r="V5" s="8" cm="1">
        <f t="array" ref="V5">IF(PH[[#This Row],[Number_of_Competition]:[Number_of_Competition]]&gt;=3,(LARGE(CHOOSE({1;2;3;4},G5,J5,M5,P5),1)+LARGE(CHOOSE({1;2;3;4},G5,J5,M5,P5),2)+LARGE(CHOOSE({1;2;3;4},G5,J5,M5,P5),3))/3,0)</f>
        <v>7.0333333333333341</v>
      </c>
      <c r="W5" s="8" cm="1">
        <f t="array" ref="W5">IF(PH[[#This Row],[Number_of_Competition]:[Number_of_Competition]]&gt;=3,(LARGE(CHOOSE({1;2;3;4},H5,K5,N5,Q5),1)+LARGE(CHOOSE({1;2;3;4},H5,K5,N5,Q5),2)+LARGE(CHOOSE({1;2;3;4},H5,K5,N5,Q5),3))/3,0)</f>
        <v>12.033333333333333</v>
      </c>
    </row>
    <row r="6" spans="1:23" x14ac:dyDescent="0.25">
      <c r="A6" t="s">
        <v>86</v>
      </c>
      <c r="B6" s="2" t="s">
        <v>60</v>
      </c>
      <c r="C6" s="2" t="s">
        <v>87</v>
      </c>
      <c r="D6" t="s">
        <v>72</v>
      </c>
      <c r="E6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6" s="5">
        <v>3.8</v>
      </c>
      <c r="G6" s="8">
        <v>7.1</v>
      </c>
      <c r="H6" s="8">
        <v>10.9</v>
      </c>
      <c r="I6" s="5">
        <v>4</v>
      </c>
      <c r="J6" s="8">
        <v>7.8</v>
      </c>
      <c r="K6" s="8">
        <v>11.8</v>
      </c>
      <c r="L6" s="5">
        <v>4.2</v>
      </c>
      <c r="M6" s="8">
        <v>8</v>
      </c>
      <c r="N6" s="8">
        <v>12.2</v>
      </c>
      <c r="O6" s="5">
        <v>3.8</v>
      </c>
      <c r="P6" s="8">
        <v>7.6</v>
      </c>
      <c r="Q6" s="8">
        <v>11.4</v>
      </c>
      <c r="R6" s="5">
        <f>LARGE(CHOOSE({1;2;3;4},F6,I6,L6,O6),1)+LARGE(CHOOSE({1;2;3;4},F6,I6,L6,O6),2)+LARGE(CHOOSE({1;2;3;4},F6,I6,L6,O6),3)</f>
        <v>12</v>
      </c>
      <c r="S6" s="8">
        <f>LARGE(CHOOSE({1;2;3;4},G6,J6,M6,P6),1)+LARGE(CHOOSE({1;2;3;4},G6,J6,M6,P6),2)+LARGE(CHOOSE({1;2;3;4},G6,J6,M6,P6),3)</f>
        <v>23.4</v>
      </c>
      <c r="T6" s="8">
        <f>LARGE(CHOOSE({1;2;3;4},H6,K6,N6,Q6),1)+LARGE(CHOOSE({1;2;3;4},H6,K6,N6,Q6),2)+LARGE(CHOOSE({1;2;3;4},H6,K6,N6,Q6),3)</f>
        <v>35.4</v>
      </c>
      <c r="U6" s="5" cm="1">
        <f t="array" ref="U6">IF(PH[[#This Row],[Number_of_Competition]:[Number_of_Competition]]&gt;=3,(LARGE(CHOOSE({1;2;3;4},F6,I6,L6,O6),1)+LARGE(CHOOSE({1;2;3;4},F6,I6,L6,O6),2)+LARGE(CHOOSE({1;2;3;4},F6,I6,L6,O6),3))/3,0)</f>
        <v>4</v>
      </c>
      <c r="V6" s="8" cm="1">
        <f t="array" ref="V6">IF(PH[[#This Row],[Number_of_Competition]:[Number_of_Competition]]&gt;=3,(LARGE(CHOOSE({1;2;3;4},G6,J6,M6,P6),1)+LARGE(CHOOSE({1;2;3;4},G6,J6,M6,P6),2)+LARGE(CHOOSE({1;2;3;4},G6,J6,M6,P6),3))/3,0)</f>
        <v>7.8</v>
      </c>
      <c r="W6" s="8" cm="1">
        <f t="array" ref="W6">IF(PH[[#This Row],[Number_of_Competition]:[Number_of_Competition]]&gt;=3,(LARGE(CHOOSE({1;2;3;4},H6,K6,N6,Q6),1)+LARGE(CHOOSE({1;2;3;4},H6,K6,N6,Q6),2)+LARGE(CHOOSE({1;2;3;4},H6,K6,N6,Q6),3))/3,0)</f>
        <v>11.799999999999999</v>
      </c>
    </row>
    <row r="7" spans="1:23" x14ac:dyDescent="0.25">
      <c r="A7" t="s">
        <v>34</v>
      </c>
      <c r="B7" s="2" t="s">
        <v>26</v>
      </c>
      <c r="C7" s="2" t="s">
        <v>35</v>
      </c>
      <c r="D7" t="s">
        <v>36</v>
      </c>
      <c r="E7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7" s="5">
        <v>4.4000000000000004</v>
      </c>
      <c r="G7" s="8">
        <v>7</v>
      </c>
      <c r="H7" s="8">
        <v>11.4</v>
      </c>
      <c r="I7" s="5">
        <v>3.9</v>
      </c>
      <c r="J7" s="8">
        <v>7</v>
      </c>
      <c r="K7" s="8">
        <v>10.9</v>
      </c>
      <c r="L7" s="5">
        <v>3.6</v>
      </c>
      <c r="M7" s="8">
        <v>8.4</v>
      </c>
      <c r="N7" s="8">
        <v>12</v>
      </c>
      <c r="O7" s="5">
        <v>3.6</v>
      </c>
      <c r="P7" s="8">
        <v>8.3000000000000007</v>
      </c>
      <c r="Q7" s="8">
        <v>11.9</v>
      </c>
      <c r="R7" s="5">
        <f>LARGE(CHOOSE({1;2;3;4},F7,I7,L7,O7),1)+LARGE(CHOOSE({1;2;3;4},F7,I7,L7,O7),2)+LARGE(CHOOSE({1;2;3;4},F7,I7,L7,O7),3)</f>
        <v>11.9</v>
      </c>
      <c r="S7" s="8">
        <f>LARGE(CHOOSE({1;2;3;4},G7,J7,M7,P7),1)+LARGE(CHOOSE({1;2;3;4},G7,J7,M7,P7),2)+LARGE(CHOOSE({1;2;3;4},G7,J7,M7,P7),3)</f>
        <v>23.700000000000003</v>
      </c>
      <c r="T7" s="8">
        <f>LARGE(CHOOSE({1;2;3;4},H7,K7,N7,Q7),1)+LARGE(CHOOSE({1;2;3;4},H7,K7,N7,Q7),2)+LARGE(CHOOSE({1;2;3;4},H7,K7,N7,Q7),3)</f>
        <v>35.299999999999997</v>
      </c>
      <c r="U7" s="5" cm="1">
        <f t="array" ref="U7">IF(PH[[#This Row],[Number_of_Competition]:[Number_of_Competition]]&gt;=3,(LARGE(CHOOSE({1;2;3;4},F7,I7,L7,O7),1)+LARGE(CHOOSE({1;2;3;4},F7,I7,L7,O7),2)+LARGE(CHOOSE({1;2;3;4},F7,I7,L7,O7),3))/3,0)</f>
        <v>3.9666666666666668</v>
      </c>
      <c r="V7" s="8" cm="1">
        <f t="array" ref="V7">IF(PH[[#This Row],[Number_of_Competition]:[Number_of_Competition]]&gt;=3,(LARGE(CHOOSE({1;2;3;4},G7,J7,M7,P7),1)+LARGE(CHOOSE({1;2;3;4},G7,J7,M7,P7),2)+LARGE(CHOOSE({1;2;3;4},G7,J7,M7,P7),3))/3,0)</f>
        <v>7.9000000000000012</v>
      </c>
      <c r="W7" s="8" cm="1">
        <f t="array" ref="W7">IF(PH[[#This Row],[Number_of_Competition]:[Number_of_Competition]]&gt;=3,(LARGE(CHOOSE({1;2;3;4},H7,K7,N7,Q7),1)+LARGE(CHOOSE({1;2;3;4},H7,K7,N7,Q7),2)+LARGE(CHOOSE({1;2;3;4},H7,K7,N7,Q7),3))/3,0)</f>
        <v>11.766666666666666</v>
      </c>
    </row>
    <row r="8" spans="1:23" x14ac:dyDescent="0.25">
      <c r="A8" t="s">
        <v>68</v>
      </c>
      <c r="B8" s="2" t="s">
        <v>60</v>
      </c>
      <c r="C8" s="2" t="s">
        <v>69</v>
      </c>
      <c r="D8" t="s">
        <v>31</v>
      </c>
      <c r="E8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8" s="5">
        <v>0</v>
      </c>
      <c r="G8" s="8">
        <v>0</v>
      </c>
      <c r="H8" s="8">
        <v>0</v>
      </c>
      <c r="I8" s="5">
        <v>3.8</v>
      </c>
      <c r="J8" s="8">
        <v>7.75</v>
      </c>
      <c r="K8" s="8">
        <v>11.55</v>
      </c>
      <c r="L8" s="5">
        <v>3.8</v>
      </c>
      <c r="M8" s="8">
        <v>8</v>
      </c>
      <c r="N8" s="8">
        <v>11.8</v>
      </c>
      <c r="O8" s="5">
        <v>3.2</v>
      </c>
      <c r="P8" s="8">
        <v>7.4</v>
      </c>
      <c r="Q8" s="8">
        <v>10.6</v>
      </c>
      <c r="R8" s="5">
        <f>LARGE(CHOOSE({1;2;3;4},F8,I8,L8,O8),1)+LARGE(CHOOSE({1;2;3;4},F8,I8,L8,O8),2)+LARGE(CHOOSE({1;2;3;4},F8,I8,L8,O8),3)</f>
        <v>10.8</v>
      </c>
      <c r="S8" s="8">
        <f>LARGE(CHOOSE({1;2;3;4},G8,J8,M8,P8),1)+LARGE(CHOOSE({1;2;3;4},G8,J8,M8,P8),2)+LARGE(CHOOSE({1;2;3;4},G8,J8,M8,P8),3)</f>
        <v>23.15</v>
      </c>
      <c r="T8" s="8">
        <f>LARGE(CHOOSE({1;2;3;4},H8,K8,N8,Q8),1)+LARGE(CHOOSE({1;2;3;4},H8,K8,N8,Q8),2)+LARGE(CHOOSE({1;2;3;4},H8,K8,N8,Q8),3)</f>
        <v>33.950000000000003</v>
      </c>
      <c r="U8" s="5" cm="1">
        <f t="array" ref="U8">IF(PH[[#This Row],[Number_of_Competition]:[Number_of_Competition]]&gt;=3,(LARGE(CHOOSE({1;2;3;4},F8,I8,L8,O8),1)+LARGE(CHOOSE({1;2;3;4},F8,I8,L8,O8),2)+LARGE(CHOOSE({1;2;3;4},F8,I8,L8,O8),3))/3,0)</f>
        <v>3.6</v>
      </c>
      <c r="V8" s="8" cm="1">
        <f t="array" ref="V8">IF(PH[[#This Row],[Number_of_Competition]:[Number_of_Competition]]&gt;=3,(LARGE(CHOOSE({1;2;3;4},G8,J8,M8,P8),1)+LARGE(CHOOSE({1;2;3;4},G8,J8,M8,P8),2)+LARGE(CHOOSE({1;2;3;4},G8,J8,M8,P8),3))/3,0)</f>
        <v>7.7166666666666659</v>
      </c>
      <c r="W8" s="8" cm="1">
        <f t="array" ref="W8">IF(PH[[#This Row],[Number_of_Competition]:[Number_of_Competition]]&gt;=3,(LARGE(CHOOSE({1;2;3;4},H8,K8,N8,Q8),1)+LARGE(CHOOSE({1;2;3;4},H8,K8,N8,Q8),2)+LARGE(CHOOSE({1;2;3;4},H8,K8,N8,Q8),3))/3,0)</f>
        <v>11.316666666666668</v>
      </c>
    </row>
    <row r="9" spans="1:23" x14ac:dyDescent="0.25">
      <c r="A9" t="s">
        <v>63</v>
      </c>
      <c r="B9" s="2" t="s">
        <v>60</v>
      </c>
      <c r="C9" s="2" t="s">
        <v>64</v>
      </c>
      <c r="D9" t="s">
        <v>39</v>
      </c>
      <c r="E9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9" s="5">
        <v>4.4000000000000004</v>
      </c>
      <c r="G9" s="8">
        <v>7.1</v>
      </c>
      <c r="H9" s="8">
        <v>11.5</v>
      </c>
      <c r="I9" s="5">
        <v>4.5999999999999996</v>
      </c>
      <c r="J9" s="8">
        <v>6.4</v>
      </c>
      <c r="K9" s="8">
        <v>11</v>
      </c>
      <c r="L9" s="5">
        <v>4.4000000000000004</v>
      </c>
      <c r="M9" s="8">
        <v>7</v>
      </c>
      <c r="N9" s="8">
        <v>11.4</v>
      </c>
      <c r="O9" s="5">
        <v>4.4000000000000004</v>
      </c>
      <c r="P9" s="8">
        <v>5</v>
      </c>
      <c r="Q9" s="8">
        <v>9.4</v>
      </c>
      <c r="R9" s="5">
        <f>LARGE(CHOOSE({1;2;3;4},F9,I9,L9,O9),1)+LARGE(CHOOSE({1;2;3;4},F9,I9,L9,O9),2)+LARGE(CHOOSE({1;2;3;4},F9,I9,L9,O9),3)</f>
        <v>13.4</v>
      </c>
      <c r="S9" s="8">
        <f>LARGE(CHOOSE({1;2;3;4},G9,J9,M9,P9),1)+LARGE(CHOOSE({1;2;3;4},G9,J9,M9,P9),2)+LARGE(CHOOSE({1;2;3;4},G9,J9,M9,P9),3)</f>
        <v>20.5</v>
      </c>
      <c r="T9" s="8">
        <f>LARGE(CHOOSE({1;2;3;4},H9,K9,N9,Q9),1)+LARGE(CHOOSE({1;2;3;4},H9,K9,N9,Q9),2)+LARGE(CHOOSE({1;2;3;4},H9,K9,N9,Q9),3)</f>
        <v>33.9</v>
      </c>
      <c r="U9" s="5" cm="1">
        <f t="array" ref="U9">IF(PH[[#This Row],[Number_of_Competition]:[Number_of_Competition]]&gt;=3,(LARGE(CHOOSE({1;2;3;4},F9,I9,L9,O9),1)+LARGE(CHOOSE({1;2;3;4},F9,I9,L9,O9),2)+LARGE(CHOOSE({1;2;3;4},F9,I9,L9,O9),3))/3,0)</f>
        <v>4.4666666666666668</v>
      </c>
      <c r="V9" s="8" cm="1">
        <f t="array" ref="V9">IF(PH[[#This Row],[Number_of_Competition]:[Number_of_Competition]]&gt;=3,(LARGE(CHOOSE({1;2;3;4},G9,J9,M9,P9),1)+LARGE(CHOOSE({1;2;3;4},G9,J9,M9,P9),2)+LARGE(CHOOSE({1;2;3;4},G9,J9,M9,P9),3))/3,0)</f>
        <v>6.833333333333333</v>
      </c>
      <c r="W9" s="8" cm="1">
        <f t="array" ref="W9">IF(PH[[#This Row],[Number_of_Competition]:[Number_of_Competition]]&gt;=3,(LARGE(CHOOSE({1;2;3;4},H9,K9,N9,Q9),1)+LARGE(CHOOSE({1;2;3;4},H9,K9,N9,Q9),2)+LARGE(CHOOSE({1;2;3;4},H9,K9,N9,Q9),3))/3,0)</f>
        <v>11.299999999999999</v>
      </c>
    </row>
    <row r="10" spans="1:23" x14ac:dyDescent="0.25">
      <c r="A10" t="s">
        <v>32</v>
      </c>
      <c r="B10" s="2" t="s">
        <v>26</v>
      </c>
      <c r="C10" s="2" t="s">
        <v>33</v>
      </c>
      <c r="D10" t="s">
        <v>31</v>
      </c>
      <c r="E10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0" s="5">
        <v>3.6</v>
      </c>
      <c r="G10" s="8">
        <v>7</v>
      </c>
      <c r="H10" s="8">
        <v>10.6</v>
      </c>
      <c r="I10" s="5">
        <v>3.6</v>
      </c>
      <c r="J10" s="8">
        <v>6.2</v>
      </c>
      <c r="K10" s="8">
        <v>9.8000000000000007</v>
      </c>
      <c r="L10" s="5">
        <v>3.4</v>
      </c>
      <c r="M10" s="8">
        <v>7.95</v>
      </c>
      <c r="N10" s="8">
        <v>11.35</v>
      </c>
      <c r="O10" s="5">
        <v>3.6</v>
      </c>
      <c r="P10" s="8">
        <v>8.3000000000000007</v>
      </c>
      <c r="Q10" s="8">
        <v>11.9</v>
      </c>
      <c r="R10" s="5">
        <f>LARGE(CHOOSE({1;2;3;4},F10,I10,L10,O10),1)+LARGE(CHOOSE({1;2;3;4},F10,I10,L10,O10),2)+LARGE(CHOOSE({1;2;3;4},F10,I10,L10,O10),3)</f>
        <v>10.8</v>
      </c>
      <c r="S10" s="8">
        <f>LARGE(CHOOSE({1;2;3;4},G10,J10,M10,P10),1)+LARGE(CHOOSE({1;2;3;4},G10,J10,M10,P10),2)+LARGE(CHOOSE({1;2;3;4},G10,J10,M10,P10),3)</f>
        <v>23.25</v>
      </c>
      <c r="T10" s="8">
        <f>LARGE(CHOOSE({1;2;3;4},H10,K10,N10,Q10),1)+LARGE(CHOOSE({1;2;3;4},H10,K10,N10,Q10),2)+LARGE(CHOOSE({1;2;3;4},H10,K10,N10,Q10),3)</f>
        <v>33.85</v>
      </c>
      <c r="U10" s="5" cm="1">
        <f t="array" ref="U10">IF(PH[[#This Row],[Number_of_Competition]:[Number_of_Competition]]&gt;=3,(LARGE(CHOOSE({1;2;3;4},F10,I10,L10,O10),1)+LARGE(CHOOSE({1;2;3;4},F10,I10,L10,O10),2)+LARGE(CHOOSE({1;2;3;4},F10,I10,L10,O10),3))/3,0)</f>
        <v>3.6</v>
      </c>
      <c r="V10" s="8" cm="1">
        <f t="array" ref="V10">IF(PH[[#This Row],[Number_of_Competition]:[Number_of_Competition]]&gt;=3,(LARGE(CHOOSE({1;2;3;4},G10,J10,M10,P10),1)+LARGE(CHOOSE({1;2;3;4},G10,J10,M10,P10),2)+LARGE(CHOOSE({1;2;3;4},G10,J10,M10,P10),3))/3,0)</f>
        <v>7.75</v>
      </c>
      <c r="W10" s="8" cm="1">
        <f t="array" ref="W10">IF(PH[[#This Row],[Number_of_Competition]:[Number_of_Competition]]&gt;=3,(LARGE(CHOOSE({1;2;3;4},H10,K10,N10,Q10),1)+LARGE(CHOOSE({1;2;3;4},H10,K10,N10,Q10),2)+LARGE(CHOOSE({1;2;3;4},H10,K10,N10,Q10),3))/3,0)</f>
        <v>11.283333333333333</v>
      </c>
    </row>
    <row r="11" spans="1:23" x14ac:dyDescent="0.25">
      <c r="A11" t="s">
        <v>80</v>
      </c>
      <c r="B11" s="2" t="s">
        <v>60</v>
      </c>
      <c r="C11" s="2" t="s">
        <v>81</v>
      </c>
      <c r="D11" t="s">
        <v>62</v>
      </c>
      <c r="E11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1" s="5">
        <v>3.6</v>
      </c>
      <c r="G11" s="8">
        <v>7.55</v>
      </c>
      <c r="H11" s="8">
        <v>11.15</v>
      </c>
      <c r="I11" s="5">
        <v>4.0999999999999996</v>
      </c>
      <c r="J11" s="8">
        <v>6.7</v>
      </c>
      <c r="K11" s="8">
        <v>10.8</v>
      </c>
      <c r="L11" s="5">
        <v>3.6</v>
      </c>
      <c r="M11" s="8">
        <v>8</v>
      </c>
      <c r="N11" s="8">
        <v>11.6</v>
      </c>
      <c r="O11" s="5">
        <v>4.0999999999999996</v>
      </c>
      <c r="P11" s="8">
        <v>6.7</v>
      </c>
      <c r="Q11" s="8">
        <v>10.8</v>
      </c>
      <c r="R11" s="5">
        <f>LARGE(CHOOSE({1;2;3;4},F11,I11,L11,O11),1)+LARGE(CHOOSE({1;2;3;4},F11,I11,L11,O11),2)+LARGE(CHOOSE({1;2;3;4},F11,I11,L11,O11),3)</f>
        <v>11.799999999999999</v>
      </c>
      <c r="S11" s="8">
        <f>LARGE(CHOOSE({1;2;3;4},G11,J11,M11,P11),1)+LARGE(CHOOSE({1;2;3;4},G11,J11,M11,P11),2)+LARGE(CHOOSE({1;2;3;4},G11,J11,M11,P11),3)</f>
        <v>22.25</v>
      </c>
      <c r="T11" s="8">
        <f>LARGE(CHOOSE({1;2;3;4},H11,K11,N11,Q11),1)+LARGE(CHOOSE({1;2;3;4},H11,K11,N11,Q11),2)+LARGE(CHOOSE({1;2;3;4},H11,K11,N11,Q11),3)</f>
        <v>33.549999999999997</v>
      </c>
      <c r="U11" s="5" cm="1">
        <f t="array" ref="U11">IF(PH[[#This Row],[Number_of_Competition]:[Number_of_Competition]]&gt;=3,(LARGE(CHOOSE({1;2;3;4},F11,I11,L11,O11),1)+LARGE(CHOOSE({1;2;3;4},F11,I11,L11,O11),2)+LARGE(CHOOSE({1;2;3;4},F11,I11,L11,O11),3))/3,0)</f>
        <v>3.9333333333333331</v>
      </c>
      <c r="V11" s="8" cm="1">
        <f t="array" ref="V11">IF(PH[[#This Row],[Number_of_Competition]:[Number_of_Competition]]&gt;=3,(LARGE(CHOOSE({1;2;3;4},G11,J11,M11,P11),1)+LARGE(CHOOSE({1;2;3;4},G11,J11,M11,P11),2)+LARGE(CHOOSE({1;2;3;4},G11,J11,M11,P11),3))/3,0)</f>
        <v>7.416666666666667</v>
      </c>
      <c r="W11" s="8" cm="1">
        <f t="array" ref="W11">IF(PH[[#This Row],[Number_of_Competition]:[Number_of_Competition]]&gt;=3,(LARGE(CHOOSE({1;2;3;4},H11,K11,N11,Q11),1)+LARGE(CHOOSE({1;2;3;4},H11,K11,N11,Q11),2)+LARGE(CHOOSE({1;2;3;4},H11,K11,N11,Q11),3))/3,0)</f>
        <v>11.183333333333332</v>
      </c>
    </row>
    <row r="12" spans="1:23" x14ac:dyDescent="0.25">
      <c r="A12" t="s">
        <v>44</v>
      </c>
      <c r="B12" s="2" t="s">
        <v>26</v>
      </c>
      <c r="C12" s="2" t="s">
        <v>45</v>
      </c>
      <c r="D12" t="s">
        <v>39</v>
      </c>
      <c r="E12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2" s="5">
        <v>3</v>
      </c>
      <c r="G12" s="8">
        <v>8.6</v>
      </c>
      <c r="H12" s="8">
        <v>11.6</v>
      </c>
      <c r="I12" s="5">
        <v>3</v>
      </c>
      <c r="J12" s="8">
        <v>7.2</v>
      </c>
      <c r="K12" s="8">
        <v>10.199999999999999</v>
      </c>
      <c r="L12" s="5">
        <v>3</v>
      </c>
      <c r="M12" s="8">
        <v>5.75</v>
      </c>
      <c r="N12" s="8">
        <v>8.75</v>
      </c>
      <c r="O12" s="5">
        <v>2.8</v>
      </c>
      <c r="P12" s="8">
        <v>8.5</v>
      </c>
      <c r="Q12" s="8">
        <v>11.3</v>
      </c>
      <c r="R12" s="5">
        <f>LARGE(CHOOSE({1;2;3;4},F12,I12,L12,O12),1)+LARGE(CHOOSE({1;2;3;4},F12,I12,L12,O12),2)+LARGE(CHOOSE({1;2;3;4},F12,I12,L12,O12),3)</f>
        <v>9</v>
      </c>
      <c r="S12" s="8">
        <f>LARGE(CHOOSE({1;2;3;4},G12,J12,M12,P12),1)+LARGE(CHOOSE({1;2;3;4},G12,J12,M12,P12),2)+LARGE(CHOOSE({1;2;3;4},G12,J12,M12,P12),3)</f>
        <v>24.3</v>
      </c>
      <c r="T12" s="8">
        <f>LARGE(CHOOSE({1;2;3;4},H12,K12,N12,Q12),1)+LARGE(CHOOSE({1;2;3;4},H12,K12,N12,Q12),2)+LARGE(CHOOSE({1;2;3;4},H12,K12,N12,Q12),3)</f>
        <v>33.099999999999994</v>
      </c>
      <c r="U12" s="5" cm="1">
        <f t="array" ref="U12">IF(PH[[#This Row],[Number_of_Competition]:[Number_of_Competition]]&gt;=3,(LARGE(CHOOSE({1;2;3;4},F12,I12,L12,O12),1)+LARGE(CHOOSE({1;2;3;4},F12,I12,L12,O12),2)+LARGE(CHOOSE({1;2;3;4},F12,I12,L12,O12),3))/3,0)</f>
        <v>3</v>
      </c>
      <c r="V12" s="8" cm="1">
        <f t="array" ref="V12">IF(PH[[#This Row],[Number_of_Competition]:[Number_of_Competition]]&gt;=3,(LARGE(CHOOSE({1;2;3;4},G12,J12,M12,P12),1)+LARGE(CHOOSE({1;2;3;4},G12,J12,M12,P12),2)+LARGE(CHOOSE({1;2;3;4},G12,J12,M12,P12),3))/3,0)</f>
        <v>8.1</v>
      </c>
      <c r="W12" s="8" cm="1">
        <f t="array" ref="W12">IF(PH[[#This Row],[Number_of_Competition]:[Number_of_Competition]]&gt;=3,(LARGE(CHOOSE({1;2;3;4},H12,K12,N12,Q12),1)+LARGE(CHOOSE({1;2;3;4},H12,K12,N12,Q12),2)+LARGE(CHOOSE({1;2;3;4},H12,K12,N12,Q12),3))/3,0)</f>
        <v>11.033333333333331</v>
      </c>
    </row>
    <row r="13" spans="1:23" x14ac:dyDescent="0.25">
      <c r="A13" t="s">
        <v>77</v>
      </c>
      <c r="B13" s="2" t="s">
        <v>60</v>
      </c>
      <c r="C13" s="2" t="s">
        <v>78</v>
      </c>
      <c r="D13" t="s">
        <v>79</v>
      </c>
      <c r="E13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3" s="5">
        <v>3.9</v>
      </c>
      <c r="G13" s="8">
        <v>7.8</v>
      </c>
      <c r="H13" s="8">
        <v>11.7</v>
      </c>
      <c r="I13" s="5">
        <v>3.8</v>
      </c>
      <c r="J13" s="8">
        <v>6.2</v>
      </c>
      <c r="K13" s="8">
        <v>10</v>
      </c>
      <c r="L13" s="5">
        <v>3.7</v>
      </c>
      <c r="M13" s="8">
        <v>7</v>
      </c>
      <c r="N13" s="8">
        <v>10.7</v>
      </c>
      <c r="O13" s="5">
        <v>3.1</v>
      </c>
      <c r="P13" s="8">
        <v>7.6</v>
      </c>
      <c r="Q13" s="8">
        <v>10.7</v>
      </c>
      <c r="R13" s="5">
        <f>LARGE(CHOOSE({1;2;3;4},F13,I13,L13,O13),1)+LARGE(CHOOSE({1;2;3;4},F13,I13,L13,O13),2)+LARGE(CHOOSE({1;2;3;4},F13,I13,L13,O13),3)</f>
        <v>11.399999999999999</v>
      </c>
      <c r="S13" s="8">
        <f>LARGE(CHOOSE({1;2;3;4},G13,J13,M13,P13),1)+LARGE(CHOOSE({1;2;3;4},G13,J13,M13,P13),2)+LARGE(CHOOSE({1;2;3;4},G13,J13,M13,P13),3)</f>
        <v>22.4</v>
      </c>
      <c r="T13" s="8">
        <f>LARGE(CHOOSE({1;2;3;4},H13,K13,N13,Q13),1)+LARGE(CHOOSE({1;2;3;4},H13,K13,N13,Q13),2)+LARGE(CHOOSE({1;2;3;4},H13,K13,N13,Q13),3)</f>
        <v>33.099999999999994</v>
      </c>
      <c r="U13" s="5" cm="1">
        <f t="array" ref="U13">IF(PH[[#This Row],[Number_of_Competition]:[Number_of_Competition]]&gt;=3,(LARGE(CHOOSE({1;2;3;4},F13,I13,L13,O13),1)+LARGE(CHOOSE({1;2;3;4},F13,I13,L13,O13),2)+LARGE(CHOOSE({1;2;3;4},F13,I13,L13,O13),3))/3,0)</f>
        <v>3.7999999999999994</v>
      </c>
      <c r="V13" s="8" cm="1">
        <f t="array" ref="V13">IF(PH[[#This Row],[Number_of_Competition]:[Number_of_Competition]]&gt;=3,(LARGE(CHOOSE({1;2;3;4},G13,J13,M13,P13),1)+LARGE(CHOOSE({1;2;3;4},G13,J13,M13,P13),2)+LARGE(CHOOSE({1;2;3;4},G13,J13,M13,P13),3))/3,0)</f>
        <v>7.4666666666666659</v>
      </c>
      <c r="W13" s="8" cm="1">
        <f t="array" ref="W13">IF(PH[[#This Row],[Number_of_Competition]:[Number_of_Competition]]&gt;=3,(LARGE(CHOOSE({1;2;3;4},H13,K13,N13,Q13),1)+LARGE(CHOOSE({1;2;3;4},H13,K13,N13,Q13),2)+LARGE(CHOOSE({1;2;3;4},H13,K13,N13,Q13),3))/3,0)</f>
        <v>11.033333333333331</v>
      </c>
    </row>
    <row r="14" spans="1:23" x14ac:dyDescent="0.25">
      <c r="A14" t="s">
        <v>40</v>
      </c>
      <c r="B14" s="2" t="s">
        <v>26</v>
      </c>
      <c r="C14" s="2" t="s">
        <v>41</v>
      </c>
      <c r="D14" t="s">
        <v>39</v>
      </c>
      <c r="E14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14" s="5">
        <v>0</v>
      </c>
      <c r="G14" s="8">
        <v>0</v>
      </c>
      <c r="H14" s="8">
        <v>0</v>
      </c>
      <c r="I14" s="5">
        <v>2.9</v>
      </c>
      <c r="J14" s="8">
        <v>7.2</v>
      </c>
      <c r="K14" s="8">
        <v>10.1</v>
      </c>
      <c r="L14" s="5">
        <v>2.9</v>
      </c>
      <c r="M14" s="8">
        <v>8.15</v>
      </c>
      <c r="N14" s="8">
        <v>11.05</v>
      </c>
      <c r="O14" s="5">
        <v>2.9</v>
      </c>
      <c r="P14" s="8">
        <v>8.1</v>
      </c>
      <c r="Q14" s="8">
        <v>11</v>
      </c>
      <c r="R14" s="5">
        <f>LARGE(CHOOSE({1;2;3;4},F14,I14,L14,O14),1)+LARGE(CHOOSE({1;2;3;4},F14,I14,L14,O14),2)+LARGE(CHOOSE({1;2;3;4},F14,I14,L14,O14),3)</f>
        <v>8.6999999999999993</v>
      </c>
      <c r="S14" s="8">
        <f>LARGE(CHOOSE({1;2;3;4},G14,J14,M14,P14),1)+LARGE(CHOOSE({1;2;3;4},G14,J14,M14,P14),2)+LARGE(CHOOSE({1;2;3;4},G14,J14,M14,P14),3)</f>
        <v>23.45</v>
      </c>
      <c r="T14" s="8">
        <f>LARGE(CHOOSE({1;2;3;4},H14,K14,N14,Q14),1)+LARGE(CHOOSE({1;2;3;4},H14,K14,N14,Q14),2)+LARGE(CHOOSE({1;2;3;4},H14,K14,N14,Q14),3)</f>
        <v>32.15</v>
      </c>
      <c r="U14" s="5" cm="1">
        <f t="array" ref="U14">IF(PH[[#This Row],[Number_of_Competition]:[Number_of_Competition]]&gt;=3,(LARGE(CHOOSE({1;2;3;4},F14,I14,L14,O14),1)+LARGE(CHOOSE({1;2;3;4},F14,I14,L14,O14),2)+LARGE(CHOOSE({1;2;3;4},F14,I14,L14,O14),3))/3,0)</f>
        <v>2.9</v>
      </c>
      <c r="V14" s="8" cm="1">
        <f t="array" ref="V14">IF(PH[[#This Row],[Number_of_Competition]:[Number_of_Competition]]&gt;=3,(LARGE(CHOOSE({1;2;3;4},G14,J14,M14,P14),1)+LARGE(CHOOSE({1;2;3;4},G14,J14,M14,P14),2)+LARGE(CHOOSE({1;2;3;4},G14,J14,M14,P14),3))/3,0)</f>
        <v>7.8166666666666664</v>
      </c>
      <c r="W14" s="8" cm="1">
        <f t="array" ref="W14">IF(PH[[#This Row],[Number_of_Competition]:[Number_of_Competition]]&gt;=3,(LARGE(CHOOSE({1;2;3;4},H14,K14,N14,Q14),1)+LARGE(CHOOSE({1;2;3;4},H14,K14,N14,Q14),2)+LARGE(CHOOSE({1;2;3;4},H14,K14,N14,Q14),3))/3,0)</f>
        <v>10.716666666666667</v>
      </c>
    </row>
    <row r="15" spans="1:23" x14ac:dyDescent="0.25">
      <c r="A15" t="s">
        <v>29</v>
      </c>
      <c r="B15" s="2" t="s">
        <v>26</v>
      </c>
      <c r="C15" s="2" t="s">
        <v>30</v>
      </c>
      <c r="D15" t="s">
        <v>31</v>
      </c>
      <c r="E15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15" s="5">
        <v>3.3</v>
      </c>
      <c r="G15" s="8">
        <v>6.65</v>
      </c>
      <c r="H15" s="8">
        <v>9.9499999999999993</v>
      </c>
      <c r="I15" s="5">
        <v>3.6</v>
      </c>
      <c r="J15" s="8">
        <v>8.35</v>
      </c>
      <c r="K15" s="8">
        <v>11.95</v>
      </c>
      <c r="L15" s="5">
        <v>0</v>
      </c>
      <c r="M15" s="8">
        <v>0</v>
      </c>
      <c r="N15" s="8">
        <v>0</v>
      </c>
      <c r="O15" s="5">
        <v>3.6</v>
      </c>
      <c r="P15" s="8">
        <v>6.3</v>
      </c>
      <c r="Q15" s="8">
        <v>9.9</v>
      </c>
      <c r="R15" s="5">
        <f>LARGE(CHOOSE({1;2;3;4},F15,I15,L15,O15),1)+LARGE(CHOOSE({1;2;3;4},F15,I15,L15,O15),2)+LARGE(CHOOSE({1;2;3;4},F15,I15,L15,O15),3)</f>
        <v>10.5</v>
      </c>
      <c r="S15" s="8">
        <f>LARGE(CHOOSE({1;2;3;4},G15,J15,M15,P15),1)+LARGE(CHOOSE({1;2;3;4},G15,J15,M15,P15),2)+LARGE(CHOOSE({1;2;3;4},G15,J15,M15,P15),3)</f>
        <v>21.3</v>
      </c>
      <c r="T15" s="8">
        <f>LARGE(CHOOSE({1;2;3;4},H15,K15,N15,Q15),1)+LARGE(CHOOSE({1;2;3;4},H15,K15,N15,Q15),2)+LARGE(CHOOSE({1;2;3;4},H15,K15,N15,Q15),3)</f>
        <v>31.799999999999997</v>
      </c>
      <c r="U15" s="5" cm="1">
        <f t="array" ref="U15">IF(PH[[#This Row],[Number_of_Competition]:[Number_of_Competition]]&gt;=3,(LARGE(CHOOSE({1;2;3;4},F15,I15,L15,O15),1)+LARGE(CHOOSE({1;2;3;4},F15,I15,L15,O15),2)+LARGE(CHOOSE({1;2;3;4},F15,I15,L15,O15),3))/3,0)</f>
        <v>3.5</v>
      </c>
      <c r="V15" s="8" cm="1">
        <f t="array" ref="V15">IF(PH[[#This Row],[Number_of_Competition]:[Number_of_Competition]]&gt;=3,(LARGE(CHOOSE({1;2;3;4},G15,J15,M15,P15),1)+LARGE(CHOOSE({1;2;3;4},G15,J15,M15,P15),2)+LARGE(CHOOSE({1;2;3;4},G15,J15,M15,P15),3))/3,0)</f>
        <v>7.1000000000000005</v>
      </c>
      <c r="W15" s="8" cm="1">
        <f t="array" ref="W15">IF(PH[[#This Row],[Number_of_Competition]:[Number_of_Competition]]&gt;=3,(LARGE(CHOOSE({1;2;3;4},H15,K15,N15,Q15),1)+LARGE(CHOOSE({1;2;3;4},H15,K15,N15,Q15),2)+LARGE(CHOOSE({1;2;3;4},H15,K15,N15,Q15),3))/3,0)</f>
        <v>10.6</v>
      </c>
    </row>
    <row r="16" spans="1:23" x14ac:dyDescent="0.25">
      <c r="A16" t="s">
        <v>42</v>
      </c>
      <c r="B16" s="2" t="s">
        <v>26</v>
      </c>
      <c r="C16" s="2" t="s">
        <v>43</v>
      </c>
      <c r="D16" t="s">
        <v>36</v>
      </c>
      <c r="E16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6" s="5">
        <v>2.6</v>
      </c>
      <c r="G16" s="8">
        <v>7.7</v>
      </c>
      <c r="H16" s="8">
        <v>10.3</v>
      </c>
      <c r="I16" s="5">
        <v>2.6</v>
      </c>
      <c r="J16" s="8">
        <v>8.5500000000000007</v>
      </c>
      <c r="K16" s="8">
        <v>11.15</v>
      </c>
      <c r="L16" s="5">
        <v>2.6</v>
      </c>
      <c r="M16" s="8">
        <v>7.65</v>
      </c>
      <c r="N16" s="8">
        <v>10.25</v>
      </c>
      <c r="O16" s="5">
        <v>2.6</v>
      </c>
      <c r="P16" s="8">
        <v>7.2</v>
      </c>
      <c r="Q16" s="8">
        <v>9.8000000000000007</v>
      </c>
      <c r="R16" s="5">
        <f>LARGE(CHOOSE({1;2;3;4},F16,I16,L16,O16),1)+LARGE(CHOOSE({1;2;3;4},F16,I16,L16,O16),2)+LARGE(CHOOSE({1;2;3;4},F16,I16,L16,O16),3)</f>
        <v>7.8000000000000007</v>
      </c>
      <c r="S16" s="8">
        <f>LARGE(CHOOSE({1;2;3;4},G16,J16,M16,P16),1)+LARGE(CHOOSE({1;2;3;4},G16,J16,M16,P16),2)+LARGE(CHOOSE({1;2;3;4},G16,J16,M16,P16),3)</f>
        <v>23.9</v>
      </c>
      <c r="T16" s="8">
        <f>LARGE(CHOOSE({1;2;3;4},H16,K16,N16,Q16),1)+LARGE(CHOOSE({1;2;3;4},H16,K16,N16,Q16),2)+LARGE(CHOOSE({1;2;3;4},H16,K16,N16,Q16),3)</f>
        <v>31.700000000000003</v>
      </c>
      <c r="U16" s="5" cm="1">
        <f t="array" ref="U16">IF(PH[[#This Row],[Number_of_Competition]:[Number_of_Competition]]&gt;=3,(LARGE(CHOOSE({1;2;3;4},F16,I16,L16,O16),1)+LARGE(CHOOSE({1;2;3;4},F16,I16,L16,O16),2)+LARGE(CHOOSE({1;2;3;4},F16,I16,L16,O16),3))/3,0)</f>
        <v>2.6</v>
      </c>
      <c r="V16" s="8" cm="1">
        <f t="array" ref="V16">IF(PH[[#This Row],[Number_of_Competition]:[Number_of_Competition]]&gt;=3,(LARGE(CHOOSE({1;2;3;4},G16,J16,M16,P16),1)+LARGE(CHOOSE({1;2;3;4},G16,J16,M16,P16),2)+LARGE(CHOOSE({1;2;3;4},G16,J16,M16,P16),3))/3,0)</f>
        <v>7.9666666666666659</v>
      </c>
      <c r="W16" s="8" cm="1">
        <f t="array" ref="W16">IF(PH[[#This Row],[Number_of_Competition]:[Number_of_Competition]]&gt;=3,(LARGE(CHOOSE({1;2;3;4},H16,K16,N16,Q16),1)+LARGE(CHOOSE({1;2;3;4},H16,K16,N16,Q16),2)+LARGE(CHOOSE({1;2;3;4},H16,K16,N16,Q16),3))/3,0)</f>
        <v>10.566666666666668</v>
      </c>
    </row>
    <row r="17" spans="1:23" x14ac:dyDescent="0.25">
      <c r="A17" t="s">
        <v>73</v>
      </c>
      <c r="B17" s="2" t="s">
        <v>60</v>
      </c>
      <c r="C17" s="2" t="s">
        <v>74</v>
      </c>
      <c r="D17" t="s">
        <v>62</v>
      </c>
      <c r="E17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7" s="5">
        <v>3</v>
      </c>
      <c r="G17" s="8">
        <v>6.3</v>
      </c>
      <c r="H17" s="8">
        <v>9.3000000000000007</v>
      </c>
      <c r="I17" s="5">
        <v>3</v>
      </c>
      <c r="J17" s="8">
        <v>7.5</v>
      </c>
      <c r="K17" s="8">
        <v>10.5</v>
      </c>
      <c r="L17" s="5">
        <v>3.1</v>
      </c>
      <c r="M17" s="8">
        <v>3.05</v>
      </c>
      <c r="N17" s="8">
        <v>6.15</v>
      </c>
      <c r="O17" s="5">
        <v>2.9</v>
      </c>
      <c r="P17" s="8">
        <v>7.1</v>
      </c>
      <c r="Q17" s="8">
        <v>10</v>
      </c>
      <c r="R17" s="5">
        <f>LARGE(CHOOSE({1;2;3;4},F17,I17,L17,O17),1)+LARGE(CHOOSE({1;2;3;4},F17,I17,L17,O17),2)+LARGE(CHOOSE({1;2;3;4},F17,I17,L17,O17),3)</f>
        <v>9.1</v>
      </c>
      <c r="S17" s="8">
        <f>LARGE(CHOOSE({1;2;3;4},G17,J17,M17,P17),1)+LARGE(CHOOSE({1;2;3;4},G17,J17,M17,P17),2)+LARGE(CHOOSE({1;2;3;4},G17,J17,M17,P17),3)</f>
        <v>20.9</v>
      </c>
      <c r="T17" s="8">
        <f>LARGE(CHOOSE({1;2;3;4},H17,K17,N17,Q17),1)+LARGE(CHOOSE({1;2;3;4},H17,K17,N17,Q17),2)+LARGE(CHOOSE({1;2;3;4},H17,K17,N17,Q17),3)</f>
        <v>29.8</v>
      </c>
      <c r="U17" s="5" cm="1">
        <f t="array" ref="U17">IF(PH[[#This Row],[Number_of_Competition]:[Number_of_Competition]]&gt;=3,(LARGE(CHOOSE({1;2;3;4},F17,I17,L17,O17),1)+LARGE(CHOOSE({1;2;3;4},F17,I17,L17,O17),2)+LARGE(CHOOSE({1;2;3;4},F17,I17,L17,O17),3))/3,0)</f>
        <v>3.0333333333333332</v>
      </c>
      <c r="V17" s="8" cm="1">
        <f t="array" ref="V17">IF(PH[[#This Row],[Number_of_Competition]:[Number_of_Competition]]&gt;=3,(LARGE(CHOOSE({1;2;3;4},G17,J17,M17,P17),1)+LARGE(CHOOSE({1;2;3;4},G17,J17,M17,P17),2)+LARGE(CHOOSE({1;2;3;4},G17,J17,M17,P17),3))/3,0)</f>
        <v>6.9666666666666659</v>
      </c>
      <c r="W17" s="8" cm="1">
        <f t="array" ref="W17">IF(PH[[#This Row],[Number_of_Competition]:[Number_of_Competition]]&gt;=3,(LARGE(CHOOSE({1;2;3;4},H17,K17,N17,Q17),1)+LARGE(CHOOSE({1;2;3;4},H17,K17,N17,Q17),2)+LARGE(CHOOSE({1;2;3;4},H17,K17,N17,Q17),3))/3,0)</f>
        <v>9.9333333333333336</v>
      </c>
    </row>
    <row r="18" spans="1:23" x14ac:dyDescent="0.25">
      <c r="A18" t="s">
        <v>114</v>
      </c>
      <c r="B18" s="2" t="s">
        <v>26</v>
      </c>
      <c r="C18" s="2" t="s">
        <v>115</v>
      </c>
      <c r="D18" t="s">
        <v>36</v>
      </c>
      <c r="E18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18" s="5">
        <v>2.6</v>
      </c>
      <c r="G18" s="8">
        <v>4.9000000000000004</v>
      </c>
      <c r="H18" s="8">
        <v>7.5</v>
      </c>
      <c r="I18" s="5">
        <v>0</v>
      </c>
      <c r="J18" s="8">
        <v>0</v>
      </c>
      <c r="K18" s="8">
        <v>0</v>
      </c>
      <c r="L18" s="5">
        <v>2.6</v>
      </c>
      <c r="M18" s="8">
        <v>7.65</v>
      </c>
      <c r="N18" s="8">
        <v>10.25</v>
      </c>
      <c r="O18" s="5">
        <v>2.6</v>
      </c>
      <c r="P18" s="8">
        <v>6.5</v>
      </c>
      <c r="Q18" s="8">
        <v>9.1</v>
      </c>
      <c r="R18" s="5">
        <f>LARGE(CHOOSE({1;2;3;4},F18,I18,L18,O18),1)+LARGE(CHOOSE({1;2;3;4},F18,I18,L18,O18),2)+LARGE(CHOOSE({1;2;3;4},F18,I18,L18,O18),3)</f>
        <v>7.8000000000000007</v>
      </c>
      <c r="S18" s="8">
        <f>LARGE(CHOOSE({1;2;3;4},G18,J18,M18,P18),1)+LARGE(CHOOSE({1;2;3;4},G18,J18,M18,P18),2)+LARGE(CHOOSE({1;2;3;4},G18,J18,M18,P18),3)</f>
        <v>19.05</v>
      </c>
      <c r="T18" s="8">
        <f>LARGE(CHOOSE({1;2;3;4},H18,K18,N18,Q18),1)+LARGE(CHOOSE({1;2;3;4},H18,K18,N18,Q18),2)+LARGE(CHOOSE({1;2;3;4},H18,K18,N18,Q18),3)</f>
        <v>26.85</v>
      </c>
      <c r="U18" s="5" cm="1">
        <f t="array" ref="U18">IF(PH[[#This Row],[Number_of_Competition]:[Number_of_Competition]]&gt;=3,(LARGE(CHOOSE({1;2;3;4},F18,I18,L18,O18),1)+LARGE(CHOOSE({1;2;3;4},F18,I18,L18,O18),2)+LARGE(CHOOSE({1;2;3;4},F18,I18,L18,O18),3))/3,0)</f>
        <v>2.6</v>
      </c>
      <c r="V18" s="8" cm="1">
        <f t="array" ref="V18">IF(PH[[#This Row],[Number_of_Competition]:[Number_of_Competition]]&gt;=3,(LARGE(CHOOSE({1;2;3;4},G18,J18,M18,P18),1)+LARGE(CHOOSE({1;2;3;4},G18,J18,M18,P18),2)+LARGE(CHOOSE({1;2;3;4},G18,J18,M18,P18),3))/3,0)</f>
        <v>6.3500000000000005</v>
      </c>
      <c r="W18" s="8" cm="1">
        <f t="array" ref="W18">IF(PH[[#This Row],[Number_of_Competition]:[Number_of_Competition]]&gt;=3,(LARGE(CHOOSE({1;2;3;4},H18,K18,N18,Q18),1)+LARGE(CHOOSE({1;2;3;4},H18,K18,N18,Q18),2)+LARGE(CHOOSE({1;2;3;4},H18,K18,N18,Q18),3))/3,0)</f>
        <v>8.9500000000000011</v>
      </c>
    </row>
    <row r="19" spans="1:23" x14ac:dyDescent="0.25">
      <c r="A19" t="s">
        <v>84</v>
      </c>
      <c r="B19" s="2" t="s">
        <v>60</v>
      </c>
      <c r="C19" s="2" t="s">
        <v>85</v>
      </c>
      <c r="D19" t="s">
        <v>39</v>
      </c>
      <c r="E19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19" s="5">
        <v>3.2</v>
      </c>
      <c r="G19" s="8">
        <v>6.1</v>
      </c>
      <c r="H19" s="8">
        <v>9.3000000000000007</v>
      </c>
      <c r="I19" s="5">
        <v>3.2</v>
      </c>
      <c r="J19" s="8">
        <v>4.75</v>
      </c>
      <c r="K19" s="8">
        <v>7.95</v>
      </c>
      <c r="L19" s="5">
        <v>3.2</v>
      </c>
      <c r="M19" s="8">
        <v>4.5999999999999996</v>
      </c>
      <c r="N19" s="8">
        <v>7.8</v>
      </c>
      <c r="O19" s="5">
        <v>3.5</v>
      </c>
      <c r="P19" s="8">
        <v>5.5</v>
      </c>
      <c r="Q19" s="8">
        <v>9</v>
      </c>
      <c r="R19" s="5">
        <f>LARGE(CHOOSE({1;2;3;4},F19,I19,L19,O19),1)+LARGE(CHOOSE({1;2;3;4},F19,I19,L19,O19),2)+LARGE(CHOOSE({1;2;3;4},F19,I19,L19,O19),3)</f>
        <v>9.9</v>
      </c>
      <c r="S19" s="8">
        <f>LARGE(CHOOSE({1;2;3;4},G19,J19,M19,P19),1)+LARGE(CHOOSE({1;2;3;4},G19,J19,M19,P19),2)+LARGE(CHOOSE({1;2;3;4},G19,J19,M19,P19),3)</f>
        <v>16.350000000000001</v>
      </c>
      <c r="T19" s="8">
        <f>LARGE(CHOOSE({1;2;3;4},H19,K19,N19,Q19),1)+LARGE(CHOOSE({1;2;3;4},H19,K19,N19,Q19),2)+LARGE(CHOOSE({1;2;3;4},H19,K19,N19,Q19),3)</f>
        <v>26.25</v>
      </c>
      <c r="U19" s="5" cm="1">
        <f t="array" ref="U19">IF(PH[[#This Row],[Number_of_Competition]:[Number_of_Competition]]&gt;=3,(LARGE(CHOOSE({1;2;3;4},F19,I19,L19,O19),1)+LARGE(CHOOSE({1;2;3;4},F19,I19,L19,O19),2)+LARGE(CHOOSE({1;2;3;4},F19,I19,L19,O19),3))/3,0)</f>
        <v>3.3000000000000003</v>
      </c>
      <c r="V19" s="8" cm="1">
        <f t="array" ref="V19">IF(PH[[#This Row],[Number_of_Competition]:[Number_of_Competition]]&gt;=3,(LARGE(CHOOSE({1;2;3;4},G19,J19,M19,P19),1)+LARGE(CHOOSE({1;2;3;4},G19,J19,M19,P19),2)+LARGE(CHOOSE({1;2;3;4},G19,J19,M19,P19),3))/3,0)</f>
        <v>5.45</v>
      </c>
      <c r="W19" s="8" cm="1">
        <f t="array" ref="W19">IF(PH[[#This Row],[Number_of_Competition]:[Number_of_Competition]]&gt;=3,(LARGE(CHOOSE({1;2;3;4},H19,K19,N19,Q19),1)+LARGE(CHOOSE({1;2;3;4},H19,K19,N19,Q19),2)+LARGE(CHOOSE({1;2;3;4},H19,K19,N19,Q19),3))/3,0)</f>
        <v>8.75</v>
      </c>
    </row>
    <row r="20" spans="1:23" x14ac:dyDescent="0.25">
      <c r="A20" t="s">
        <v>52</v>
      </c>
      <c r="B20" s="2" t="s">
        <v>26</v>
      </c>
      <c r="C20" s="2" t="s">
        <v>53</v>
      </c>
      <c r="D20" t="s">
        <v>36</v>
      </c>
      <c r="E20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20" s="5">
        <v>2.1</v>
      </c>
      <c r="G20" s="8">
        <v>4.5</v>
      </c>
      <c r="H20" s="8">
        <v>6.6</v>
      </c>
      <c r="I20" s="5">
        <v>2.2000000000000002</v>
      </c>
      <c r="J20" s="8">
        <v>6.5</v>
      </c>
      <c r="K20" s="8">
        <v>8.6999999999999993</v>
      </c>
      <c r="L20" s="5">
        <v>2.2000000000000002</v>
      </c>
      <c r="M20" s="8">
        <v>6.2</v>
      </c>
      <c r="N20" s="8">
        <v>8.4</v>
      </c>
      <c r="O20" s="5">
        <v>2</v>
      </c>
      <c r="P20" s="8">
        <v>3.5</v>
      </c>
      <c r="Q20" s="8">
        <v>5.5</v>
      </c>
      <c r="R20" s="5">
        <f>LARGE(CHOOSE({1;2;3;4},F20,I20,L20,O20),1)+LARGE(CHOOSE({1;2;3;4},F20,I20,L20,O20),2)+LARGE(CHOOSE({1;2;3;4},F20,I20,L20,O20),3)</f>
        <v>6.5</v>
      </c>
      <c r="S20" s="8">
        <f>LARGE(CHOOSE({1;2;3;4},G20,J20,M20,P20),1)+LARGE(CHOOSE({1;2;3;4},G20,J20,M20,P20),2)+LARGE(CHOOSE({1;2;3;4},G20,J20,M20,P20),3)</f>
        <v>17.2</v>
      </c>
      <c r="T20" s="8">
        <f>LARGE(CHOOSE({1;2;3;4},H20,K20,N20,Q20),1)+LARGE(CHOOSE({1;2;3;4},H20,K20,N20,Q20),2)+LARGE(CHOOSE({1;2;3;4},H20,K20,N20,Q20),3)</f>
        <v>23.700000000000003</v>
      </c>
      <c r="U20" s="5" cm="1">
        <f t="array" ref="U20">IF(PH[[#This Row],[Number_of_Competition]:[Number_of_Competition]]&gt;=3,(LARGE(CHOOSE({1;2;3;4},F20,I20,L20,O20),1)+LARGE(CHOOSE({1;2;3;4},F20,I20,L20,O20),2)+LARGE(CHOOSE({1;2;3;4},F20,I20,L20,O20),3))/3,0)</f>
        <v>2.1666666666666665</v>
      </c>
      <c r="V20" s="8" cm="1">
        <f t="array" ref="V20">IF(PH[[#This Row],[Number_of_Competition]:[Number_of_Competition]]&gt;=3,(LARGE(CHOOSE({1;2;3;4},G20,J20,M20,P20),1)+LARGE(CHOOSE({1;2;3;4},G20,J20,M20,P20),2)+LARGE(CHOOSE({1;2;3;4},G20,J20,M20,P20),3))/3,0)</f>
        <v>5.7333333333333334</v>
      </c>
      <c r="W20" s="8" cm="1">
        <f t="array" ref="W20">IF(PH[[#This Row],[Number_of_Competition]:[Number_of_Competition]]&gt;=3,(LARGE(CHOOSE({1;2;3;4},H20,K20,N20,Q20),1)+LARGE(CHOOSE({1;2;3;4},H20,K20,N20,Q20),2)+LARGE(CHOOSE({1;2;3;4},H20,K20,N20,Q20),3))/3,0)</f>
        <v>7.9000000000000012</v>
      </c>
    </row>
    <row r="21" spans="1:23" x14ac:dyDescent="0.25">
      <c r="A21" t="s">
        <v>48</v>
      </c>
      <c r="B21" s="2" t="s">
        <v>26</v>
      </c>
      <c r="C21" s="2" t="s">
        <v>49</v>
      </c>
      <c r="D21" t="s">
        <v>36</v>
      </c>
      <c r="E21" s="9">
        <f>COUNTIF(PH[[#This Row],[bydgoszcz_PH_Total_Score]],"&gt;0")+COUNTIF(PH[[#This Row],[zabrze_PH_Total_Score]],"&gt;0")+COUNTIF(PH[[#This Row],[cracow_PH_Total_Score]],"&gt;0")+COUNTIF(PH[[#This Row],[gdansk_PH_Total_Score]],"&gt;0")</f>
        <v>4</v>
      </c>
      <c r="F21" s="5">
        <v>2.8</v>
      </c>
      <c r="G21" s="8">
        <v>4</v>
      </c>
      <c r="H21" s="8">
        <v>6.8</v>
      </c>
      <c r="I21" s="5">
        <v>2.7</v>
      </c>
      <c r="J21" s="8">
        <v>1.95</v>
      </c>
      <c r="K21" s="8">
        <v>4.6500000000000004</v>
      </c>
      <c r="L21" s="5">
        <v>2.2000000000000002</v>
      </c>
      <c r="M21" s="8">
        <v>4.95</v>
      </c>
      <c r="N21" s="8">
        <v>7.15</v>
      </c>
      <c r="O21" s="5">
        <v>2.6</v>
      </c>
      <c r="P21" s="8">
        <v>7</v>
      </c>
      <c r="Q21" s="8">
        <v>9.6</v>
      </c>
      <c r="R21" s="5">
        <f>LARGE(CHOOSE({1;2;3;4},F21,I21,L21,O21),1)+LARGE(CHOOSE({1;2;3;4},F21,I21,L21,O21),2)+LARGE(CHOOSE({1;2;3;4},F21,I21,L21,O21),3)</f>
        <v>8.1</v>
      </c>
      <c r="S21" s="8">
        <f>LARGE(CHOOSE({1;2;3;4},G21,J21,M21,P21),1)+LARGE(CHOOSE({1;2;3;4},G21,J21,M21,P21),2)+LARGE(CHOOSE({1;2;3;4},G21,J21,M21,P21),3)</f>
        <v>15.95</v>
      </c>
      <c r="T21" s="8">
        <f>LARGE(CHOOSE({1;2;3;4},H21,K21,N21,Q21),1)+LARGE(CHOOSE({1;2;3;4},H21,K21,N21,Q21),2)+LARGE(CHOOSE({1;2;3;4},H21,K21,N21,Q21),3)</f>
        <v>23.55</v>
      </c>
      <c r="U21" s="5" cm="1">
        <f t="array" ref="U21">IF(PH[[#This Row],[Number_of_Competition]:[Number_of_Competition]]&gt;=3,(LARGE(CHOOSE({1;2;3;4},F21,I21,L21,O21),1)+LARGE(CHOOSE({1;2;3;4},F21,I21,L21,O21),2)+LARGE(CHOOSE({1;2;3;4},F21,I21,L21,O21),3))/3,0)</f>
        <v>2.6999999999999997</v>
      </c>
      <c r="V21" s="8" cm="1">
        <f t="array" ref="V21">IF(PH[[#This Row],[Number_of_Competition]:[Number_of_Competition]]&gt;=3,(LARGE(CHOOSE({1;2;3;4},G21,J21,M21,P21),1)+LARGE(CHOOSE({1;2;3;4},G21,J21,M21,P21),2)+LARGE(CHOOSE({1;2;3;4},G21,J21,M21,P21),3))/3,0)</f>
        <v>5.3166666666666664</v>
      </c>
      <c r="W21" s="8" cm="1">
        <f t="array" ref="W21">IF(PH[[#This Row],[Number_of_Competition]:[Number_of_Competition]]&gt;=3,(LARGE(CHOOSE({1;2;3;4},H21,K21,N21,Q21),1)+LARGE(CHOOSE({1;2;3;4},H21,K21,N21,Q21),2)+LARGE(CHOOSE({1;2;3;4},H21,K21,N21,Q21),3))/3,0)</f>
        <v>7.8500000000000005</v>
      </c>
    </row>
    <row r="22" spans="1:23" x14ac:dyDescent="0.25">
      <c r="A22" t="s">
        <v>90</v>
      </c>
      <c r="B22" s="2" t="s">
        <v>60</v>
      </c>
      <c r="C22" s="2" t="s">
        <v>91</v>
      </c>
      <c r="D22" t="s">
        <v>36</v>
      </c>
      <c r="E22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22" s="5">
        <v>0</v>
      </c>
      <c r="G22" s="8">
        <v>0</v>
      </c>
      <c r="H22" s="8">
        <v>0</v>
      </c>
      <c r="I22" s="5">
        <v>2.6</v>
      </c>
      <c r="J22" s="8">
        <v>0</v>
      </c>
      <c r="K22" s="8">
        <v>2.6</v>
      </c>
      <c r="L22" s="5">
        <v>2.9</v>
      </c>
      <c r="M22" s="8">
        <v>5</v>
      </c>
      <c r="N22" s="8">
        <v>7.9</v>
      </c>
      <c r="O22" s="5">
        <v>3.4</v>
      </c>
      <c r="P22" s="8">
        <v>8.4</v>
      </c>
      <c r="Q22" s="8">
        <v>11.8</v>
      </c>
      <c r="R22" s="5">
        <f>LARGE(CHOOSE({1;2;3;4},F22,I22,L22,O22),1)+LARGE(CHOOSE({1;2;3;4},F22,I22,L22,O22),2)+LARGE(CHOOSE({1;2;3;4},F22,I22,L22,O22),3)</f>
        <v>8.9</v>
      </c>
      <c r="S22" s="8">
        <f>LARGE(CHOOSE({1;2;3;4},G22,J22,M22,P22),1)+LARGE(CHOOSE({1;2;3;4},G22,J22,M22,P22),2)+LARGE(CHOOSE({1;2;3;4},G22,J22,M22,P22),3)</f>
        <v>13.4</v>
      </c>
      <c r="T22" s="8">
        <f>LARGE(CHOOSE({1;2;3;4},H22,K22,N22,Q22),1)+LARGE(CHOOSE({1;2;3;4},H22,K22,N22,Q22),2)+LARGE(CHOOSE({1;2;3;4},H22,K22,N22,Q22),3)</f>
        <v>22.300000000000004</v>
      </c>
      <c r="U22" s="5" cm="1">
        <f t="array" ref="U22">IF(PH[[#This Row],[Number_of_Competition]:[Number_of_Competition]]&gt;=3,(LARGE(CHOOSE({1;2;3;4},F22,I22,L22,O22),1)+LARGE(CHOOSE({1;2;3;4},F22,I22,L22,O22),2)+LARGE(CHOOSE({1;2;3;4},F22,I22,L22,O22),3))/3,0)</f>
        <v>2.9666666666666668</v>
      </c>
      <c r="V22" s="8" cm="1">
        <f t="array" ref="V22">IF(PH[[#This Row],[Number_of_Competition]:[Number_of_Competition]]&gt;=3,(LARGE(CHOOSE({1;2;3;4},G22,J22,M22,P22),1)+LARGE(CHOOSE({1;2;3;4},G22,J22,M22,P22),2)+LARGE(CHOOSE({1;2;3;4},G22,J22,M22,P22),3))/3,0)</f>
        <v>4.4666666666666668</v>
      </c>
      <c r="W22" s="8" cm="1">
        <f t="array" ref="W22">IF(PH[[#This Row],[Number_of_Competition]:[Number_of_Competition]]&gt;=3,(LARGE(CHOOSE({1;2;3;4},H22,K22,N22,Q22),1)+LARGE(CHOOSE({1;2;3;4},H22,K22,N22,Q22),2)+LARGE(CHOOSE({1;2;3;4},H22,K22,N22,Q22),3))/3,0)</f>
        <v>7.4333333333333345</v>
      </c>
    </row>
    <row r="23" spans="1:23" x14ac:dyDescent="0.25">
      <c r="A23" t="s">
        <v>46</v>
      </c>
      <c r="B23" s="2" t="s">
        <v>26</v>
      </c>
      <c r="C23" s="2" t="s">
        <v>47</v>
      </c>
      <c r="D23" t="s">
        <v>36</v>
      </c>
      <c r="E23" s="9">
        <f>COUNTIF(PH[[#This Row],[bydgoszcz_PH_Total_Score]],"&gt;0")+COUNTIF(PH[[#This Row],[zabrze_PH_Total_Score]],"&gt;0")+COUNTIF(PH[[#This Row],[cracow_PH_Total_Score]],"&gt;0")+COUNTIF(PH[[#This Row],[gdansk_PH_Total_Score]],"&gt;0")</f>
        <v>3</v>
      </c>
      <c r="F23" s="5">
        <v>0</v>
      </c>
      <c r="G23" s="8">
        <v>0</v>
      </c>
      <c r="H23" s="8">
        <v>0</v>
      </c>
      <c r="I23" s="5">
        <v>2.2000000000000002</v>
      </c>
      <c r="J23" s="8">
        <v>5.75</v>
      </c>
      <c r="K23" s="8">
        <v>7.95</v>
      </c>
      <c r="L23" s="5">
        <v>2.2000000000000002</v>
      </c>
      <c r="M23" s="8">
        <v>2.75</v>
      </c>
      <c r="N23" s="8">
        <v>4.95</v>
      </c>
      <c r="O23" s="5">
        <v>2.5</v>
      </c>
      <c r="P23" s="8">
        <v>5.5</v>
      </c>
      <c r="Q23" s="8">
        <v>8</v>
      </c>
      <c r="R23" s="5">
        <f>LARGE(CHOOSE({1;2;3;4},F23,I23,L23,O23),1)+LARGE(CHOOSE({1;2;3;4},F23,I23,L23,O23),2)+LARGE(CHOOSE({1;2;3;4},F23,I23,L23,O23),3)</f>
        <v>6.9</v>
      </c>
      <c r="S23" s="8">
        <f>LARGE(CHOOSE({1;2;3;4},G23,J23,M23,P23),1)+LARGE(CHOOSE({1;2;3;4},G23,J23,M23,P23),2)+LARGE(CHOOSE({1;2;3;4},G23,J23,M23,P23),3)</f>
        <v>14</v>
      </c>
      <c r="T23" s="8">
        <f>LARGE(CHOOSE({1;2;3;4},H23,K23,N23,Q23),1)+LARGE(CHOOSE({1;2;3;4},H23,K23,N23,Q23),2)+LARGE(CHOOSE({1;2;3;4},H23,K23,N23,Q23),3)</f>
        <v>20.9</v>
      </c>
      <c r="U23" s="5" cm="1">
        <f t="array" ref="U23">IF(PH[[#This Row],[Number_of_Competition]:[Number_of_Competition]]&gt;=3,(LARGE(CHOOSE({1;2;3;4},F23,I23,L23,O23),1)+LARGE(CHOOSE({1;2;3;4},F23,I23,L23,O23),2)+LARGE(CHOOSE({1;2;3;4},F23,I23,L23,O23),3))/3,0)</f>
        <v>2.3000000000000003</v>
      </c>
      <c r="V23" s="8" cm="1">
        <f t="array" ref="V23">IF(PH[[#This Row],[Number_of_Competition]:[Number_of_Competition]]&gt;=3,(LARGE(CHOOSE({1;2;3;4},G23,J23,M23,P23),1)+LARGE(CHOOSE({1;2;3;4},G23,J23,M23,P23),2)+LARGE(CHOOSE({1;2;3;4},G23,J23,M23,P23),3))/3,0)</f>
        <v>4.666666666666667</v>
      </c>
      <c r="W23" s="8" cm="1">
        <f t="array" ref="W23">IF(PH[[#This Row],[Number_of_Competition]:[Number_of_Competition]]&gt;=3,(LARGE(CHOOSE({1;2;3;4},H23,K23,N23,Q23),1)+LARGE(CHOOSE({1;2;3;4},H23,K23,N23,Q23),2)+LARGE(CHOOSE({1;2;3;4},H23,K23,N23,Q23),3))/3,0)</f>
        <v>6.9666666666666659</v>
      </c>
    </row>
    <row r="24" spans="1:23" x14ac:dyDescent="0.25">
      <c r="A24" t="s">
        <v>75</v>
      </c>
      <c r="B24" s="2" t="s">
        <v>60</v>
      </c>
      <c r="C24" s="2" t="s">
        <v>76</v>
      </c>
      <c r="D24" t="s">
        <v>28</v>
      </c>
      <c r="E24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4" s="5">
        <v>0</v>
      </c>
      <c r="G24" s="8">
        <v>0</v>
      </c>
      <c r="H24" s="8">
        <v>0</v>
      </c>
      <c r="I24" s="5">
        <v>4.2</v>
      </c>
      <c r="J24" s="8">
        <v>8.25</v>
      </c>
      <c r="K24" s="8">
        <v>12.45</v>
      </c>
      <c r="L24" s="5">
        <v>4.2</v>
      </c>
      <c r="M24" s="8">
        <v>8.5</v>
      </c>
      <c r="N24" s="8">
        <v>12.7</v>
      </c>
      <c r="O24" s="5">
        <v>0</v>
      </c>
      <c r="P24" s="8">
        <v>0</v>
      </c>
      <c r="Q24" s="8">
        <v>0</v>
      </c>
      <c r="R24" s="5">
        <f>LARGE(CHOOSE({1;2;3;4},F24,I24,L24,O24),1)+LARGE(CHOOSE({1;2;3;4},F24,I24,L24,O24),2)+LARGE(CHOOSE({1;2;3;4},F24,I24,L24,O24),3)</f>
        <v>8.4</v>
      </c>
      <c r="S24" s="8">
        <f>LARGE(CHOOSE({1;2;3;4},G24,J24,M24,P24),1)+LARGE(CHOOSE({1;2;3;4},G24,J24,M24,P24),2)+LARGE(CHOOSE({1;2;3;4},G24,J24,M24,P24),3)</f>
        <v>16.75</v>
      </c>
      <c r="T24" s="8">
        <f>LARGE(CHOOSE({1;2;3;4},H24,K24,N24,Q24),1)+LARGE(CHOOSE({1;2;3;4},H24,K24,N24,Q24),2)+LARGE(CHOOSE({1;2;3;4},H24,K24,N24,Q24),3)</f>
        <v>25.15</v>
      </c>
      <c r="U24" s="5" cm="1">
        <f t="array" ref="U24">IF(PH[[#This Row],[Number_of_Competition]:[Number_of_Competition]]&gt;=3,(LARGE(CHOOSE({1;2;3;4},F24,I24,L24,O24),1)+LARGE(CHOOSE({1;2;3;4},F24,I24,L24,O24),2)+LARGE(CHOOSE({1;2;3;4},F24,I24,L24,O24),3))/3,0)</f>
        <v>0</v>
      </c>
      <c r="V24" s="8" cm="1">
        <f t="array" ref="V24">IF(PH[[#This Row],[Number_of_Competition]:[Number_of_Competition]]&gt;=3,(LARGE(CHOOSE({1;2;3;4},G24,J24,M24,P24),1)+LARGE(CHOOSE({1;2;3;4},G24,J24,M24,P24),2)+LARGE(CHOOSE({1;2;3;4},G24,J24,M24,P24),3))/3,0)</f>
        <v>0</v>
      </c>
      <c r="W24" s="8" cm="1">
        <f t="array" ref="W24">IF(PH[[#This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127</v>
      </c>
      <c r="B25" s="2" t="s">
        <v>60</v>
      </c>
      <c r="C25" s="2" t="s">
        <v>128</v>
      </c>
      <c r="D25" t="s">
        <v>72</v>
      </c>
      <c r="E25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5" s="5">
        <v>4.2</v>
      </c>
      <c r="G25" s="8">
        <v>8</v>
      </c>
      <c r="H25" s="8">
        <v>12.2</v>
      </c>
      <c r="I25" s="5">
        <v>0</v>
      </c>
      <c r="J25" s="8">
        <v>0</v>
      </c>
      <c r="K25" s="8">
        <v>0</v>
      </c>
      <c r="L25" s="5">
        <v>4.4000000000000004</v>
      </c>
      <c r="M25" s="8">
        <v>7.2</v>
      </c>
      <c r="N25" s="8">
        <v>11.6</v>
      </c>
      <c r="O25" s="5">
        <v>0</v>
      </c>
      <c r="P25" s="8">
        <v>0</v>
      </c>
      <c r="Q25" s="8">
        <v>0</v>
      </c>
      <c r="R25" s="5">
        <f>LARGE(CHOOSE({1;2;3;4},F25,I25,L25,O25),1)+LARGE(CHOOSE({1;2;3;4},F25,I25,L25,O25),2)+LARGE(CHOOSE({1;2;3;4},F25,I25,L25,O25),3)</f>
        <v>8.6000000000000014</v>
      </c>
      <c r="S25" s="8">
        <f>LARGE(CHOOSE({1;2;3;4},G25,J25,M25,P25),1)+LARGE(CHOOSE({1;2;3;4},G25,J25,M25,P25),2)+LARGE(CHOOSE({1;2;3;4},G25,J25,M25,P25),3)</f>
        <v>15.2</v>
      </c>
      <c r="T25" s="8">
        <f>LARGE(CHOOSE({1;2;3;4},H25,K25,N25,Q25),1)+LARGE(CHOOSE({1;2;3;4},H25,K25,N25,Q25),2)+LARGE(CHOOSE({1;2;3;4},H25,K25,N25,Q25),3)</f>
        <v>23.799999999999997</v>
      </c>
      <c r="U25" s="5" cm="1">
        <f t="array" ref="U25">IF(PH[[#This Row],[Number_of_Competition]:[Number_of_Competition]]&gt;=3,(LARGE(CHOOSE({1;2;3;4},F25,I25,L25,O25),1)+LARGE(CHOOSE({1;2;3;4},F25,I25,L25,O25),2)+LARGE(CHOOSE({1;2;3;4},F25,I25,L25,O25),3))/3,0)</f>
        <v>0</v>
      </c>
      <c r="V25" s="8" cm="1">
        <f t="array" ref="V25">IF(PH[[#This Row],[Number_of_Competition]:[Number_of_Competition]]&gt;=3,(LARGE(CHOOSE({1;2;3;4},G25,J25,M25,P25),1)+LARGE(CHOOSE({1;2;3;4},G25,J25,M25,P25),2)+LARGE(CHOOSE({1;2;3;4},G25,J25,M25,P25),3))/3,0)</f>
        <v>0</v>
      </c>
      <c r="W25" s="8" cm="1">
        <f t="array" ref="W25">IF(PH[[#This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96</v>
      </c>
      <c r="B26" s="2" t="s">
        <v>60</v>
      </c>
      <c r="C26" s="2" t="s">
        <v>97</v>
      </c>
      <c r="D26" t="s">
        <v>62</v>
      </c>
      <c r="E26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6" s="5">
        <v>0</v>
      </c>
      <c r="G26" s="8">
        <v>0</v>
      </c>
      <c r="H26" s="8">
        <v>0</v>
      </c>
      <c r="I26" s="5">
        <v>4.5</v>
      </c>
      <c r="J26" s="8">
        <v>7.3</v>
      </c>
      <c r="K26" s="8">
        <v>11.8</v>
      </c>
      <c r="L26" s="5">
        <v>4.7</v>
      </c>
      <c r="M26" s="8">
        <v>6.8</v>
      </c>
      <c r="N26" s="8">
        <v>11.5</v>
      </c>
      <c r="O26" s="5">
        <v>0</v>
      </c>
      <c r="P26" s="8">
        <v>0</v>
      </c>
      <c r="Q26" s="8">
        <v>0</v>
      </c>
      <c r="R26" s="5">
        <f>LARGE(CHOOSE({1;2;3;4},F26,I26,L26,O26),1)+LARGE(CHOOSE({1;2;3;4},F26,I26,L26,O26),2)+LARGE(CHOOSE({1;2;3;4},F26,I26,L26,O26),3)</f>
        <v>9.1999999999999993</v>
      </c>
      <c r="S26" s="8">
        <f>LARGE(CHOOSE({1;2;3;4},G26,J26,M26,P26),1)+LARGE(CHOOSE({1;2;3;4},G26,J26,M26,P26),2)+LARGE(CHOOSE({1;2;3;4},G26,J26,M26,P26),3)</f>
        <v>14.1</v>
      </c>
      <c r="T26" s="8">
        <f>LARGE(CHOOSE({1;2;3;4},H26,K26,N26,Q26),1)+LARGE(CHOOSE({1;2;3;4},H26,K26,N26,Q26),2)+LARGE(CHOOSE({1;2;3;4},H26,K26,N26,Q26),3)</f>
        <v>23.3</v>
      </c>
      <c r="U26" s="5" cm="1">
        <f t="array" ref="U26">IF(PH[[#This Row],[Number_of_Competition]:[Number_of_Competition]]&gt;=3,(LARGE(CHOOSE({1;2;3;4},F26,I26,L26,O26),1)+LARGE(CHOOSE({1;2;3;4},F26,I26,L26,O26),2)+LARGE(CHOOSE({1;2;3;4},F26,I26,L26,O26),3))/3,0)</f>
        <v>0</v>
      </c>
      <c r="V26" s="8" cm="1">
        <f t="array" ref="V26">IF(PH[[#This Row],[Number_of_Competition]:[Number_of_Competition]]&gt;=3,(LARGE(CHOOSE({1;2;3;4},G26,J26,M26,P26),1)+LARGE(CHOOSE({1;2;3;4},G26,J26,M26,P26),2)+LARGE(CHOOSE({1;2;3;4},G26,J26,M26,P26),3))/3,0)</f>
        <v>0</v>
      </c>
      <c r="W26" s="8" cm="1">
        <f t="array" ref="W26">IF(PH[[#This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116</v>
      </c>
      <c r="B27" s="2" t="s">
        <v>60</v>
      </c>
      <c r="C27" s="2" t="s">
        <v>117</v>
      </c>
      <c r="D27" t="s">
        <v>62</v>
      </c>
      <c r="E27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7" s="5">
        <v>0</v>
      </c>
      <c r="G27" s="8">
        <v>0</v>
      </c>
      <c r="H27" s="8">
        <v>0</v>
      </c>
      <c r="I27" s="5">
        <v>0</v>
      </c>
      <c r="J27" s="8">
        <v>0</v>
      </c>
      <c r="K27" s="8">
        <v>0</v>
      </c>
      <c r="L27" s="5">
        <v>4.2</v>
      </c>
      <c r="M27" s="8">
        <v>6.5</v>
      </c>
      <c r="N27" s="8">
        <v>10.7</v>
      </c>
      <c r="O27" s="5">
        <v>4.0999999999999996</v>
      </c>
      <c r="P27" s="8">
        <v>7.9</v>
      </c>
      <c r="Q27" s="8">
        <v>12</v>
      </c>
      <c r="R27" s="5">
        <f>LARGE(CHOOSE({1;2;3;4},F27,I27,L27,O27),1)+LARGE(CHOOSE({1;2;3;4},F27,I27,L27,O27),2)+LARGE(CHOOSE({1;2;3;4},F27,I27,L27,O27),3)</f>
        <v>8.3000000000000007</v>
      </c>
      <c r="S27" s="8">
        <f>LARGE(CHOOSE({1;2;3;4},G27,J27,M27,P27),1)+LARGE(CHOOSE({1;2;3;4},G27,J27,M27,P27),2)+LARGE(CHOOSE({1;2;3;4},G27,J27,M27,P27),3)</f>
        <v>14.4</v>
      </c>
      <c r="T27" s="8">
        <f>LARGE(CHOOSE({1;2;3;4},H27,K27,N27,Q27),1)+LARGE(CHOOSE({1;2;3;4},H27,K27,N27,Q27),2)+LARGE(CHOOSE({1;2;3;4},H27,K27,N27,Q27),3)</f>
        <v>22.7</v>
      </c>
      <c r="U27" s="5" cm="1">
        <f t="array" ref="U27">IF(PH[[#This Row],[Number_of_Competition]:[Number_of_Competition]]&gt;=3,(LARGE(CHOOSE({1;2;3;4},F27,I27,L27,O27),1)+LARGE(CHOOSE({1;2;3;4},F27,I27,L27,O27),2)+LARGE(CHOOSE({1;2;3;4},F27,I27,L27,O27),3))/3,0)</f>
        <v>0</v>
      </c>
      <c r="V27" s="8" cm="1">
        <f t="array" ref="V27">IF(PH[[#This Row],[Number_of_Competition]:[Number_of_Competition]]&gt;=3,(LARGE(CHOOSE({1;2;3;4},G27,J27,M27,P27),1)+LARGE(CHOOSE({1;2;3;4},G27,J27,M27,P27),2)+LARGE(CHOOSE({1;2;3;4},G27,J27,M27,P27),3))/3,0)</f>
        <v>0</v>
      </c>
      <c r="W27" s="8" cm="1">
        <f t="array" ref="W27">IF(PH[[#This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65</v>
      </c>
      <c r="B28" s="2" t="s">
        <v>60</v>
      </c>
      <c r="C28" s="2" t="s">
        <v>66</v>
      </c>
      <c r="D28" t="s">
        <v>67</v>
      </c>
      <c r="E28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8" s="5">
        <v>0</v>
      </c>
      <c r="G28" s="8">
        <v>0</v>
      </c>
      <c r="H28" s="8">
        <v>0</v>
      </c>
      <c r="I28" s="5">
        <v>3</v>
      </c>
      <c r="J28" s="8">
        <v>8.4</v>
      </c>
      <c r="K28" s="8">
        <v>11.4</v>
      </c>
      <c r="L28" s="5">
        <v>0</v>
      </c>
      <c r="M28" s="8">
        <v>0</v>
      </c>
      <c r="N28" s="8">
        <v>0</v>
      </c>
      <c r="O28" s="5">
        <v>3.2</v>
      </c>
      <c r="P28" s="8">
        <v>7.8</v>
      </c>
      <c r="Q28" s="8">
        <v>11</v>
      </c>
      <c r="R28" s="5">
        <f>LARGE(CHOOSE({1;2;3;4},F28,I28,L28,O28),1)+LARGE(CHOOSE({1;2;3;4},F28,I28,L28,O28),2)+LARGE(CHOOSE({1;2;3;4},F28,I28,L28,O28),3)</f>
        <v>6.2</v>
      </c>
      <c r="S28" s="8">
        <f>LARGE(CHOOSE({1;2;3;4},G28,J28,M28,P28),1)+LARGE(CHOOSE({1;2;3;4},G28,J28,M28,P28),2)+LARGE(CHOOSE({1;2;3;4},G28,J28,M28,P28),3)</f>
        <v>16.2</v>
      </c>
      <c r="T28" s="8">
        <f>LARGE(CHOOSE({1;2;3;4},H28,K28,N28,Q28),1)+LARGE(CHOOSE({1;2;3;4},H28,K28,N28,Q28),2)+LARGE(CHOOSE({1;2;3;4},H28,K28,N28,Q28),3)</f>
        <v>22.4</v>
      </c>
      <c r="U28" s="5" cm="1">
        <f t="array" ref="U28">IF(PH[[#This Row],[Number_of_Competition]:[Number_of_Competition]]&gt;=3,(LARGE(CHOOSE({1;2;3;4},F28,I28,L28,O28),1)+LARGE(CHOOSE({1;2;3;4},F28,I28,L28,O28),2)+LARGE(CHOOSE({1;2;3;4},F28,I28,L28,O28),3))/3,0)</f>
        <v>0</v>
      </c>
      <c r="V28" s="8" cm="1">
        <f t="array" ref="V28">IF(PH[[#This Row],[Number_of_Competition]:[Number_of_Competition]]&gt;=3,(LARGE(CHOOSE({1;2;3;4},G28,J28,M28,P28),1)+LARGE(CHOOSE({1;2;3;4},G28,J28,M28,P28),2)+LARGE(CHOOSE({1;2;3;4},G28,J28,M28,P28),3))/3,0)</f>
        <v>0</v>
      </c>
      <c r="W28" s="8" cm="1">
        <f t="array" ref="W28">IF(PH[[#This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70</v>
      </c>
      <c r="B29" s="2" t="s">
        <v>60</v>
      </c>
      <c r="C29" s="2" t="s">
        <v>71</v>
      </c>
      <c r="D29" t="s">
        <v>72</v>
      </c>
      <c r="E29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29" s="5">
        <v>0</v>
      </c>
      <c r="G29" s="8">
        <v>0</v>
      </c>
      <c r="H29" s="8">
        <v>0</v>
      </c>
      <c r="I29" s="5">
        <v>3.3</v>
      </c>
      <c r="J29" s="8">
        <v>6</v>
      </c>
      <c r="K29" s="8">
        <v>9.3000000000000007</v>
      </c>
      <c r="L29" s="5">
        <v>3.6</v>
      </c>
      <c r="M29" s="8">
        <v>6.7</v>
      </c>
      <c r="N29" s="8">
        <v>10.3</v>
      </c>
      <c r="O29" s="5">
        <v>0</v>
      </c>
      <c r="P29" s="8">
        <v>0</v>
      </c>
      <c r="Q29" s="8">
        <v>0</v>
      </c>
      <c r="R29" s="5">
        <f>LARGE(CHOOSE({1;2;3;4},F29,I29,L29,O29),1)+LARGE(CHOOSE({1;2;3;4},F29,I29,L29,O29),2)+LARGE(CHOOSE({1;2;3;4},F29,I29,L29,O29),3)</f>
        <v>6.9</v>
      </c>
      <c r="S29" s="8">
        <f>LARGE(CHOOSE({1;2;3;4},G29,J29,M29,P29),1)+LARGE(CHOOSE({1;2;3;4},G29,J29,M29,P29),2)+LARGE(CHOOSE({1;2;3;4},G29,J29,M29,P29),3)</f>
        <v>12.7</v>
      </c>
      <c r="T29" s="8">
        <f>LARGE(CHOOSE({1;2;3;4},H29,K29,N29,Q29),1)+LARGE(CHOOSE({1;2;3;4},H29,K29,N29,Q29),2)+LARGE(CHOOSE({1;2;3;4},H29,K29,N29,Q29),3)</f>
        <v>19.600000000000001</v>
      </c>
      <c r="U29" s="5" cm="1">
        <f t="array" ref="U29">IF(PH[[#This Row],[Number_of_Competition]:[Number_of_Competition]]&gt;=3,(LARGE(CHOOSE({1;2;3;4},F29,I29,L29,O29),1)+LARGE(CHOOSE({1;2;3;4},F29,I29,L29,O29),2)+LARGE(CHOOSE({1;2;3;4},F29,I29,L29,O29),3))/3,0)</f>
        <v>0</v>
      </c>
      <c r="V29" s="8" cm="1">
        <f t="array" ref="V29">IF(PH[[#This Row],[Number_of_Competition]:[Number_of_Competition]]&gt;=3,(LARGE(CHOOSE({1;2;3;4},G29,J29,M29,P29),1)+LARGE(CHOOSE({1;2;3;4},G29,J29,M29,P29),2)+LARGE(CHOOSE({1;2;3;4},G29,J29,M29,P29),3))/3,0)</f>
        <v>0</v>
      </c>
      <c r="W29" s="8" cm="1">
        <f t="array" ref="W29">IF(PH[[#This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112</v>
      </c>
      <c r="B30" s="2" t="s">
        <v>26</v>
      </c>
      <c r="C30" s="2" t="s">
        <v>113</v>
      </c>
      <c r="D30" t="s">
        <v>31</v>
      </c>
      <c r="E30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0" s="5">
        <v>3.1</v>
      </c>
      <c r="G30" s="8">
        <v>7.65</v>
      </c>
      <c r="H30" s="8">
        <v>10.75</v>
      </c>
      <c r="I30" s="5">
        <v>0</v>
      </c>
      <c r="J30" s="8">
        <v>0</v>
      </c>
      <c r="K30" s="8">
        <v>0</v>
      </c>
      <c r="L30" s="5">
        <v>0</v>
      </c>
      <c r="M30" s="8">
        <v>0</v>
      </c>
      <c r="N30" s="8">
        <v>0</v>
      </c>
      <c r="O30" s="5">
        <v>2.7</v>
      </c>
      <c r="P30" s="8">
        <v>6</v>
      </c>
      <c r="Q30" s="8">
        <v>8.6999999999999993</v>
      </c>
      <c r="R30" s="5">
        <f>LARGE(CHOOSE({1;2;3;4},F30,I30,L30,O30),1)+LARGE(CHOOSE({1;2;3;4},F30,I30,L30,O30),2)+LARGE(CHOOSE({1;2;3;4},F30,I30,L30,O30),3)</f>
        <v>5.8000000000000007</v>
      </c>
      <c r="S30" s="8">
        <f>LARGE(CHOOSE({1;2;3;4},G30,J30,M30,P30),1)+LARGE(CHOOSE({1;2;3;4},G30,J30,M30,P30),2)+LARGE(CHOOSE({1;2;3;4},G30,J30,M30,P30),3)</f>
        <v>13.65</v>
      </c>
      <c r="T30" s="8">
        <f>LARGE(CHOOSE({1;2;3;4},H30,K30,N30,Q30),1)+LARGE(CHOOSE({1;2;3;4},H30,K30,N30,Q30),2)+LARGE(CHOOSE({1;2;3;4},H30,K30,N30,Q30),3)</f>
        <v>19.45</v>
      </c>
      <c r="U30" s="5" cm="1">
        <f t="array" ref="U30">IF(PH[[#This Row],[Number_of_Competition]:[Number_of_Competition]]&gt;=3,(LARGE(CHOOSE({1;2;3;4},F30,I30,L30,O30),1)+LARGE(CHOOSE({1;2;3;4},F30,I30,L30,O30),2)+LARGE(CHOOSE({1;2;3;4},F30,I30,L30,O30),3))/3,0)</f>
        <v>0</v>
      </c>
      <c r="V30" s="8" cm="1">
        <f t="array" ref="V30">IF(PH[[#This Row],[Number_of_Competition]:[Number_of_Competition]]&gt;=3,(LARGE(CHOOSE({1;2;3;4},G30,J30,M30,P30),1)+LARGE(CHOOSE({1;2;3;4},G30,J30,M30,P30),2)+LARGE(CHOOSE({1;2;3;4},G30,J30,M30,P30),3))/3,0)</f>
        <v>0</v>
      </c>
      <c r="W30" s="8" cm="1">
        <f t="array" ref="W30">IF(PH[[#This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82</v>
      </c>
      <c r="B31" s="2" t="s">
        <v>60</v>
      </c>
      <c r="C31" s="2" t="s">
        <v>83</v>
      </c>
      <c r="D31" t="s">
        <v>36</v>
      </c>
      <c r="E31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1" s="5">
        <v>0</v>
      </c>
      <c r="G31" s="8">
        <v>0</v>
      </c>
      <c r="H31" s="8">
        <v>0</v>
      </c>
      <c r="I31" s="5">
        <v>3.4</v>
      </c>
      <c r="J31" s="8">
        <v>5.5</v>
      </c>
      <c r="K31" s="8">
        <v>8.9</v>
      </c>
      <c r="L31" s="5">
        <v>0</v>
      </c>
      <c r="M31" s="8">
        <v>0</v>
      </c>
      <c r="N31" s="8">
        <v>0</v>
      </c>
      <c r="O31" s="5">
        <v>3.4</v>
      </c>
      <c r="P31" s="8">
        <v>6.4</v>
      </c>
      <c r="Q31" s="8">
        <v>9.8000000000000007</v>
      </c>
      <c r="R31" s="5">
        <f>LARGE(CHOOSE({1;2;3;4},F31,I31,L31,O31),1)+LARGE(CHOOSE({1;2;3;4},F31,I31,L31,O31),2)+LARGE(CHOOSE({1;2;3;4},F31,I31,L31,O31),3)</f>
        <v>6.8</v>
      </c>
      <c r="S31" s="8">
        <f>LARGE(CHOOSE({1;2;3;4},G31,J31,M31,P31),1)+LARGE(CHOOSE({1;2;3;4},G31,J31,M31,P31),2)+LARGE(CHOOSE({1;2;3;4},G31,J31,M31,P31),3)</f>
        <v>11.9</v>
      </c>
      <c r="T31" s="8">
        <f>LARGE(CHOOSE({1;2;3;4},H31,K31,N31,Q31),1)+LARGE(CHOOSE({1;2;3;4},H31,K31,N31,Q31),2)+LARGE(CHOOSE({1;2;3;4},H31,K31,N31,Q31),3)</f>
        <v>18.700000000000003</v>
      </c>
      <c r="U31" s="5" cm="1">
        <f t="array" ref="U31">IF(PH[[#This Row],[Number_of_Competition]:[Number_of_Competition]]&gt;=3,(LARGE(CHOOSE({1;2;3;4},F31,I31,L31,O31),1)+LARGE(CHOOSE({1;2;3;4},F31,I31,L31,O31),2)+LARGE(CHOOSE({1;2;3;4},F31,I31,L31,O31),3))/3,0)</f>
        <v>0</v>
      </c>
      <c r="V31" s="8" cm="1">
        <f t="array" ref="V31">IF(PH[[#This Row],[Number_of_Competition]:[Number_of_Competition]]&gt;=3,(LARGE(CHOOSE({1;2;3;4},G31,J31,M31,P31),1)+LARGE(CHOOSE({1;2;3;4},G31,J31,M31,P31),2)+LARGE(CHOOSE({1;2;3;4},G31,J31,M31,P31),3))/3,0)</f>
        <v>0</v>
      </c>
      <c r="W31" s="8" cm="1">
        <f t="array" ref="W31">IF(PH[[#This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110</v>
      </c>
      <c r="B32" s="2" t="s">
        <v>60</v>
      </c>
      <c r="C32" s="2" t="s">
        <v>111</v>
      </c>
      <c r="D32" t="s">
        <v>36</v>
      </c>
      <c r="E32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2" s="5">
        <v>0</v>
      </c>
      <c r="G32" s="8">
        <v>0</v>
      </c>
      <c r="H32" s="8">
        <v>0</v>
      </c>
      <c r="I32" s="5">
        <v>3.1</v>
      </c>
      <c r="J32" s="8">
        <v>6</v>
      </c>
      <c r="K32" s="8">
        <v>9.1</v>
      </c>
      <c r="L32" s="5">
        <v>3.5</v>
      </c>
      <c r="M32" s="8">
        <v>5.6</v>
      </c>
      <c r="N32" s="8">
        <v>9.1</v>
      </c>
      <c r="O32" s="5">
        <v>0</v>
      </c>
      <c r="P32" s="8">
        <v>0</v>
      </c>
      <c r="Q32" s="8">
        <v>0</v>
      </c>
      <c r="R32" s="5">
        <f>LARGE(CHOOSE({1;2;3;4},F32,I32,L32,O32),1)+LARGE(CHOOSE({1;2;3;4},F32,I32,L32,O32),2)+LARGE(CHOOSE({1;2;3;4},F32,I32,L32,O32),3)</f>
        <v>6.6</v>
      </c>
      <c r="S32" s="8">
        <f>LARGE(CHOOSE({1;2;3;4},G32,J32,M32,P32),1)+LARGE(CHOOSE({1;2;3;4},G32,J32,M32,P32),2)+LARGE(CHOOSE({1;2;3;4},G32,J32,M32,P32),3)</f>
        <v>11.6</v>
      </c>
      <c r="T32" s="8">
        <f>LARGE(CHOOSE({1;2;3;4},H32,K32,N32,Q32),1)+LARGE(CHOOSE({1;2;3;4},H32,K32,N32,Q32),2)+LARGE(CHOOSE({1;2;3;4},H32,K32,N32,Q32),3)</f>
        <v>18.2</v>
      </c>
      <c r="U32" s="5" cm="1">
        <f t="array" ref="U32">IF(PH[[#This Row],[Number_of_Competition]:[Number_of_Competition]]&gt;=3,(LARGE(CHOOSE({1;2;3;4},F32,I32,L32,O32),1)+LARGE(CHOOSE({1;2;3;4},F32,I32,L32,O32),2)+LARGE(CHOOSE({1;2;3;4},F32,I32,L32,O32),3))/3,0)</f>
        <v>0</v>
      </c>
      <c r="V32" s="8" cm="1">
        <f t="array" ref="V32">IF(PH[[#This Row],[Number_of_Competition]:[Number_of_Competition]]&gt;=3,(LARGE(CHOOSE({1;2;3;4},G32,J32,M32,P32),1)+LARGE(CHOOSE({1;2;3;4},G32,J32,M32,P32),2)+LARGE(CHOOSE({1;2;3;4},G32,J32,M32,P32),3))/3,0)</f>
        <v>0</v>
      </c>
      <c r="W32" s="8" cm="1">
        <f t="array" ref="W32">IF(PH[[#This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88</v>
      </c>
      <c r="B33" s="2" t="s">
        <v>60</v>
      </c>
      <c r="C33" s="2" t="s">
        <v>89</v>
      </c>
      <c r="D33" t="s">
        <v>36</v>
      </c>
      <c r="E33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3" s="5">
        <v>0</v>
      </c>
      <c r="G33" s="8">
        <v>0</v>
      </c>
      <c r="H33" s="8">
        <v>0</v>
      </c>
      <c r="I33" s="5">
        <v>2.7</v>
      </c>
      <c r="J33" s="8">
        <v>7</v>
      </c>
      <c r="K33" s="8">
        <v>9.6999999999999993</v>
      </c>
      <c r="L33" s="5">
        <v>0</v>
      </c>
      <c r="M33" s="8">
        <v>0</v>
      </c>
      <c r="N33" s="8">
        <v>0</v>
      </c>
      <c r="O33" s="5">
        <v>2.4</v>
      </c>
      <c r="P33" s="8">
        <v>5.8</v>
      </c>
      <c r="Q33" s="8">
        <v>8.1999999999999993</v>
      </c>
      <c r="R33" s="5">
        <f>LARGE(CHOOSE({1;2;3;4},F33,I33,L33,O33),1)+LARGE(CHOOSE({1;2;3;4},F33,I33,L33,O33),2)+LARGE(CHOOSE({1;2;3;4},F33,I33,L33,O33),3)</f>
        <v>5.0999999999999996</v>
      </c>
      <c r="S33" s="8">
        <f>LARGE(CHOOSE({1;2;3;4},G33,J33,M33,P33),1)+LARGE(CHOOSE({1;2;3;4},G33,J33,M33,P33),2)+LARGE(CHOOSE({1;2;3;4},G33,J33,M33,P33),3)</f>
        <v>12.8</v>
      </c>
      <c r="T33" s="8">
        <f>LARGE(CHOOSE({1;2;3;4},H33,K33,N33,Q33),1)+LARGE(CHOOSE({1;2;3;4},H33,K33,N33,Q33),2)+LARGE(CHOOSE({1;2;3;4},H33,K33,N33,Q33),3)</f>
        <v>17.899999999999999</v>
      </c>
      <c r="U33" s="5" cm="1">
        <f t="array" ref="U33">IF(PH[[#This Row],[Number_of_Competition]:[Number_of_Competition]]&gt;=3,(LARGE(CHOOSE({1;2;3;4},F33,I33,L33,O33),1)+LARGE(CHOOSE({1;2;3;4},F33,I33,L33,O33),2)+LARGE(CHOOSE({1;2;3;4},F33,I33,L33,O33),3))/3,0)</f>
        <v>0</v>
      </c>
      <c r="V33" s="8" cm="1">
        <f t="array" ref="V33">IF(PH[[#This Row],[Number_of_Competition]:[Number_of_Competition]]&gt;=3,(LARGE(CHOOSE({1;2;3;4},G33,J33,M33,P33),1)+LARGE(CHOOSE({1;2;3;4},G33,J33,M33,P33),2)+LARGE(CHOOSE({1;2;3;4},G33,J33,M33,P33),3))/3,0)</f>
        <v>0</v>
      </c>
      <c r="W33" s="8" cm="1">
        <f t="array" ref="W33">IF(PH[[#This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98</v>
      </c>
      <c r="B34" s="2" t="s">
        <v>60</v>
      </c>
      <c r="C34" s="2" t="s">
        <v>99</v>
      </c>
      <c r="D34" t="s">
        <v>72</v>
      </c>
      <c r="E34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4" s="5">
        <v>0</v>
      </c>
      <c r="G34" s="8">
        <v>0</v>
      </c>
      <c r="H34" s="8">
        <v>0</v>
      </c>
      <c r="I34" s="5">
        <v>3.4</v>
      </c>
      <c r="J34" s="8">
        <v>7</v>
      </c>
      <c r="K34" s="8">
        <v>10.4</v>
      </c>
      <c r="L34" s="5">
        <v>3.3</v>
      </c>
      <c r="M34" s="8">
        <v>4.1500000000000004</v>
      </c>
      <c r="N34" s="8">
        <v>7.45</v>
      </c>
      <c r="O34" s="5">
        <v>0</v>
      </c>
      <c r="P34" s="8">
        <v>0</v>
      </c>
      <c r="Q34" s="8">
        <v>0</v>
      </c>
      <c r="R34" s="5">
        <f>LARGE(CHOOSE({1;2;3;4},F34,I34,L34,O34),1)+LARGE(CHOOSE({1;2;3;4},F34,I34,L34,O34),2)+LARGE(CHOOSE({1;2;3;4},F34,I34,L34,O34),3)</f>
        <v>6.6999999999999993</v>
      </c>
      <c r="S34" s="8">
        <f>LARGE(CHOOSE({1;2;3;4},G34,J34,M34,P34),1)+LARGE(CHOOSE({1;2;3;4},G34,J34,M34,P34),2)+LARGE(CHOOSE({1;2;3;4},G34,J34,M34,P34),3)</f>
        <v>11.15</v>
      </c>
      <c r="T34" s="8">
        <f>LARGE(CHOOSE({1;2;3;4},H34,K34,N34,Q34),1)+LARGE(CHOOSE({1;2;3;4},H34,K34,N34,Q34),2)+LARGE(CHOOSE({1;2;3;4},H34,K34,N34,Q34),3)</f>
        <v>17.850000000000001</v>
      </c>
      <c r="U34" s="5" cm="1">
        <f t="array" ref="U34">IF(PH[[#This Row],[Number_of_Competition]:[Number_of_Competition]]&gt;=3,(LARGE(CHOOSE({1;2;3;4},F34,I34,L34,O34),1)+LARGE(CHOOSE({1;2;3;4},F34,I34,L34,O34),2)+LARGE(CHOOSE({1;2;3;4},F34,I34,L34,O34),3))/3,0)</f>
        <v>0</v>
      </c>
      <c r="V34" s="8" cm="1">
        <f t="array" ref="V34">IF(PH[[#This Row],[Number_of_Competition]:[Number_of_Competition]]&gt;=3,(LARGE(CHOOSE({1;2;3;4},G34,J34,M34,P34),1)+LARGE(CHOOSE({1;2;3;4},G34,J34,M34,P34),2)+LARGE(CHOOSE({1;2;3;4},G34,J34,M34,P34),3))/3,0)</f>
        <v>0</v>
      </c>
      <c r="W34" s="8" cm="1">
        <f t="array" ref="W34">IF(PH[[#This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120</v>
      </c>
      <c r="B35" s="2" t="s">
        <v>26</v>
      </c>
      <c r="C35" s="2" t="s">
        <v>121</v>
      </c>
      <c r="D35" t="s">
        <v>39</v>
      </c>
      <c r="E35" s="9">
        <f>COUNTIF(PH[[#This Row],[bydgoszcz_PH_Total_Score]],"&gt;0")+COUNTIF(PH[[#This Row],[zabrze_PH_Total_Score]],"&gt;0")+COUNTIF(PH[[#This Row],[cracow_PH_Total_Score]],"&gt;0")+COUNTIF(PH[[#This Row],[gdansk_PH_Total_Score]],"&gt;0")</f>
        <v>2</v>
      </c>
      <c r="F35" s="5">
        <v>2.6</v>
      </c>
      <c r="G35" s="8">
        <v>4.4000000000000004</v>
      </c>
      <c r="H35" s="8">
        <v>7</v>
      </c>
      <c r="I35" s="5">
        <v>0</v>
      </c>
      <c r="J35" s="8">
        <v>0</v>
      </c>
      <c r="K35" s="8">
        <v>0</v>
      </c>
      <c r="L35" s="5">
        <v>2.4</v>
      </c>
      <c r="M35" s="8">
        <v>5.7</v>
      </c>
      <c r="N35" s="8">
        <v>8.1</v>
      </c>
      <c r="O35" s="5">
        <v>0</v>
      </c>
      <c r="P35" s="8">
        <v>0</v>
      </c>
      <c r="Q35" s="8">
        <v>0</v>
      </c>
      <c r="R35" s="5">
        <f>LARGE(CHOOSE({1;2;3;4},F35,I35,L35,O35),1)+LARGE(CHOOSE({1;2;3;4},F35,I35,L35,O35),2)+LARGE(CHOOSE({1;2;3;4},F35,I35,L35,O35),3)</f>
        <v>5</v>
      </c>
      <c r="S35" s="8">
        <f>LARGE(CHOOSE({1;2;3;4},G35,J35,M35,P35),1)+LARGE(CHOOSE({1;2;3;4},G35,J35,M35,P35),2)+LARGE(CHOOSE({1;2;3;4},G35,J35,M35,P35),3)</f>
        <v>10.100000000000001</v>
      </c>
      <c r="T35" s="8">
        <f>LARGE(CHOOSE({1;2;3;4},H35,K35,N35,Q35),1)+LARGE(CHOOSE({1;2;3;4},H35,K35,N35,Q35),2)+LARGE(CHOOSE({1;2;3;4},H35,K35,N35,Q35),3)</f>
        <v>15.1</v>
      </c>
      <c r="U35" s="5" cm="1">
        <f t="array" ref="U35">IF(PH[[#This Row],[Number_of_Competition]:[Number_of_Competition]]&gt;=3,(LARGE(CHOOSE({1;2;3;4},F35,I35,L35,O35),1)+LARGE(CHOOSE({1;2;3;4},F35,I35,L35,O35),2)+LARGE(CHOOSE({1;2;3;4},F35,I35,L35,O35),3))/3,0)</f>
        <v>0</v>
      </c>
      <c r="V35" s="8" cm="1">
        <f t="array" ref="V35">IF(PH[[#This Row],[Number_of_Competition]:[Number_of_Competition]]&gt;=3,(LARGE(CHOOSE({1;2;3;4},G35,J35,M35,P35),1)+LARGE(CHOOSE({1;2;3;4},G35,J35,M35,P35),2)+LARGE(CHOOSE({1;2;3;4},G35,J35,M35,P35),3))/3,0)</f>
        <v>0</v>
      </c>
      <c r="W35" s="8" cm="1">
        <f t="array" ref="W35">IF(PH[[#This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118</v>
      </c>
      <c r="B36" s="2" t="s">
        <v>60</v>
      </c>
      <c r="C36" s="2" t="s">
        <v>119</v>
      </c>
      <c r="D36" t="s">
        <v>31</v>
      </c>
      <c r="E36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36" s="5">
        <v>0</v>
      </c>
      <c r="G36" s="8">
        <v>0</v>
      </c>
      <c r="H36" s="8">
        <v>0</v>
      </c>
      <c r="I36" s="5">
        <v>0</v>
      </c>
      <c r="J36" s="8">
        <v>0</v>
      </c>
      <c r="K36" s="8">
        <v>0</v>
      </c>
      <c r="L36" s="5">
        <v>4.5999999999999996</v>
      </c>
      <c r="M36" s="8">
        <v>7.7</v>
      </c>
      <c r="N36" s="8">
        <v>12.3</v>
      </c>
      <c r="O36" s="5">
        <v>0</v>
      </c>
      <c r="P36" s="8">
        <v>0</v>
      </c>
      <c r="Q36" s="8">
        <v>0</v>
      </c>
      <c r="R36" s="5">
        <f>LARGE(CHOOSE({1;2;3;4},F36,I36,L36,O36),1)+LARGE(CHOOSE({1;2;3;4},F36,I36,L36,O36),2)+LARGE(CHOOSE({1;2;3;4},F36,I36,L36,O36),3)</f>
        <v>4.5999999999999996</v>
      </c>
      <c r="S36" s="8">
        <f>LARGE(CHOOSE({1;2;3;4},G36,J36,M36,P36),1)+LARGE(CHOOSE({1;2;3;4},G36,J36,M36,P36),2)+LARGE(CHOOSE({1;2;3;4},G36,J36,M36,P36),3)</f>
        <v>7.7</v>
      </c>
      <c r="T36" s="8">
        <f>LARGE(CHOOSE({1;2;3;4},H36,K36,N36,Q36),1)+LARGE(CHOOSE({1;2;3;4},H36,K36,N36,Q36),2)+LARGE(CHOOSE({1;2;3;4},H36,K36,N36,Q36),3)</f>
        <v>12.3</v>
      </c>
      <c r="U36" s="5" cm="1">
        <f t="array" ref="U36">IF(PH[[#This Row],[Number_of_Competition]:[Number_of_Competition]]&gt;=3,(LARGE(CHOOSE({1;2;3;4},F36,I36,L36,O36),1)+LARGE(CHOOSE({1;2;3;4},F36,I36,L36,O36),2)+LARGE(CHOOSE({1;2;3;4},F36,I36,L36,O36),3))/3,0)</f>
        <v>0</v>
      </c>
      <c r="V36" s="8" cm="1">
        <f t="array" ref="V36">IF(PH[[#This Row],[Number_of_Competition]:[Number_of_Competition]]&gt;=3,(LARGE(CHOOSE({1;2;3;4},G36,J36,M36,P36),1)+LARGE(CHOOSE({1;2;3;4},G36,J36,M36,P36),2)+LARGE(CHOOSE({1;2;3;4},G36,J36,M36,P36),3))/3,0)</f>
        <v>0</v>
      </c>
      <c r="W36" s="8" cm="1">
        <f t="array" ref="W36">IF(PH[[#This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142</v>
      </c>
      <c r="B37" s="2" t="s">
        <v>60</v>
      </c>
      <c r="C37" s="2" t="s">
        <v>143</v>
      </c>
      <c r="D37" t="s">
        <v>62</v>
      </c>
      <c r="E37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37" s="5">
        <v>3.8</v>
      </c>
      <c r="G37" s="8">
        <v>7.9</v>
      </c>
      <c r="H37" s="8">
        <v>11.7</v>
      </c>
      <c r="I37" s="5">
        <v>0</v>
      </c>
      <c r="J37" s="8">
        <v>0</v>
      </c>
      <c r="K37" s="8">
        <v>0</v>
      </c>
      <c r="L37" s="5">
        <v>0</v>
      </c>
      <c r="M37" s="8">
        <v>0</v>
      </c>
      <c r="N37" s="8">
        <v>0</v>
      </c>
      <c r="O37" s="5">
        <v>0</v>
      </c>
      <c r="P37" s="8">
        <v>0</v>
      </c>
      <c r="Q37" s="8">
        <v>0</v>
      </c>
      <c r="R37" s="5">
        <f>LARGE(CHOOSE({1;2;3;4},F37,I37,L37,O37),1)+LARGE(CHOOSE({1;2;3;4},F37,I37,L37,O37),2)+LARGE(CHOOSE({1;2;3;4},F37,I37,L37,O37),3)</f>
        <v>3.8</v>
      </c>
      <c r="S37" s="8">
        <f>LARGE(CHOOSE({1;2;3;4},G37,J37,M37,P37),1)+LARGE(CHOOSE({1;2;3;4},G37,J37,M37,P37),2)+LARGE(CHOOSE({1;2;3;4},G37,J37,M37,P37),3)</f>
        <v>7.9</v>
      </c>
      <c r="T37" s="8">
        <f>LARGE(CHOOSE({1;2;3;4},H37,K37,N37,Q37),1)+LARGE(CHOOSE({1;2;3;4},H37,K37,N37,Q37),2)+LARGE(CHOOSE({1;2;3;4},H37,K37,N37,Q37),3)</f>
        <v>11.7</v>
      </c>
      <c r="U37" s="5" cm="1">
        <f t="array" ref="U37">IF(PH[[#This Row],[Number_of_Competition]:[Number_of_Competition]]&gt;=3,(LARGE(CHOOSE({1;2;3;4},F37,I37,L37,O37),1)+LARGE(CHOOSE({1;2;3;4},F37,I37,L37,O37),2)+LARGE(CHOOSE({1;2;3;4},F37,I37,L37,O37),3))/3,0)</f>
        <v>0</v>
      </c>
      <c r="V37" s="8" cm="1">
        <f t="array" ref="V37">IF(PH[[#This Row],[Number_of_Competition]:[Number_of_Competition]]&gt;=3,(LARGE(CHOOSE({1;2;3;4},G37,J37,M37,P37),1)+LARGE(CHOOSE({1;2;3;4},G37,J37,M37,P37),2)+LARGE(CHOOSE({1;2;3;4},G37,J37,M37,P37),3))/3,0)</f>
        <v>0</v>
      </c>
      <c r="W37" s="8" cm="1">
        <f t="array" ref="W37">IF(PH[[#This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132</v>
      </c>
      <c r="B38" s="2" t="s">
        <v>26</v>
      </c>
      <c r="C38" s="2" t="s">
        <v>133</v>
      </c>
      <c r="D38" t="s">
        <v>39</v>
      </c>
      <c r="E38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38" s="5">
        <v>3</v>
      </c>
      <c r="G38" s="8">
        <v>7.6</v>
      </c>
      <c r="H38" s="8">
        <v>10.6</v>
      </c>
      <c r="I38" s="5">
        <v>0</v>
      </c>
      <c r="J38" s="8">
        <v>0</v>
      </c>
      <c r="K38" s="8">
        <v>0</v>
      </c>
      <c r="L38" s="5">
        <v>0</v>
      </c>
      <c r="M38" s="8">
        <v>0</v>
      </c>
      <c r="N38" s="8">
        <v>0</v>
      </c>
      <c r="O38" s="5">
        <v>0</v>
      </c>
      <c r="P38" s="8">
        <v>0</v>
      </c>
      <c r="Q38" s="8">
        <v>0</v>
      </c>
      <c r="R38" s="5">
        <f>LARGE(CHOOSE({1;2;3;4},F38,I38,L38,O38),1)+LARGE(CHOOSE({1;2;3;4},F38,I38,L38,O38),2)+LARGE(CHOOSE({1;2;3;4},F38,I38,L38,O38),3)</f>
        <v>3</v>
      </c>
      <c r="S38" s="8">
        <f>LARGE(CHOOSE({1;2;3;4},G38,J38,M38,P38),1)+LARGE(CHOOSE({1;2;3;4},G38,J38,M38,P38),2)+LARGE(CHOOSE({1;2;3;4},G38,J38,M38,P38),3)</f>
        <v>7.6</v>
      </c>
      <c r="T38" s="8">
        <f>LARGE(CHOOSE({1;2;3;4},H38,K38,N38,Q38),1)+LARGE(CHOOSE({1;2;3;4},H38,K38,N38,Q38),2)+LARGE(CHOOSE({1;2;3;4},H38,K38,N38,Q38),3)</f>
        <v>10.6</v>
      </c>
      <c r="U38" s="5" cm="1">
        <f t="array" ref="U38">IF(PH[[#This Row],[Number_of_Competition]:[Number_of_Competition]]&gt;=3,(LARGE(CHOOSE({1;2;3;4},F38,I38,L38,O38),1)+LARGE(CHOOSE({1;2;3;4},F38,I38,L38,O38),2)+LARGE(CHOOSE({1;2;3;4},F38,I38,L38,O38),3))/3,0)</f>
        <v>0</v>
      </c>
      <c r="V38" s="8" cm="1">
        <f t="array" ref="V38">IF(PH[[#This Row],[Number_of_Competition]:[Number_of_Competition]]&gt;=3,(LARGE(CHOOSE({1;2;3;4},G38,J38,M38,P38),1)+LARGE(CHOOSE({1;2;3;4},G38,J38,M38,P38),2)+LARGE(CHOOSE({1;2;3;4},G38,J38,M38,P38),3))/3,0)</f>
        <v>0</v>
      </c>
      <c r="W38" s="8" cm="1">
        <f t="array" ref="W38">IF(PH[[#This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57</v>
      </c>
      <c r="B39" s="2" t="s">
        <v>26</v>
      </c>
      <c r="C39" s="2" t="s">
        <v>58</v>
      </c>
      <c r="D39" t="s">
        <v>36</v>
      </c>
      <c r="E39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39" s="5">
        <v>2.6</v>
      </c>
      <c r="G39" s="8">
        <v>6</v>
      </c>
      <c r="H39" s="8">
        <v>8.6</v>
      </c>
      <c r="I39" s="5">
        <v>0</v>
      </c>
      <c r="J39" s="8">
        <v>0</v>
      </c>
      <c r="K39" s="8">
        <v>0</v>
      </c>
      <c r="L39" s="5">
        <v>0</v>
      </c>
      <c r="M39" s="8">
        <v>0</v>
      </c>
      <c r="N39" s="8">
        <v>0</v>
      </c>
      <c r="O39" s="5">
        <v>0</v>
      </c>
      <c r="P39" s="8">
        <v>0</v>
      </c>
      <c r="Q39" s="8">
        <v>0</v>
      </c>
      <c r="R39" s="5">
        <f>LARGE(CHOOSE({1;2;3;4},F39,I39,L39,O39),1)+LARGE(CHOOSE({1;2;3;4},F39,I39,L39,O39),2)+LARGE(CHOOSE({1;2;3;4},F39,I39,L39,O39),3)</f>
        <v>2.6</v>
      </c>
      <c r="S39" s="8">
        <f>LARGE(CHOOSE({1;2;3;4},G39,J39,M39,P39),1)+LARGE(CHOOSE({1;2;3;4},G39,J39,M39,P39),2)+LARGE(CHOOSE({1;2;3;4},G39,J39,M39,P39),3)</f>
        <v>6</v>
      </c>
      <c r="T39" s="8">
        <f>LARGE(CHOOSE({1;2;3;4},H39,K39,N39,Q39),1)+LARGE(CHOOSE({1;2;3;4},H39,K39,N39,Q39),2)+LARGE(CHOOSE({1;2;3;4},H39,K39,N39,Q39),3)</f>
        <v>8.6</v>
      </c>
      <c r="U39" s="5" cm="1">
        <f t="array" ref="U39">IF(PH[[#This Row],[Number_of_Competition]:[Number_of_Competition]]&gt;=3,(LARGE(CHOOSE({1;2;3;4},F39,I39,L39,O39),1)+LARGE(CHOOSE({1;2;3;4},F39,I39,L39,O39),2)+LARGE(CHOOSE({1;2;3;4},F39,I39,L39,O39),3))/3,0)</f>
        <v>0</v>
      </c>
      <c r="V39" s="8" cm="1">
        <f t="array" ref="V39">IF(PH[[#This Row],[Number_of_Competition]:[Number_of_Competition]]&gt;=3,(LARGE(CHOOSE({1;2;3;4},G39,J39,M39,P39),1)+LARGE(CHOOSE({1;2;3;4},G39,J39,M39,P39),2)+LARGE(CHOOSE({1;2;3;4},G39,J39,M39,P39),3))/3,0)</f>
        <v>0</v>
      </c>
      <c r="W39" s="8" cm="1">
        <f t="array" ref="W39">IF(PH[[#This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106</v>
      </c>
      <c r="B40" s="2" t="s">
        <v>60</v>
      </c>
      <c r="C40" s="2" t="s">
        <v>107</v>
      </c>
      <c r="D40" t="s">
        <v>31</v>
      </c>
      <c r="E40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40" s="5">
        <v>2.2999999999999998</v>
      </c>
      <c r="G40" s="8">
        <v>2</v>
      </c>
      <c r="H40" s="8">
        <v>4.3</v>
      </c>
      <c r="I40" s="5">
        <v>0</v>
      </c>
      <c r="J40" s="8">
        <v>0</v>
      </c>
      <c r="K40" s="8">
        <v>0</v>
      </c>
      <c r="L40" s="5">
        <v>0</v>
      </c>
      <c r="M40" s="8">
        <v>0</v>
      </c>
      <c r="N40" s="8">
        <v>0</v>
      </c>
      <c r="O40" s="5">
        <v>0</v>
      </c>
      <c r="P40" s="8">
        <v>0</v>
      </c>
      <c r="Q40" s="8">
        <v>0</v>
      </c>
      <c r="R40" s="5">
        <f>LARGE(CHOOSE({1;2;3;4},F40,I40,L40,O40),1)+LARGE(CHOOSE({1;2;3;4},F40,I40,L40,O40),2)+LARGE(CHOOSE({1;2;3;4},F40,I40,L40,O40),3)</f>
        <v>2.2999999999999998</v>
      </c>
      <c r="S40" s="8">
        <f>LARGE(CHOOSE({1;2;3;4},G40,J40,M40,P40),1)+LARGE(CHOOSE({1;2;3;4},G40,J40,M40,P40),2)+LARGE(CHOOSE({1;2;3;4},G40,J40,M40,P40),3)</f>
        <v>2</v>
      </c>
      <c r="T40" s="8">
        <f>LARGE(CHOOSE({1;2;3;4},H40,K40,N40,Q40),1)+LARGE(CHOOSE({1;2;3;4},H40,K40,N40,Q40),2)+LARGE(CHOOSE({1;2;3;4},H40,K40,N40,Q40),3)</f>
        <v>4.3</v>
      </c>
      <c r="U40" s="5" cm="1">
        <f t="array" ref="U40">IF(PH[[#This Row],[Number_of_Competition]:[Number_of_Competition]]&gt;=3,(LARGE(CHOOSE({1;2;3;4},F40,I40,L40,O40),1)+LARGE(CHOOSE({1;2;3;4},F40,I40,L40,O40),2)+LARGE(CHOOSE({1;2;3;4},F40,I40,L40,O40),3))/3,0)</f>
        <v>0</v>
      </c>
      <c r="V40" s="8" cm="1">
        <f t="array" ref="V40">IF(PH[[#This Row],[Number_of_Competition]:[Number_of_Competition]]&gt;=3,(LARGE(CHOOSE({1;2;3;4},G40,J40,M40,P40),1)+LARGE(CHOOSE({1;2;3;4},G40,J40,M40,P40),2)+LARGE(CHOOSE({1;2;3;4},G40,J40,M40,P40),3))/3,0)</f>
        <v>0</v>
      </c>
      <c r="W40" s="8" cm="1">
        <f t="array" ref="W40">IF(PH[[#This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100</v>
      </c>
      <c r="B41" s="2" t="s">
        <v>60</v>
      </c>
      <c r="C41" s="2" t="s">
        <v>101</v>
      </c>
      <c r="D41" t="s">
        <v>31</v>
      </c>
      <c r="E41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41" s="5">
        <v>2.4</v>
      </c>
      <c r="G41" s="8">
        <v>1.1000000000000001</v>
      </c>
      <c r="H41" s="8">
        <v>3.5</v>
      </c>
      <c r="I41" s="5">
        <v>0</v>
      </c>
      <c r="J41" s="8">
        <v>0</v>
      </c>
      <c r="K41" s="8">
        <v>0</v>
      </c>
      <c r="L41" s="5">
        <v>0</v>
      </c>
      <c r="M41" s="8">
        <v>0</v>
      </c>
      <c r="N41" s="8">
        <v>0</v>
      </c>
      <c r="O41" s="5">
        <v>0</v>
      </c>
      <c r="P41" s="8">
        <v>0</v>
      </c>
      <c r="Q41" s="8">
        <v>0</v>
      </c>
      <c r="R41" s="5">
        <f>LARGE(CHOOSE({1;2;3;4},F41,I41,L41,O41),1)+LARGE(CHOOSE({1;2;3;4},F41,I41,L41,O41),2)+LARGE(CHOOSE({1;2;3;4},F41,I41,L41,O41),3)</f>
        <v>2.4</v>
      </c>
      <c r="S41" s="8">
        <f>LARGE(CHOOSE({1;2;3;4},G41,J41,M41,P41),1)+LARGE(CHOOSE({1;2;3;4},G41,J41,M41,P41),2)+LARGE(CHOOSE({1;2;3;4},G41,J41,M41,P41),3)</f>
        <v>1.1000000000000001</v>
      </c>
      <c r="T41" s="8">
        <f>LARGE(CHOOSE({1;2;3;4},H41,K41,N41,Q41),1)+LARGE(CHOOSE({1;2;3;4},H41,K41,N41,Q41),2)+LARGE(CHOOSE({1;2;3;4},H41,K41,N41,Q41),3)</f>
        <v>3.5</v>
      </c>
      <c r="U41" s="5" cm="1">
        <f t="array" ref="U41">IF(PH[[#This Row],[Number_of_Competition]:[Number_of_Competition]]&gt;=3,(LARGE(CHOOSE({1;2;3;4},F41,I41,L41,O41),1)+LARGE(CHOOSE({1;2;3;4},F41,I41,L41,O41),2)+LARGE(CHOOSE({1;2;3;4},F41,I41,L41,O41),3))/3,0)</f>
        <v>0</v>
      </c>
      <c r="V41" s="8" cm="1">
        <f t="array" ref="V41">IF(PH[[#This Row],[Number_of_Competition]:[Number_of_Competition]]&gt;=3,(LARGE(CHOOSE({1;2;3;4},G41,J41,M41,P41),1)+LARGE(CHOOSE({1;2;3;4},G41,J41,M41,P41),2)+LARGE(CHOOSE({1;2;3;4},G41,J41,M41,P41),3))/3,0)</f>
        <v>0</v>
      </c>
      <c r="W41" s="8" cm="1">
        <f t="array" ref="W41">IF(PH[[#This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139</v>
      </c>
      <c r="B42" s="2" t="s">
        <v>26</v>
      </c>
      <c r="C42" s="2" t="s">
        <v>140</v>
      </c>
      <c r="D42" t="s">
        <v>124</v>
      </c>
      <c r="E42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42" s="5">
        <v>1.5</v>
      </c>
      <c r="G42" s="8">
        <v>0</v>
      </c>
      <c r="H42" s="8">
        <v>1.5</v>
      </c>
      <c r="I42" s="5">
        <v>0</v>
      </c>
      <c r="J42" s="8">
        <v>0</v>
      </c>
      <c r="K42" s="8">
        <v>0</v>
      </c>
      <c r="L42" s="5">
        <v>0</v>
      </c>
      <c r="M42" s="8">
        <v>0</v>
      </c>
      <c r="N42" s="8">
        <v>0</v>
      </c>
      <c r="O42" s="5">
        <v>0</v>
      </c>
      <c r="P42" s="8">
        <v>0</v>
      </c>
      <c r="Q42" s="8">
        <v>0</v>
      </c>
      <c r="R42" s="5">
        <f>LARGE(CHOOSE({1;2;3;4},F42,I42,L42,O42),1)+LARGE(CHOOSE({1;2;3;4},F42,I42,L42,O42),2)+LARGE(CHOOSE({1;2;3;4},F42,I42,L42,O42),3)</f>
        <v>1.5</v>
      </c>
      <c r="S42" s="8">
        <f>LARGE(CHOOSE({1;2;3;4},G42,J42,M42,P42),1)+LARGE(CHOOSE({1;2;3;4},G42,J42,M42,P42),2)+LARGE(CHOOSE({1;2;3;4},G42,J42,M42,P42),3)</f>
        <v>0</v>
      </c>
      <c r="T42" s="8">
        <f>LARGE(CHOOSE({1;2;3;4},H42,K42,N42,Q42),1)+LARGE(CHOOSE({1;2;3;4},H42,K42,N42,Q42),2)+LARGE(CHOOSE({1;2;3;4},H42,K42,N42,Q42),3)</f>
        <v>1.5</v>
      </c>
      <c r="U42" s="5" cm="1">
        <f t="array" ref="U42">IF(PH[[#This Row],[Number_of_Competition]:[Number_of_Competition]]&gt;=3,(LARGE(CHOOSE({1;2;3;4},F42,I42,L42,O42),1)+LARGE(CHOOSE({1;2;3;4},F42,I42,L42,O42),2)+LARGE(CHOOSE({1;2;3;4},F42,I42,L42,O42),3))/3,0)</f>
        <v>0</v>
      </c>
      <c r="V42" s="8" cm="1">
        <f t="array" ref="V42">IF(PH[[#This Row],[Number_of_Competition]:[Number_of_Competition]]&gt;=3,(LARGE(CHOOSE({1;2;3;4},G42,J42,M42,P42),1)+LARGE(CHOOSE({1;2;3;4},G42,J42,M42,P42),2)+LARGE(CHOOSE({1;2;3;4},G42,J42,M42,P42),3))/3,0)</f>
        <v>0</v>
      </c>
      <c r="W42" s="8" cm="1">
        <f t="array" ref="W42">IF(PH[[#This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135</v>
      </c>
      <c r="B43" s="2" t="s">
        <v>26</v>
      </c>
      <c r="C43" s="2" t="s">
        <v>136</v>
      </c>
      <c r="D43" t="s">
        <v>124</v>
      </c>
      <c r="E43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43" s="5">
        <v>1.3</v>
      </c>
      <c r="G43" s="8">
        <v>0</v>
      </c>
      <c r="H43" s="8">
        <v>1.3</v>
      </c>
      <c r="I43" s="5">
        <v>0</v>
      </c>
      <c r="J43" s="8">
        <v>0</v>
      </c>
      <c r="K43" s="8">
        <v>0</v>
      </c>
      <c r="L43" s="5">
        <v>0</v>
      </c>
      <c r="M43" s="8">
        <v>0</v>
      </c>
      <c r="N43" s="8">
        <v>0</v>
      </c>
      <c r="O43" s="5">
        <v>0</v>
      </c>
      <c r="P43" s="8">
        <v>0</v>
      </c>
      <c r="Q43" s="8">
        <v>0</v>
      </c>
      <c r="R43" s="5">
        <f>LARGE(CHOOSE({1;2;3;4},F43,I43,L43,O43),1)+LARGE(CHOOSE({1;2;3;4},F43,I43,L43,O43),2)+LARGE(CHOOSE({1;2;3;4},F43,I43,L43,O43),3)</f>
        <v>1.3</v>
      </c>
      <c r="S43" s="8">
        <f>LARGE(CHOOSE({1;2;3;4},G43,J43,M43,P43),1)+LARGE(CHOOSE({1;2;3;4},G43,J43,M43,P43),2)+LARGE(CHOOSE({1;2;3;4},G43,J43,M43,P43),3)</f>
        <v>0</v>
      </c>
      <c r="T43" s="8">
        <f>LARGE(CHOOSE({1;2;3;4},H43,K43,N43,Q43),1)+LARGE(CHOOSE({1;2;3;4},H43,K43,N43,Q43),2)+LARGE(CHOOSE({1;2;3;4},H43,K43,N43,Q43),3)</f>
        <v>1.3</v>
      </c>
      <c r="U43" s="5" cm="1">
        <f t="array" ref="U43">IF(PH[[#This Row],[Number_of_Competition]:[Number_of_Competition]]&gt;=3,(LARGE(CHOOSE({1;2;3;4},F43,I43,L43,O43),1)+LARGE(CHOOSE({1;2;3;4},F43,I43,L43,O43),2)+LARGE(CHOOSE({1;2;3;4},F43,I43,L43,O43),3))/3,0)</f>
        <v>0</v>
      </c>
      <c r="V43" s="8" cm="1">
        <f t="array" ref="V43">IF(PH[[#This Row],[Number_of_Competition]:[Number_of_Competition]]&gt;=3,(LARGE(CHOOSE({1;2;3;4},G43,J43,M43,P43),1)+LARGE(CHOOSE({1;2;3;4},G43,J43,M43,P43),2)+LARGE(CHOOSE({1;2;3;4},G43,J43,M43,P43),3))/3,0)</f>
        <v>0</v>
      </c>
      <c r="W43" s="8" cm="1">
        <f t="array" ref="W43">IF(PH[[#This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137</v>
      </c>
      <c r="B44" s="2" t="s">
        <v>26</v>
      </c>
      <c r="C44" s="2" t="s">
        <v>138</v>
      </c>
      <c r="D44" t="s">
        <v>124</v>
      </c>
      <c r="E44" s="9">
        <f>COUNTIF(PH[[#This Row],[bydgoszcz_PH_Total_Score]],"&gt;0")+COUNTIF(PH[[#This Row],[zabrze_PH_Total_Score]],"&gt;0")+COUNTIF(PH[[#This Row],[cracow_PH_Total_Score]],"&gt;0")+COUNTIF(PH[[#This Row],[gdansk_PH_Total_Score]],"&gt;0")</f>
        <v>1</v>
      </c>
      <c r="F44" s="5">
        <v>0.6</v>
      </c>
      <c r="G44" s="8">
        <v>0</v>
      </c>
      <c r="H44" s="8">
        <v>0.6</v>
      </c>
      <c r="I44" s="5">
        <v>0</v>
      </c>
      <c r="J44" s="8">
        <v>0</v>
      </c>
      <c r="K44" s="8">
        <v>0</v>
      </c>
      <c r="L44" s="5">
        <v>0</v>
      </c>
      <c r="M44" s="8">
        <v>0</v>
      </c>
      <c r="N44" s="8">
        <v>0</v>
      </c>
      <c r="O44" s="5">
        <v>0</v>
      </c>
      <c r="P44" s="8">
        <v>0</v>
      </c>
      <c r="Q44" s="8">
        <v>0</v>
      </c>
      <c r="R44" s="5">
        <f>LARGE(CHOOSE({1;2;3;4},F44,I44,L44,O44),1)+LARGE(CHOOSE({1;2;3;4},F44,I44,L44,O44),2)+LARGE(CHOOSE({1;2;3;4},F44,I44,L44,O44),3)</f>
        <v>0.6</v>
      </c>
      <c r="S44" s="8">
        <f>LARGE(CHOOSE({1;2;3;4},G44,J44,M44,P44),1)+LARGE(CHOOSE({1;2;3;4},G44,J44,M44,P44),2)+LARGE(CHOOSE({1;2;3;4},G44,J44,M44,P44),3)</f>
        <v>0</v>
      </c>
      <c r="T44" s="8">
        <f>LARGE(CHOOSE({1;2;3;4},H44,K44,N44,Q44),1)+LARGE(CHOOSE({1;2;3;4},H44,K44,N44,Q44),2)+LARGE(CHOOSE({1;2;3;4},H44,K44,N44,Q44),3)</f>
        <v>0.6</v>
      </c>
      <c r="U44" s="5" cm="1">
        <f t="array" ref="U44">IF(PH[[#This Row],[Number_of_Competition]:[Number_of_Competition]]&gt;=3,(LARGE(CHOOSE({1;2;3;4},F44,I44,L44,O44),1)+LARGE(CHOOSE({1;2;3;4},F44,I44,L44,O44),2)+LARGE(CHOOSE({1;2;3;4},F44,I44,L44,O44),3))/3,0)</f>
        <v>0</v>
      </c>
      <c r="V44" s="8" cm="1">
        <f t="array" ref="V44">IF(PH[[#This Row],[Number_of_Competition]:[Number_of_Competition]]&gt;=3,(LARGE(CHOOSE({1;2;3;4},G44,J44,M44,P44),1)+LARGE(CHOOSE({1;2;3;4},G44,J44,M44,P44),2)+LARGE(CHOOSE({1;2;3;4},G44,J44,M44,P44),3))/3,0)</f>
        <v>0</v>
      </c>
      <c r="W44" s="8" cm="1">
        <f t="array" ref="W44">IF(PH[[#This Row],[Number_of_Competition]:[Number_of_Competition]]&gt;=3,(LARGE(CHOOSE({1;2;3;4},H44,K44,N44,Q44),1)+LARGE(CHOOSE({1;2;3;4},H44,K44,N44,Q44),2)+LARGE(CHOOSE({1;2;3;4},H44,K44,N44,Q44),3))/3,0)</f>
        <v>0</v>
      </c>
    </row>
    <row r="47" spans="1:23" x14ac:dyDescent="0.25">
      <c r="A47" s="2" t="s">
        <v>244</v>
      </c>
      <c r="B47" s="7" t="s">
        <v>256</v>
      </c>
      <c r="C47" s="7" t="s">
        <v>260</v>
      </c>
      <c r="D47" s="2" t="s">
        <v>255</v>
      </c>
    </row>
    <row r="48" spans="1:23" x14ac:dyDescent="0.25">
      <c r="A48" s="4" cm="1">
        <f t="array" ref="A48">SUM(_xlfn._xlws.FILTER(PH[bydgoszcz_PH_Dscore],PH[Category]="junior"),_xlfn._xlws.FILTER(PH[zabrze_PH_Dscore],PH[Category]="junior"),_xlfn._xlws.FILTER(PH[cracow_PH_Dscore],PH[Category]="junior"),_xlfn._xlws.FILTER(PH[gdansk_PH_Dscore],PH[Category]="junior"))/(COUNTIFS(PH[bydgoszcz_PH_Dscore],"&gt;0",PH[Category],"junior")+COUNTIFS(PH[zabrze_PH_Dscore],"&gt;0",PH[Category],"junior")+COUNTIFS(PH[cracow_PH_Dscore],"&gt;0",PH[Category],"junior")+COUNTIFS(PH[gdansk_PH_Dscore],"&gt;0",PH[Category],"junior"))</f>
        <v>2.9377358490566037</v>
      </c>
      <c r="B48" s="4" cm="1">
        <f t="array" ref="B48">_xlfn.STDEV.S(_xlfn._xlws.FILTER(PH[bydgoszcz_PH_Dscore],(PH[Category]="junior")*(PH[bydgoszcz_PH_Dscore])&gt;0),_xlfn._xlws.FILTER(PH[zabrze_PH_Dscore],(PH[Category]="junior")*(PH[zabrze_PH_Dscore])&gt;0),_xlfn._xlws.FILTER(PH[cracow_PH_Dscore],(PH[Category]="junior")*(PH[cracow_PH_Dscore])&gt;0),_xlfn._xlws.FILTER(PH[gdansk_PH_Dscore],(PH[Category]="junior")*(PH[gdansk_PH_Dscore])&gt;0))</f>
        <v>0.77191729705831846</v>
      </c>
      <c r="C48" s="4" cm="1">
        <f t="array" ref="C48">MAX(_xlfn._xlws.FILTER(PH[bydgoszcz_PH_Dscore],PH[Category]="junior"),_xlfn._xlws.FILTER(PH[zabrze_PH_Dscore],PH[Category]="junior"),_xlfn._xlws.FILTER(PH[cracow_PH_Dscore],PH[Category]="junior"),_xlfn._xlws.FILTER(PH[gdansk_PH_Dscore],PH[Category]="junior"))</f>
        <v>4.4000000000000004</v>
      </c>
      <c r="D48" s="2" t="str" cm="1">
        <f t="array" ref="D48">_xlfn.XLOOKUP(C48,_xlfn._xlws.FILTER(PH[bydgoszcz_PH_Dscore],PH[Category]="junior"),_xlfn._xlws.FILTER(PH[Name],PH[Category]="junior"),_xlfn.XLOOKUP(C48,_xlfn._xlws.FILTER(PH[zabrze_PH_Dscore],PH[Category]="junior"),_xlfn._xlws.FILTER(PH[Name],PH[Category]="junior"),_xlfn.XLOOKUP(C48,_xlfn._xlws.FILTER(PH[cracow_PH_Dscore],PH[Category]="junior"),_xlfn._xlws.FILTER(PH[Name],PH[Category]="junior"),_xlfn.XLOOKUP(C48,_xlfn._xlws.FILTER(PH[gdansk_PH_Dscore],PH[Category]="junior"),_xlfn._xlws.FILTER(PH[Name],PH[Category]="junior")))))</f>
        <v>KORBIEL Franciszek</v>
      </c>
    </row>
    <row r="49" spans="1:4" x14ac:dyDescent="0.25">
      <c r="A49" s="4" cm="1">
        <f t="array" ref="A49">SUM(_xlfn._xlws.FILTER(PH[bydgoszcz_PH_Dscore],PH[Category]="senior"),_xlfn._xlws.FILTER(PH[zabrze_PH_Dscore],PH[Category]="senior"),_xlfn._xlws.FILTER(PH[cracow_PH_Dscore],PH[Category]="senior"),_xlfn._xlws.FILTER(PH[gdansk_PH_Dscore],PH[Category]="senior"))/(COUNTIFS(PH[bydgoszcz_PH_Dscore],"&gt;0",PH[Category],"senior")+COUNTIFS(PH[zabrze_PH_Dscore],"&gt;0",PH[Category],"senior")+COUNTIFS(PH[cracow_PH_Dscore],"&gt;0",PH[Category],"senior")+COUNTIFS(PH[gdansk_PH_Dscore],"&gt;0",PH[Category],"senior"))</f>
        <v>3.6766666666666663</v>
      </c>
      <c r="B49" s="4" cm="1">
        <f t="array" ref="B49">_xlfn.STDEV.S(_xlfn._xlws.FILTER(PH[bydgoszcz_PH_Dscore],(PH[Category]="senior")*(PH[bydgoszcz_PH_Dscore])&gt;0),_xlfn._xlws.FILTER(PH[zabrze_PH_Dscore],(PH[Category]="senior")*(PH[zabrze_PH_Dscore])&gt;0),_xlfn._xlws.FILTER(PH[cracow_PH_Dscore],(PH[Category]="senior")*(PH[cracow_PH_Dscore])&gt;0),_xlfn._xlws.FILTER(PH[gdansk_PH_Dscore],(PH[Category]="senior")*(PH[gdansk_PH_Dscore])&gt;0))</f>
        <v>0.66060236165638186</v>
      </c>
      <c r="C49" s="4" cm="1">
        <f t="array" ref="C49">MAX(_xlfn._xlws.FILTER(PH[bydgoszcz_PH_Dscore],PH[Category]="senior"),_xlfn._xlws.FILTER(PH[zabrze_PH_Dscore],PH[Category]="senior"),_xlfn._xlws.FILTER(PH[cracow_PH_Dscore],PH[Category]="senior"),_xlfn._xlws.FILTER(PH[gdansk_PH_Dscore],PH[Category]="senior"))</f>
        <v>5.2</v>
      </c>
      <c r="D49" s="2" t="str" cm="1">
        <f t="array" ref="D49">_xlfn.XLOOKUP(C49,_xlfn._xlws.FILTER(PH[bydgoszcz_PH_Dscore],PH[Category]="senior"),_xlfn._xlws.FILTER(PH[Name],PH[Category]="senior"),_xlfn.XLOOKUP(C49,_xlfn._xlws.FILTER(PH[zabrze_PH_Dscore],PH[Category]="senior"),_xlfn._xlws.FILTER(PH[Name],PH[Category]="senior"),_xlfn.XLOOKUP(C49,_xlfn._xlws.FILTER(PH[cracow_PH_Dscore],PH[Category]="senior"),_xlfn._xlws.FILTER(PH[Name],PH[Category]="senior"),_xlfn.XLOOKUP(C49,_xlfn._xlws.FILTER(PH[gdansk_PH_Dscore],PH[Category]="senior"),_xlfn._xlws.FILTER(PH[Name],PH[Category]="senior")))))</f>
        <v>GARNCZAREK Kacper</v>
      </c>
    </row>
    <row r="50" spans="1:4" x14ac:dyDescent="0.25">
      <c r="A50" s="2"/>
      <c r="B50"/>
      <c r="C50" s="3"/>
      <c r="D50" s="5"/>
    </row>
    <row r="51" spans="1:4" x14ac:dyDescent="0.25">
      <c r="A51" s="2" t="s">
        <v>257</v>
      </c>
      <c r="B51" s="7" t="s">
        <v>258</v>
      </c>
      <c r="C51" s="7" t="s">
        <v>261</v>
      </c>
      <c r="D51" s="2" t="s">
        <v>255</v>
      </c>
    </row>
    <row r="52" spans="1:4" x14ac:dyDescent="0.25">
      <c r="A52" s="7" cm="1">
        <f t="array" ref="A52">SUM(_xlfn._xlws.FILTER(PH[bydgoszcz_PH_Escore],PH[Category]="junior"),_xlfn._xlws.FILTER(PH[zabrze_PH_Escore],PH[Category]="junior"),_xlfn._xlws.FILTER(PH[cracow_PH_Escore],PH[Category]="junior"),_xlfn._xlws.FILTER(PH[gdansk_PH_Escore],PH[Category]="junior"))/(COUNTIFS(PH[bydgoszcz_PH_Escore],"&gt;0",PH[Category],"junior")+COUNTIFS(PH[zabrze_PH_Escore],"&gt;0",PH[Category],"junior")+COUNTIFS(PH[cracow_PH_Escore],"&gt;0",PH[Category],"junior")+COUNTIFS(PH[gdansk_PH_Escore],"&gt;0",PH[Category],"junior"))</f>
        <v>6.8330000000000011</v>
      </c>
      <c r="B52" s="7" cm="1">
        <f t="array" ref="B52">_xlfn.STDEV.S(_xlfn._xlws.FILTER(PH[bydgoszcz_PH_Escore],(PH[Category]="junior")*(PH[bydgoszcz_PH_Escore])&gt;0),_xlfn._xlws.FILTER(PH[zabrze_PH_Escore],(PH[Category]="junior")*(PH[zabrze_PH_Escore])&gt;0),_xlfn._xlws.FILTER(PH[cracow_PH_Escore],(PH[Category]="junior")*(PH[cracow_PH_Escore])&gt;0),_xlfn._xlws.FILTER(PH[gdansk_PH_Escore],(PH[Category]="junior")*(PH[gdansk_PH_Escore])&gt;0))</f>
        <v>1.646133689117927</v>
      </c>
      <c r="C52" s="7" cm="1">
        <f t="array" ref="C52">MAX(_xlfn._xlws.FILTER(PH[bydgoszcz_PH_Escore],PH[Category]="junior"),_xlfn._xlws.FILTER(PH[zabrze_PH_Escore],PH[Category]="junior"),_xlfn._xlws.FILTER(PH[cracow_PH_Escore],PH[Category]="junior"),_xlfn._xlws.FILTER(PH[gdansk_PH_Escore],PH[Category]="junior"))</f>
        <v>8.9499999999999993</v>
      </c>
      <c r="D52" s="2" t="str" cm="1">
        <f t="array" ref="D52">_xlfn.XLOOKUP(C52,_xlfn._xlws.FILTER(PH[bydgoszcz_PH_Escore],PH[Category]="junior"),_xlfn._xlws.FILTER(PH[Name],PH[Category]="junior"),_xlfn.XLOOKUP(C52,_xlfn._xlws.FILTER(PH[zabrze_PH_Escore],PH[Category]="junior"),_xlfn._xlws.FILTER(PH[Name],PH[Category]="junior"),_xlfn.XLOOKUP(C52,_xlfn._xlws.FILTER(PH[cracow_PH_Escore],PH[Category]="junior"),_xlfn._xlws.FILTER(PH[Name],PH[Category]="junior"),_xlfn.XLOOKUP(C52,_xlfn._xlws.FILTER(PH[gdansk_PH_Escore],PH[Category]="junior"),_xlfn._xlws.FILTER(PH[Name],PH[Category]="junior")))))</f>
        <v>LEKHAC Tomasz</v>
      </c>
    </row>
    <row r="53" spans="1:4" x14ac:dyDescent="0.25">
      <c r="A53" s="7" cm="1">
        <f t="array" ref="A53">SUM(_xlfn._xlws.FILTER(PH[bydgoszcz_PH_Escore],PH[Category]="senior"),_xlfn._xlws.FILTER(PH[zabrze_PH_Escore],PH[Category]="senior"),_xlfn._xlws.FILTER(PH[cracow_PH_Escore],PH[Category]="senior"),_xlfn._xlws.FILTER(PH[gdansk_PH_Escore],PH[Category]="senior"))/(COUNTIFS(PH[bydgoszcz_PH_Escore],"&gt;0",PH[Category],"senior")+COUNTIFS(PH[zabrze_PH_Escore],"&gt;0",PH[Category],"senior")+COUNTIFS(PH[cracow_PH_Escore],"&gt;0",PH[Category],"senior")+COUNTIFS(PH[gdansk_PH_Escore],"&gt;0",PH[Category],"senior"))</f>
        <v>6.7406779661016945</v>
      </c>
      <c r="B53" s="7" cm="1">
        <f t="array" ref="B53">_xlfn.STDEV.S(_xlfn._xlws.FILTER(PH[bydgoszcz_PH_Escore],(PH[Category]="senior")*(PH[bydgoszcz_PH_Escore])&gt;0),_xlfn._xlws.FILTER(PH[zabrze_PH_Escore],(PH[Category]="senior")*(PH[zabrze_PH_Escore])&gt;0),_xlfn._xlws.FILTER(PH[cracow_PH_Escore],(PH[Category]="senior")*(PH[cracow_PH_Escore])&gt;0),_xlfn._xlws.FILTER(PH[gdansk_PH_Escore],(PH[Category]="senior")*(PH[gdansk_PH_Escore])&gt;0))</f>
        <v>1.5524306463567139</v>
      </c>
      <c r="C53" s="7" cm="1">
        <f t="array" ref="C53">MAX(_xlfn._xlws.FILTER(PH[bydgoszcz_PH_Escore],PH[Category]="senior"),_xlfn._xlws.FILTER(PH[zabrze_PH_Escore],PH[Category]="senior"),_xlfn._xlws.FILTER(PH[cracow_PH_Escore],PH[Category]="senior"),_xlfn._xlws.FILTER(PH[gdansk_PH_Escore],PH[Category]="senior"))</f>
        <v>8.85</v>
      </c>
      <c r="D53" s="2" t="str" cm="1">
        <f t="array" ref="D53">_xlfn.XLOOKUP(C53,_xlfn._xlws.FILTER(PH[bydgoszcz_PH_Escore],PH[Category]="senior"),_xlfn._xlws.FILTER(PH[Name],PH[Category]="senior"),_xlfn.XLOOKUP(C53,_xlfn._xlws.FILTER(PH[zabrze_PH_Escore],PH[Category]="senior"),_xlfn._xlws.FILTER(PH[Name],PH[Category]="senior"),_xlfn.XLOOKUP(C53,_xlfn._xlws.FILTER(PH[cracow_PH_Escore],PH[Category]="senior"),_xlfn._xlws.FILTER(PH[Name],PH[Category]="senior"),_xlfn.XLOOKUP(C53,_xlfn._xlws.FILTER(PH[gdansk_PH_Escore],PH[Category]="senior"),_xlfn._xlws.FILTER(PH[Name],PH[Category]="senior")))))</f>
        <v>SZYMCZYK Radosław</v>
      </c>
    </row>
    <row r="54" spans="1:4" x14ac:dyDescent="0.25">
      <c r="A54" s="2"/>
      <c r="B54"/>
      <c r="C54" s="3"/>
      <c r="D54" s="5"/>
    </row>
    <row r="55" spans="1:4" x14ac:dyDescent="0.25">
      <c r="A55" s="2" t="s">
        <v>246</v>
      </c>
      <c r="B55" s="2" t="s">
        <v>259</v>
      </c>
      <c r="C55" s="7" t="s">
        <v>262</v>
      </c>
      <c r="D55" s="2" t="s">
        <v>255</v>
      </c>
    </row>
    <row r="56" spans="1:4" x14ac:dyDescent="0.25">
      <c r="A56" s="7" cm="1">
        <f t="array" ref="A56">SUM(_xlfn._xlws.FILTER(PH[bydgoszcz_PH_Total_Score],PH[Category]="junior"),_xlfn._xlws.FILTER(PH[zabrze_PH_Total_Score],PH[Category]="junior"),_xlfn._xlws.FILTER(PH[cracow_PH_Total_Score],PH[Category]="junior"),_xlfn._xlws.FILTER(PH[gdansk_PH_Total_Score],PH[Category]="junior"))/(COUNTIFS(PH[bydgoszcz_PH_Total_Score],"&gt;0",PH[Category],"junior")+COUNTIFS(PH[zabrze_PH_Total_Score],"&gt;0",PH[Category],"junior")+COUNTIFS(PH[cracow_PH_Total_Score],"&gt;0",PH[Category],"junior")+COUNTIFS(PH[gdansk_PH_Total_Score],"&gt;0",PH[Category],"junior"))</f>
        <v>9.3839622641509433</v>
      </c>
      <c r="B56" s="7" cm="1">
        <f t="array" ref="B56">_xlfn.STDEV.S(_xlfn._xlws.FILTER(PH[bydgoszcz_PH_Total_Score],(PH[Category]="junior")*(PH[bydgoszcz_PH_Total_Score])&gt;0),_xlfn._xlws.FILTER(PH[zabrze_PH_Total_Score],(PH[Category]="junior")*(PH[zabrze_PH_Total_Score])&gt;0),_xlfn._xlws.FILTER(PH[cracow_PH_Total_Score],(PH[Category]="junior")*(PH[cracow_PH_Total_Score])&gt;0),_xlfn._xlws.FILTER(PH[gdansk_PH_Total_Score],(PH[Category]="junior")*(PH[gdansk_PH_Total_Score])&gt;0))</f>
        <v>2.8721101460174343</v>
      </c>
      <c r="C56" s="7" cm="1">
        <f t="array" ref="C56">MAX(_xlfn._xlws.FILTER(PH[bydgoszcz_PH_Total_Score],PH[Category]="junior"),_xlfn._xlws.FILTER(PH[zabrze_PH_Total_Score],PH[Category]="junior"),_xlfn._xlws.FILTER(PH[cracow_PH_Total_Score],PH[Category]="junior"),_xlfn._xlws.FILTER(PH[gdansk_PH_Total_Score],PH[Category]="junior"))</f>
        <v>12.75</v>
      </c>
      <c r="D56" s="2" t="str" cm="1">
        <f t="array" ref="D56">_xlfn.XLOOKUP(C56,_xlfn._xlws.FILTER(PH[bydgoszcz_PH_Total_Score],PH[Category]="junior"),_xlfn._xlws.FILTER(PH[Name],PH[Category]="junior"),_xlfn.XLOOKUP(C56,_xlfn._xlws.FILTER(PH[zabrze_PH_Total_Score],PH[Category]="junior"),_xlfn._xlws.FILTER(PH[Name],PH[Category]="junior"),_xlfn.XLOOKUP(C56,_xlfn._xlws.FILTER(PH[cracow_PH_Total_Score],PH[Category]="junior"),_xlfn._xlws.FILTER(PH[Name],PH[Category]="junior"),_xlfn.XLOOKUP(C56,_xlfn._xlws.FILTER(PH[gdansk_PH_Total_Score],PH[Category]="junior"),_xlfn._xlws.FILTER(PH[Name],PH[Category]="junior")))))</f>
        <v>LEKHAC Tomasz</v>
      </c>
    </row>
    <row r="57" spans="1:4" x14ac:dyDescent="0.25">
      <c r="A57" s="7" cm="1">
        <f t="array" ref="A57">SUM(_xlfn._xlws.FILTER(PH[bydgoszcz_PH_Total_Score],PH[Category]="senior"),_xlfn._xlws.FILTER(PH[zabrze_PH_Total_Score],PH[Category]="senior"),_xlfn._xlws.FILTER(PH[cracow_PH_Total_Score],PH[Category]="senior"),_xlfn._xlws.FILTER(PH[gdansk_PH_Total_Score],PH[Category]="senior"))/(COUNTIFS(PH[bydgoszcz_PH_Total_Score],"&gt;0",PH[Category],"senior")+COUNTIFS(PH[zabrze_PH_Total_Score],"&gt;0",PH[Category],"senior")+COUNTIFS(PH[cracow_PH_Total_Score],"&gt;0",PH[Category],"senior")+COUNTIFS(PH[gdansk_PH_Total_Score],"&gt;0",PH[Category],"senior"))</f>
        <v>10.304999999999998</v>
      </c>
      <c r="B57" s="7" cm="1">
        <f t="array" ref="B57">_xlfn.STDEV.S(_xlfn._xlws.FILTER(PH[bydgoszcz_PH_Total_Score],(PH[Category]="senior")*(PH[bydgoszcz_PH_Total_Score])&gt;0),_xlfn._xlws.FILTER(PH[zabrze_PH_Total_Score],(PH[Category]="senior")*(PH[zabrze_PH_Total_Score])&gt;0),_xlfn._xlws.FILTER(PH[cracow_PH_Total_Score],(PH[Category]="senior")*(PH[cracow_PH_Total_Score])&gt;0),_xlfn._xlws.FILTER(PH[gdansk_PH_Total_Score],(PH[Category]="senior")*(PH[gdansk_PH_Total_Score])&gt;0))</f>
        <v>2.1695055282916864</v>
      </c>
      <c r="C57" s="7" cm="1">
        <f t="array" ref="C57">MAX(_xlfn._xlws.FILTER(PH[bydgoszcz_PH_Total_Score],PH[Category]="senior"),_xlfn._xlws.FILTER(PH[zabrze_PH_Total_Score],PH[Category]="senior"),_xlfn._xlws.FILTER(PH[cracow_PH_Total_Score],PH[Category]="senior"),_xlfn._xlws.FILTER(PH[gdansk_PH_Total_Score],PH[Category]="senior"))</f>
        <v>12.9</v>
      </c>
      <c r="D57" s="2" t="str" cm="1">
        <f t="array" ref="D57">_xlfn.XLOOKUP(C57,_xlfn._xlws.FILTER(PH[bydgoszcz_PH_Total_Score],PH[Category]="senior"),_xlfn._xlws.FILTER(PH[Name],PH[Category]="senior"),_xlfn.XLOOKUP(C57,_xlfn._xlws.FILTER(PH[zabrze_PH_Total_Score],PH[Category]="senior"),_xlfn._xlws.FILTER(PH[Name],PH[Category]="senior"),_xlfn.XLOOKUP(C57,_xlfn._xlws.FILTER(PH[cracow_PH_Total_Score],PH[Category]="senior"),_xlfn._xlws.FILTER(PH[Name],PH[Category]="senior"),_xlfn.XLOOKUP(C57,_xlfn._xlws.FILTER(PH[gdansk_PH_Total_Score],PH[Category]="senior"),_xlfn._xlws.FILTER(PH[Name],PH[Category]="senior")))))</f>
        <v>GARNCZAREK Kacper</v>
      </c>
    </row>
  </sheetData>
  <phoneticPr fontId="1" type="noConversion"/>
  <conditionalFormatting sqref="F2:W44">
    <cfRule type="cellIs" dxfId="5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ABCB-AB39-0C4A-B8F9-717F9AD297E6}">
  <sheetPr>
    <tabColor theme="5" tint="0.39997558519241921"/>
  </sheetPr>
  <dimension ref="A1:W64"/>
  <sheetViews>
    <sheetView zoomScale="75" zoomScaleNormal="75" workbookViewId="0">
      <selection sqref="A1:XFD1"/>
    </sheetView>
  </sheetViews>
  <sheetFormatPr defaultColWidth="11" defaultRowHeight="15.75" x14ac:dyDescent="0.25"/>
  <cols>
    <col min="1" max="1" width="23.125" bestFit="1" customWidth="1"/>
    <col min="2" max="2" width="18.5" style="2" bestFit="1" customWidth="1"/>
    <col min="3" max="3" width="17" style="2" bestFit="1" customWidth="1"/>
    <col min="4" max="4" width="26.625" bestFit="1" customWidth="1"/>
    <col min="5" max="5" width="6.875" style="3" customWidth="1"/>
    <col min="6" max="6" width="6.875" style="5" customWidth="1"/>
    <col min="7" max="8" width="6.875" style="8" customWidth="1"/>
    <col min="9" max="9" width="6.875" style="5" customWidth="1"/>
    <col min="10" max="11" width="6.875" style="8" customWidth="1"/>
    <col min="12" max="12" width="6.875" style="5" customWidth="1"/>
    <col min="13" max="14" width="6.875" style="8" customWidth="1"/>
    <col min="15" max="15" width="6.875" style="5" customWidth="1"/>
    <col min="16" max="17" width="6.875" style="8" customWidth="1"/>
    <col min="18" max="23" width="6.875" style="3" customWidth="1"/>
  </cols>
  <sheetData>
    <row r="1" spans="1:23" s="2" customFormat="1" x14ac:dyDescent="0.25">
      <c r="A1" s="4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59</v>
      </c>
      <c r="B2" s="2" t="s">
        <v>60</v>
      </c>
      <c r="C2" s="2" t="s">
        <v>61</v>
      </c>
      <c r="D2" t="s">
        <v>62</v>
      </c>
      <c r="E2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2" s="5">
        <v>0</v>
      </c>
      <c r="G2" s="8">
        <v>0</v>
      </c>
      <c r="H2" s="8">
        <v>0</v>
      </c>
      <c r="I2" s="5">
        <v>4.0999999999999996</v>
      </c>
      <c r="J2" s="8">
        <v>8.35</v>
      </c>
      <c r="K2" s="8">
        <v>12.45</v>
      </c>
      <c r="L2" s="5">
        <v>4.0999999999999996</v>
      </c>
      <c r="M2" s="8">
        <v>8.1</v>
      </c>
      <c r="N2" s="8">
        <v>12.2</v>
      </c>
      <c r="O2" s="5">
        <v>2.8</v>
      </c>
      <c r="P2" s="8">
        <v>9.1999999999999993</v>
      </c>
      <c r="Q2" s="8">
        <v>12</v>
      </c>
      <c r="R2" s="5">
        <f>LARGE(CHOOSE({1;2;3;4},F2,I2,L2,O2),1)+LARGE(CHOOSE({1;2;3;4},F2,I2,L2,O2),2)+LARGE(CHOOSE({1;2;3;4},F2,I2,L2,O2),3)</f>
        <v>11</v>
      </c>
      <c r="S2" s="8">
        <f>LARGE(CHOOSE({1;2;3;4},G2,J2,M2,P2),1)+LARGE(CHOOSE({1;2;3;4},G2,J2,M2,P2),2)+LARGE(CHOOSE({1;2;3;4},G2,J2,M2,P2),3)</f>
        <v>25.65</v>
      </c>
      <c r="T2" s="8">
        <f>LARGE(CHOOSE({1;2;3;4},H2,K2,N2,Q2),1)+LARGE(CHOOSE({1;2;3;4},H2,K2,N2,Q2),2)+LARGE(CHOOSE({1;2;3;4},H2,K2,N2,Q2),3)</f>
        <v>36.65</v>
      </c>
      <c r="U2" s="5" cm="1">
        <f t="array" ref="U2">IF(SR[[#This Row],[Number_of_competition]:[Number_of_competition]]&gt;=3,(LARGE(CHOOSE({1;2;3;4},F2,I2,L2,O2),1)+LARGE(CHOOSE({1;2;3;4},F2,I2,L2,O2),2)+LARGE(CHOOSE({1;2;3;4},F2,I2,L2,O2),3))/3,0)</f>
        <v>3.6666666666666665</v>
      </c>
      <c r="V2" s="8" cm="1">
        <f t="array" ref="V2">IF(SR[[#This Row],[Number_of_competition]:[Number_of_competition]]&gt;=3,(LARGE(CHOOSE({1;2;3;4},G2,J2,M2,P2),1)+LARGE(CHOOSE({1;2;3;4},G2,J2,M2,P2),2)+LARGE(CHOOSE({1;2;3;4},G2,J2,M2,P2),3))/3,0)</f>
        <v>8.5499999999999989</v>
      </c>
      <c r="W2" s="8" cm="1">
        <f t="array" ref="W2">IF(SR[[#This Row],[Number_of_competition]:[Number_of_competition]]&gt;=3,(LARGE(CHOOSE({1;2;3;4},H2,K2,N2,Q2),1)+LARGE(CHOOSE({1;2;3;4},H2,K2,N2,Q2),2)+LARGE(CHOOSE({1;2;3;4},H2,K2,N2,Q2),3))/3,0)</f>
        <v>12.216666666666667</v>
      </c>
    </row>
    <row r="3" spans="1:23" x14ac:dyDescent="0.25">
      <c r="A3" t="s">
        <v>63</v>
      </c>
      <c r="B3" s="2" t="s">
        <v>60</v>
      </c>
      <c r="C3" s="2" t="s">
        <v>64</v>
      </c>
      <c r="D3" t="s">
        <v>39</v>
      </c>
      <c r="E3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" s="5">
        <v>4.5999999999999996</v>
      </c>
      <c r="G3" s="8">
        <v>7.2</v>
      </c>
      <c r="H3" s="8">
        <v>11.8</v>
      </c>
      <c r="I3" s="5">
        <v>3.9</v>
      </c>
      <c r="J3" s="8">
        <v>8.1</v>
      </c>
      <c r="K3" s="8">
        <v>12</v>
      </c>
      <c r="L3" s="5">
        <v>4.3</v>
      </c>
      <c r="M3" s="8">
        <v>7.85</v>
      </c>
      <c r="N3" s="8">
        <v>12.15</v>
      </c>
      <c r="O3" s="5">
        <v>4.2</v>
      </c>
      <c r="P3" s="8">
        <v>8</v>
      </c>
      <c r="Q3" s="8">
        <v>12.2</v>
      </c>
      <c r="R3" s="5">
        <f>LARGE(CHOOSE({1;2;3;4},F3,I3,L3,O3),1)+LARGE(CHOOSE({1;2;3;4},F3,I3,L3,O3),2)+LARGE(CHOOSE({1;2;3;4},F3,I3,L3,O3),3)</f>
        <v>13.099999999999998</v>
      </c>
      <c r="S3" s="8">
        <f>LARGE(CHOOSE({1;2;3;4},G3,J3,M3,P3),1)+LARGE(CHOOSE({1;2;3;4},G3,J3,M3,P3),2)+LARGE(CHOOSE({1;2;3;4},G3,J3,M3,P3),3)</f>
        <v>23.950000000000003</v>
      </c>
      <c r="T3" s="8">
        <f>LARGE(CHOOSE({1;2;3;4},H3,K3,N3,Q3),1)+LARGE(CHOOSE({1;2;3;4},H3,K3,N3,Q3),2)+LARGE(CHOOSE({1;2;3;4},H3,K3,N3,Q3),3)</f>
        <v>36.35</v>
      </c>
      <c r="U3" s="5" cm="1">
        <f t="array" ref="U3">IF(SR[[#This Row],[Number_of_competition]:[Number_of_competition]]&gt;=3,(LARGE(CHOOSE({1;2;3;4},F3,I3,L3,O3),1)+LARGE(CHOOSE({1;2;3;4},F3,I3,L3,O3),2)+LARGE(CHOOSE({1;2;3;4},F3,I3,L3,O3),3))/3,0)</f>
        <v>4.3666666666666663</v>
      </c>
      <c r="V3" s="8" cm="1">
        <f t="array" ref="V3">IF(SR[[#This Row],[Number_of_competition]:[Number_of_competition]]&gt;=3,(LARGE(CHOOSE({1;2;3;4},G3,J3,M3,P3),1)+LARGE(CHOOSE({1;2;3;4},G3,J3,M3,P3),2)+LARGE(CHOOSE({1;2;3;4},G3,J3,M3,P3),3))/3,0)</f>
        <v>7.9833333333333343</v>
      </c>
      <c r="W3" s="8" cm="1">
        <f t="array" ref="W3">IF(SR[[#This Row],[Number_of_competition]:[Number_of_competition]]&gt;=3,(LARGE(CHOOSE({1;2;3;4},H3,K3,N3,Q3),1)+LARGE(CHOOSE({1;2;3;4},H3,K3,N3,Q3),2)+LARGE(CHOOSE({1;2;3;4},H3,K3,N3,Q3),3))/3,0)</f>
        <v>12.116666666666667</v>
      </c>
    </row>
    <row r="4" spans="1:23" x14ac:dyDescent="0.25">
      <c r="A4" t="s">
        <v>94</v>
      </c>
      <c r="B4" s="2" t="s">
        <v>60</v>
      </c>
      <c r="C4" s="2" t="s">
        <v>95</v>
      </c>
      <c r="D4" t="s">
        <v>72</v>
      </c>
      <c r="E4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4" s="5">
        <v>0</v>
      </c>
      <c r="G4" s="8">
        <v>0</v>
      </c>
      <c r="H4" s="8">
        <v>0</v>
      </c>
      <c r="I4" s="5">
        <v>4</v>
      </c>
      <c r="J4" s="8">
        <v>8.4</v>
      </c>
      <c r="K4" s="8">
        <v>12.4</v>
      </c>
      <c r="L4" s="5">
        <v>4</v>
      </c>
      <c r="M4" s="8">
        <v>7.65</v>
      </c>
      <c r="N4" s="8">
        <v>11.65</v>
      </c>
      <c r="O4" s="5">
        <v>4.3</v>
      </c>
      <c r="P4" s="8">
        <v>7.2</v>
      </c>
      <c r="Q4" s="8">
        <v>11.5</v>
      </c>
      <c r="R4" s="5">
        <f>LARGE(CHOOSE({1;2;3;4},F4,I4,L4,O4),1)+LARGE(CHOOSE({1;2;3;4},F4,I4,L4,O4),2)+LARGE(CHOOSE({1;2;3;4},F4,I4,L4,O4),3)</f>
        <v>12.3</v>
      </c>
      <c r="S4" s="8">
        <f>LARGE(CHOOSE({1;2;3;4},G4,J4,M4,P4),1)+LARGE(CHOOSE({1;2;3;4},G4,J4,M4,P4),2)+LARGE(CHOOSE({1;2;3;4},G4,J4,M4,P4),3)</f>
        <v>23.25</v>
      </c>
      <c r="T4" s="8">
        <f>LARGE(CHOOSE({1;2;3;4},H4,K4,N4,Q4),1)+LARGE(CHOOSE({1;2;3;4},H4,K4,N4,Q4),2)+LARGE(CHOOSE({1;2;3;4},H4,K4,N4,Q4),3)</f>
        <v>35.549999999999997</v>
      </c>
      <c r="U4" s="5" cm="1">
        <f t="array" ref="U4">IF(SR[[#This Row],[Number_of_competition]:[Number_of_competition]]&gt;=3,(LARGE(CHOOSE({1;2;3;4},F4,I4,L4,O4),1)+LARGE(CHOOSE({1;2;3;4},F4,I4,L4,O4),2)+LARGE(CHOOSE({1;2;3;4},F4,I4,L4,O4),3))/3,0)</f>
        <v>4.1000000000000005</v>
      </c>
      <c r="V4" s="8" cm="1">
        <f t="array" ref="V4">IF(SR[[#This Row],[Number_of_competition]:[Number_of_competition]]&gt;=3,(LARGE(CHOOSE({1;2;3;4},G4,J4,M4,P4),1)+LARGE(CHOOSE({1;2;3;4},G4,J4,M4,P4),2)+LARGE(CHOOSE({1;2;3;4},G4,J4,M4,P4),3))/3,0)</f>
        <v>7.75</v>
      </c>
      <c r="W4" s="8" cm="1">
        <f t="array" ref="W4">IF(SR[[#This Row],[Number_of_competition]:[Number_of_competition]]&gt;=3,(LARGE(CHOOSE({1;2;3;4},H4,K4,N4,Q4),1)+LARGE(CHOOSE({1;2;3;4},H4,K4,N4,Q4),2)+LARGE(CHOOSE({1;2;3;4},H4,K4,N4,Q4),3))/3,0)</f>
        <v>11.85</v>
      </c>
    </row>
    <row r="5" spans="1:23" x14ac:dyDescent="0.25">
      <c r="A5" t="s">
        <v>80</v>
      </c>
      <c r="B5" s="2" t="s">
        <v>60</v>
      </c>
      <c r="C5" s="2" t="s">
        <v>81</v>
      </c>
      <c r="D5" t="s">
        <v>62</v>
      </c>
      <c r="E5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5" s="5">
        <v>3.9</v>
      </c>
      <c r="G5" s="8">
        <v>6.4</v>
      </c>
      <c r="H5" s="8">
        <v>10.3</v>
      </c>
      <c r="I5" s="5">
        <v>3.7</v>
      </c>
      <c r="J5" s="8">
        <v>7.9</v>
      </c>
      <c r="K5" s="8">
        <v>11.6</v>
      </c>
      <c r="L5" s="5">
        <v>3.9</v>
      </c>
      <c r="M5" s="8">
        <v>8.1999999999999993</v>
      </c>
      <c r="N5" s="8">
        <v>12.1</v>
      </c>
      <c r="O5" s="5">
        <v>3.5</v>
      </c>
      <c r="P5" s="8">
        <v>8.3000000000000007</v>
      </c>
      <c r="Q5" s="8">
        <v>11.8</v>
      </c>
      <c r="R5" s="5">
        <f>LARGE(CHOOSE({1;2;3;4},F5,I5,L5,O5),1)+LARGE(CHOOSE({1;2;3;4},F5,I5,L5,O5),2)+LARGE(CHOOSE({1;2;3;4},F5,I5,L5,O5),3)</f>
        <v>11.5</v>
      </c>
      <c r="S5" s="8">
        <f>LARGE(CHOOSE({1;2;3;4},G5,J5,M5,P5),1)+LARGE(CHOOSE({1;2;3;4},G5,J5,M5,P5),2)+LARGE(CHOOSE({1;2;3;4},G5,J5,M5,P5),3)</f>
        <v>24.4</v>
      </c>
      <c r="T5" s="8">
        <f>LARGE(CHOOSE({1;2;3;4},H5,K5,N5,Q5),1)+LARGE(CHOOSE({1;2;3;4},H5,K5,N5,Q5),2)+LARGE(CHOOSE({1;2;3;4},H5,K5,N5,Q5),3)</f>
        <v>35.5</v>
      </c>
      <c r="U5" s="5" cm="1">
        <f t="array" ref="U5">IF(SR[[#This Row],[Number_of_competition]:[Number_of_competition]]&gt;=3,(LARGE(CHOOSE({1;2;3;4},F5,I5,L5,O5),1)+LARGE(CHOOSE({1;2;3;4},F5,I5,L5,O5),2)+LARGE(CHOOSE({1;2;3;4},F5,I5,L5,O5),3))/3,0)</f>
        <v>3.8333333333333335</v>
      </c>
      <c r="V5" s="8" cm="1">
        <f t="array" ref="V5">IF(SR[[#This Row],[Number_of_competition]:[Number_of_competition]]&gt;=3,(LARGE(CHOOSE({1;2;3;4},G5,J5,M5,P5),1)+LARGE(CHOOSE({1;2;3;4},G5,J5,M5,P5),2)+LARGE(CHOOSE({1;2;3;4},G5,J5,M5,P5),3))/3,0)</f>
        <v>8.1333333333333329</v>
      </c>
      <c r="W5" s="8" cm="1">
        <f t="array" ref="W5">IF(SR[[#This Row],[Number_of_competition]:[Number_of_competition]]&gt;=3,(LARGE(CHOOSE({1;2;3;4},H5,K5,N5,Q5),1)+LARGE(CHOOSE({1;2;3;4},H5,K5,N5,Q5),2)+LARGE(CHOOSE({1;2;3;4},H5,K5,N5,Q5),3))/3,0)</f>
        <v>11.833333333333334</v>
      </c>
    </row>
    <row r="6" spans="1:23" x14ac:dyDescent="0.25">
      <c r="A6" t="s">
        <v>77</v>
      </c>
      <c r="B6" s="2" t="s">
        <v>60</v>
      </c>
      <c r="C6" s="2" t="s">
        <v>78</v>
      </c>
      <c r="D6" t="s">
        <v>79</v>
      </c>
      <c r="E6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6" s="5">
        <v>4</v>
      </c>
      <c r="G6" s="8">
        <v>7.3</v>
      </c>
      <c r="H6" s="8">
        <v>11.3</v>
      </c>
      <c r="I6" s="5">
        <v>3.8</v>
      </c>
      <c r="J6" s="8">
        <v>8.4</v>
      </c>
      <c r="K6" s="8">
        <v>12.2</v>
      </c>
      <c r="L6" s="5">
        <v>3.8</v>
      </c>
      <c r="M6" s="8">
        <v>8.0500000000000007</v>
      </c>
      <c r="N6" s="8">
        <v>11.85</v>
      </c>
      <c r="O6" s="5">
        <v>3.4</v>
      </c>
      <c r="P6" s="8">
        <v>6</v>
      </c>
      <c r="Q6" s="8">
        <v>9.4</v>
      </c>
      <c r="R6" s="5">
        <f>LARGE(CHOOSE({1;2;3;4},F6,I6,L6,O6),1)+LARGE(CHOOSE({1;2;3;4},F6,I6,L6,O6),2)+LARGE(CHOOSE({1;2;3;4},F6,I6,L6,O6),3)</f>
        <v>11.6</v>
      </c>
      <c r="S6" s="8">
        <f>LARGE(CHOOSE({1;2;3;4},G6,J6,M6,P6),1)+LARGE(CHOOSE({1;2;3;4},G6,J6,M6,P6),2)+LARGE(CHOOSE({1;2;3;4},G6,J6,M6,P6),3)</f>
        <v>23.750000000000004</v>
      </c>
      <c r="T6" s="8">
        <f>LARGE(CHOOSE({1;2;3;4},H6,K6,N6,Q6),1)+LARGE(CHOOSE({1;2;3;4},H6,K6,N6,Q6),2)+LARGE(CHOOSE({1;2;3;4},H6,K6,N6,Q6),3)</f>
        <v>35.349999999999994</v>
      </c>
      <c r="U6" s="5" cm="1">
        <f t="array" ref="U6">IF(SR[[#This Row],[Number_of_competition]:[Number_of_competition]]&gt;=3,(LARGE(CHOOSE({1;2;3;4},F6,I6,L6,O6),1)+LARGE(CHOOSE({1;2;3;4},F6,I6,L6,O6),2)+LARGE(CHOOSE({1;2;3;4},F6,I6,L6,O6),3))/3,0)</f>
        <v>3.8666666666666667</v>
      </c>
      <c r="V6" s="8" cm="1">
        <f t="array" ref="V6">IF(SR[[#This Row],[Number_of_competition]:[Number_of_competition]]&gt;=3,(LARGE(CHOOSE({1;2;3;4},G6,J6,M6,P6),1)+LARGE(CHOOSE({1;2;3;4},G6,J6,M6,P6),2)+LARGE(CHOOSE({1;2;3;4},G6,J6,M6,P6),3))/3,0)</f>
        <v>7.9166666666666679</v>
      </c>
      <c r="W6" s="8" cm="1">
        <f t="array" ref="W6">IF(SR[[#This Row],[Number_of_competition]:[Number_of_competition]]&gt;=3,(LARGE(CHOOSE({1;2;3;4},H6,K6,N6,Q6),1)+LARGE(CHOOSE({1;2;3;4},H6,K6,N6,Q6),2)+LARGE(CHOOSE({1;2;3;4},H6,K6,N6,Q6),3))/3,0)</f>
        <v>11.783333333333331</v>
      </c>
    </row>
    <row r="7" spans="1:23" x14ac:dyDescent="0.25">
      <c r="A7" t="s">
        <v>68</v>
      </c>
      <c r="B7" s="2" t="s">
        <v>60</v>
      </c>
      <c r="C7" s="2" t="s">
        <v>69</v>
      </c>
      <c r="D7" t="s">
        <v>31</v>
      </c>
      <c r="E7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7" s="5">
        <v>3.2</v>
      </c>
      <c r="G7" s="8">
        <v>7.4</v>
      </c>
      <c r="H7" s="8">
        <v>10.6</v>
      </c>
      <c r="I7" s="5">
        <v>3.8</v>
      </c>
      <c r="J7" s="8">
        <v>7.7</v>
      </c>
      <c r="K7" s="8">
        <v>11.5</v>
      </c>
      <c r="L7" s="5">
        <v>3.8</v>
      </c>
      <c r="M7" s="8">
        <v>8.5500000000000007</v>
      </c>
      <c r="N7" s="8">
        <v>12.35</v>
      </c>
      <c r="O7" s="5">
        <v>3.7</v>
      </c>
      <c r="P7" s="8">
        <v>7.3</v>
      </c>
      <c r="Q7" s="8">
        <v>11</v>
      </c>
      <c r="R7" s="5">
        <f>LARGE(CHOOSE({1;2;3;4},F7,I7,L7,O7),1)+LARGE(CHOOSE({1;2;3;4},F7,I7,L7,O7),2)+LARGE(CHOOSE({1;2;3;4},F7,I7,L7,O7),3)</f>
        <v>11.3</v>
      </c>
      <c r="S7" s="8">
        <f>LARGE(CHOOSE({1;2;3;4},G7,J7,M7,P7),1)+LARGE(CHOOSE({1;2;3;4},G7,J7,M7,P7),2)+LARGE(CHOOSE({1;2;3;4},G7,J7,M7,P7),3)</f>
        <v>23.65</v>
      </c>
      <c r="T7" s="8">
        <f>LARGE(CHOOSE({1;2;3;4},H7,K7,N7,Q7),1)+LARGE(CHOOSE({1;2;3;4},H7,K7,N7,Q7),2)+LARGE(CHOOSE({1;2;3;4},H7,K7,N7,Q7),3)</f>
        <v>34.85</v>
      </c>
      <c r="U7" s="5" cm="1">
        <f t="array" ref="U7">IF(SR[[#This Row],[Number_of_competition]:[Number_of_competition]]&gt;=3,(LARGE(CHOOSE({1;2;3;4},F7,I7,L7,O7),1)+LARGE(CHOOSE({1;2;3;4},F7,I7,L7,O7),2)+LARGE(CHOOSE({1;2;3;4},F7,I7,L7,O7),3))/3,0)</f>
        <v>3.7666666666666671</v>
      </c>
      <c r="V7" s="8" cm="1">
        <f t="array" ref="V7">IF(SR[[#This Row],[Number_of_competition]:[Number_of_competition]]&gt;=3,(LARGE(CHOOSE({1;2;3;4},G7,J7,M7,P7),1)+LARGE(CHOOSE({1;2;3;4},G7,J7,M7,P7),2)+LARGE(CHOOSE({1;2;3;4},G7,J7,M7,P7),3))/3,0)</f>
        <v>7.8833333333333329</v>
      </c>
      <c r="W7" s="8" cm="1">
        <f t="array" ref="W7">IF(SR[[#This Row],[Number_of_competition]:[Number_of_competition]]&gt;=3,(LARGE(CHOOSE({1;2;3;4},H7,K7,N7,Q7),1)+LARGE(CHOOSE({1;2;3;4},H7,K7,N7,Q7),2)+LARGE(CHOOSE({1;2;3;4},H7,K7,N7,Q7),3))/3,0)</f>
        <v>11.616666666666667</v>
      </c>
    </row>
    <row r="8" spans="1:23" x14ac:dyDescent="0.25">
      <c r="A8" t="s">
        <v>82</v>
      </c>
      <c r="B8" s="2" t="s">
        <v>60</v>
      </c>
      <c r="C8" s="2" t="s">
        <v>83</v>
      </c>
      <c r="D8" t="s">
        <v>36</v>
      </c>
      <c r="E8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8" s="5">
        <v>0</v>
      </c>
      <c r="G8" s="8">
        <v>0</v>
      </c>
      <c r="H8" s="8">
        <v>0</v>
      </c>
      <c r="I8" s="5">
        <v>3.8</v>
      </c>
      <c r="J8" s="8">
        <v>7.5</v>
      </c>
      <c r="K8" s="8">
        <v>11.3</v>
      </c>
      <c r="L8" s="5">
        <v>3.8</v>
      </c>
      <c r="M8" s="8">
        <v>7.7</v>
      </c>
      <c r="N8" s="8">
        <v>11.5</v>
      </c>
      <c r="O8" s="5">
        <v>3.8</v>
      </c>
      <c r="P8" s="8">
        <v>7.9</v>
      </c>
      <c r="Q8" s="8">
        <v>11.7</v>
      </c>
      <c r="R8" s="5">
        <f>LARGE(CHOOSE({1;2;3;4},F8,I8,L8,O8),1)+LARGE(CHOOSE({1;2;3;4},F8,I8,L8,O8),2)+LARGE(CHOOSE({1;2;3;4},F8,I8,L8,O8),3)</f>
        <v>11.399999999999999</v>
      </c>
      <c r="S8" s="8">
        <f>LARGE(CHOOSE({1;2;3;4},G8,J8,M8,P8),1)+LARGE(CHOOSE({1;2;3;4},G8,J8,M8,P8),2)+LARGE(CHOOSE({1;2;3;4},G8,J8,M8,P8),3)</f>
        <v>23.1</v>
      </c>
      <c r="T8" s="8">
        <f>LARGE(CHOOSE({1;2;3;4},H8,K8,N8,Q8),1)+LARGE(CHOOSE({1;2;3;4},H8,K8,N8,Q8),2)+LARGE(CHOOSE({1;2;3;4},H8,K8,N8,Q8),3)</f>
        <v>34.5</v>
      </c>
      <c r="U8" s="5" cm="1">
        <f t="array" ref="U8">IF(SR[[#This Row],[Number_of_competition]:[Number_of_competition]]&gt;=3,(LARGE(CHOOSE({1;2;3;4},F8,I8,L8,O8),1)+LARGE(CHOOSE({1;2;3;4},F8,I8,L8,O8),2)+LARGE(CHOOSE({1;2;3;4},F8,I8,L8,O8),3))/3,0)</f>
        <v>3.7999999999999994</v>
      </c>
      <c r="V8" s="8" cm="1">
        <f t="array" ref="V8">IF(SR[[#This Row],[Number_of_competition]:[Number_of_competition]]&gt;=3,(LARGE(CHOOSE({1;2;3;4},G8,J8,M8,P8),1)+LARGE(CHOOSE({1;2;3;4},G8,J8,M8,P8),2)+LARGE(CHOOSE({1;2;3;4},G8,J8,M8,P8),3))/3,0)</f>
        <v>7.7</v>
      </c>
      <c r="W8" s="8" cm="1">
        <f t="array" ref="W8">IF(SR[[#This Row],[Number_of_competition]:[Number_of_competition]]&gt;=3,(LARGE(CHOOSE({1;2;3;4},H8,K8,N8,Q8),1)+LARGE(CHOOSE({1;2;3;4},H8,K8,N8,Q8),2)+LARGE(CHOOSE({1;2;3;4},H8,K8,N8,Q8),3))/3,0)</f>
        <v>11.5</v>
      </c>
    </row>
    <row r="9" spans="1:23" x14ac:dyDescent="0.25">
      <c r="A9" t="s">
        <v>84</v>
      </c>
      <c r="B9" s="2" t="s">
        <v>60</v>
      </c>
      <c r="C9" s="2" t="s">
        <v>85</v>
      </c>
      <c r="D9" t="s">
        <v>39</v>
      </c>
      <c r="E9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9" s="5">
        <v>3.6</v>
      </c>
      <c r="G9" s="8">
        <v>7.5</v>
      </c>
      <c r="H9" s="8">
        <v>11.1</v>
      </c>
      <c r="I9" s="5">
        <v>3.4</v>
      </c>
      <c r="J9" s="8">
        <v>7.3</v>
      </c>
      <c r="K9" s="8">
        <v>10.7</v>
      </c>
      <c r="L9" s="5">
        <v>2.9</v>
      </c>
      <c r="M9" s="8">
        <v>6.15</v>
      </c>
      <c r="N9" s="8">
        <v>9.0500000000000007</v>
      </c>
      <c r="O9" s="5">
        <v>3.1</v>
      </c>
      <c r="P9" s="8">
        <v>7.3</v>
      </c>
      <c r="Q9" s="8">
        <v>10.4</v>
      </c>
      <c r="R9" s="5">
        <f>LARGE(CHOOSE({1;2;3;4},F9,I9,L9,O9),1)+LARGE(CHOOSE({1;2;3;4},F9,I9,L9,O9),2)+LARGE(CHOOSE({1;2;3;4},F9,I9,L9,O9),3)</f>
        <v>10.1</v>
      </c>
      <c r="S9" s="8">
        <f>LARGE(CHOOSE({1;2;3;4},G9,J9,M9,P9),1)+LARGE(CHOOSE({1;2;3;4},G9,J9,M9,P9),2)+LARGE(CHOOSE({1;2;3;4},G9,J9,M9,P9),3)</f>
        <v>22.1</v>
      </c>
      <c r="T9" s="8">
        <f>LARGE(CHOOSE({1;2;3;4},H9,K9,N9,Q9),1)+LARGE(CHOOSE({1;2;3;4},H9,K9,N9,Q9),2)+LARGE(CHOOSE({1;2;3;4},H9,K9,N9,Q9),3)</f>
        <v>32.199999999999996</v>
      </c>
      <c r="U9" s="5" cm="1">
        <f t="array" ref="U9">IF(SR[[#This Row],[Number_of_competition]:[Number_of_competition]]&gt;=3,(LARGE(CHOOSE({1;2;3;4},F9,I9,L9,O9),1)+LARGE(CHOOSE({1;2;3;4},F9,I9,L9,O9),2)+LARGE(CHOOSE({1;2;3;4},F9,I9,L9,O9),3))/3,0)</f>
        <v>3.3666666666666667</v>
      </c>
      <c r="V9" s="8" cm="1">
        <f t="array" ref="V9">IF(SR[[#This Row],[Number_of_competition]:[Number_of_competition]]&gt;=3,(LARGE(CHOOSE({1;2;3;4},G9,J9,M9,P9),1)+LARGE(CHOOSE({1;2;3;4},G9,J9,M9,P9),2)+LARGE(CHOOSE({1;2;3;4},G9,J9,M9,P9),3))/3,0)</f>
        <v>7.3666666666666671</v>
      </c>
      <c r="W9" s="8" cm="1">
        <f t="array" ref="W9">IF(SR[[#This Row],[Number_of_competition]:[Number_of_competition]]&gt;=3,(LARGE(CHOOSE({1;2;3;4},H9,K9,N9,Q9),1)+LARGE(CHOOSE({1;2;3;4},H9,K9,N9,Q9),2)+LARGE(CHOOSE({1;2;3;4},H9,K9,N9,Q9),3))/3,0)</f>
        <v>10.733333333333333</v>
      </c>
    </row>
    <row r="10" spans="1:23" x14ac:dyDescent="0.25">
      <c r="A10" t="s">
        <v>73</v>
      </c>
      <c r="B10" s="2" t="s">
        <v>60</v>
      </c>
      <c r="C10" s="2" t="s">
        <v>74</v>
      </c>
      <c r="D10" t="s">
        <v>62</v>
      </c>
      <c r="E10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10" s="5">
        <v>2.7</v>
      </c>
      <c r="G10" s="8">
        <v>7.7</v>
      </c>
      <c r="H10" s="8">
        <v>10.4</v>
      </c>
      <c r="I10" s="5">
        <v>2.5</v>
      </c>
      <c r="J10" s="8">
        <v>8.15</v>
      </c>
      <c r="K10" s="8">
        <v>10.65</v>
      </c>
      <c r="L10" s="5">
        <v>2.8</v>
      </c>
      <c r="M10" s="8">
        <v>7.1</v>
      </c>
      <c r="N10" s="8">
        <v>9.9</v>
      </c>
      <c r="O10" s="5">
        <v>2.7</v>
      </c>
      <c r="P10" s="8">
        <v>7.4</v>
      </c>
      <c r="Q10" s="8">
        <v>10.1</v>
      </c>
      <c r="R10" s="5">
        <f>LARGE(CHOOSE({1;2;3;4},F10,I10,L10,O10),1)+LARGE(CHOOSE({1;2;3;4},F10,I10,L10,O10),2)+LARGE(CHOOSE({1;2;3;4},F10,I10,L10,O10),3)</f>
        <v>8.1999999999999993</v>
      </c>
      <c r="S10" s="8">
        <f>LARGE(CHOOSE({1;2;3;4},G10,J10,M10,P10),1)+LARGE(CHOOSE({1;2;3;4},G10,J10,M10,P10),2)+LARGE(CHOOSE({1;2;3;4},G10,J10,M10,P10),3)</f>
        <v>23.25</v>
      </c>
      <c r="T10" s="8">
        <f>LARGE(CHOOSE({1;2;3;4},H10,K10,N10,Q10),1)+LARGE(CHOOSE({1;2;3;4},H10,K10,N10,Q10),2)+LARGE(CHOOSE({1;2;3;4},H10,K10,N10,Q10),3)</f>
        <v>31.15</v>
      </c>
      <c r="U10" s="5" cm="1">
        <f t="array" ref="U10">IF(SR[[#This Row],[Number_of_competition]:[Number_of_competition]]&gt;=3,(LARGE(CHOOSE({1;2;3;4},F10,I10,L10,O10),1)+LARGE(CHOOSE({1;2;3;4},F10,I10,L10,O10),2)+LARGE(CHOOSE({1;2;3;4},F10,I10,L10,O10),3))/3,0)</f>
        <v>2.7333333333333329</v>
      </c>
      <c r="V10" s="8" cm="1">
        <f t="array" ref="V10">IF(SR[[#This Row],[Number_of_competition]:[Number_of_competition]]&gt;=3,(LARGE(CHOOSE({1;2;3;4},G10,J10,M10,P10),1)+LARGE(CHOOSE({1;2;3;4},G10,J10,M10,P10),2)+LARGE(CHOOSE({1;2;3;4},G10,J10,M10,P10),3))/3,0)</f>
        <v>7.75</v>
      </c>
      <c r="W10" s="8" cm="1">
        <f t="array" ref="W10">IF(SR[[#This Row],[Number_of_competition]:[Number_of_competition]]&gt;=3,(LARGE(CHOOSE({1;2;3;4},H10,K10,N10,Q10),1)+LARGE(CHOOSE({1;2;3;4},H10,K10,N10,Q10),2)+LARGE(CHOOSE({1;2;3;4},H10,K10,N10,Q10),3))/3,0)</f>
        <v>10.383333333333333</v>
      </c>
    </row>
    <row r="11" spans="1:23" x14ac:dyDescent="0.25">
      <c r="A11" t="s">
        <v>86</v>
      </c>
      <c r="B11" s="2" t="s">
        <v>60</v>
      </c>
      <c r="C11" s="2" t="s">
        <v>87</v>
      </c>
      <c r="D11" t="s">
        <v>72</v>
      </c>
      <c r="E11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11" s="5">
        <v>3.5</v>
      </c>
      <c r="G11" s="8">
        <v>6.7</v>
      </c>
      <c r="H11" s="8">
        <v>10.199999999999999</v>
      </c>
      <c r="I11" s="5">
        <v>2.6</v>
      </c>
      <c r="J11" s="8">
        <v>3</v>
      </c>
      <c r="K11" s="8">
        <v>5.6</v>
      </c>
      <c r="L11" s="5">
        <v>0</v>
      </c>
      <c r="M11" s="8">
        <v>0</v>
      </c>
      <c r="N11" s="8">
        <v>0</v>
      </c>
      <c r="O11" s="5">
        <v>2.7</v>
      </c>
      <c r="P11" s="8">
        <v>6</v>
      </c>
      <c r="Q11" s="8">
        <v>8.6999999999999993</v>
      </c>
      <c r="R11" s="5">
        <f>LARGE(CHOOSE({1;2;3;4},F11,I11,L11,O11),1)+LARGE(CHOOSE({1;2;3;4},F11,I11,L11,O11),2)+LARGE(CHOOSE({1;2;3;4},F11,I11,L11,O11),3)</f>
        <v>8.8000000000000007</v>
      </c>
      <c r="S11" s="8">
        <f>LARGE(CHOOSE({1;2;3;4},G11,J11,M11,P11),1)+LARGE(CHOOSE({1;2;3;4},G11,J11,M11,P11),2)+LARGE(CHOOSE({1;2;3;4},G11,J11,M11,P11),3)</f>
        <v>15.7</v>
      </c>
      <c r="T11" s="8">
        <f>LARGE(CHOOSE({1;2;3;4},H11,K11,N11,Q11),1)+LARGE(CHOOSE({1;2;3;4},H11,K11,N11,Q11),2)+LARGE(CHOOSE({1;2;3;4},H11,K11,N11,Q11),3)</f>
        <v>24.5</v>
      </c>
      <c r="U11" s="5" cm="1">
        <f t="array" ref="U11">IF(SR[[#This Row],[Number_of_competition]:[Number_of_competition]]&gt;=3,(LARGE(CHOOSE({1;2;3;4},F11,I11,L11,O11),1)+LARGE(CHOOSE({1;2;3;4},F11,I11,L11,O11),2)+LARGE(CHOOSE({1;2;3;4},F11,I11,L11,O11),3))/3,0)</f>
        <v>2.9333333333333336</v>
      </c>
      <c r="V11" s="8" cm="1">
        <f t="array" ref="V11">IF(SR[[#This Row],[Number_of_competition]:[Number_of_competition]]&gt;=3,(LARGE(CHOOSE({1;2;3;4},G11,J11,M11,P11),1)+LARGE(CHOOSE({1;2;3;4},G11,J11,M11,P11),2)+LARGE(CHOOSE({1;2;3;4},G11,J11,M11,P11),3))/3,0)</f>
        <v>5.2333333333333334</v>
      </c>
      <c r="W11" s="8" cm="1">
        <f t="array" ref="W11">IF(SR[[#This Row],[Number_of_competition]:[Number_of_competition]]&gt;=3,(LARGE(CHOOSE({1;2;3;4},H11,K11,N11,Q11),1)+LARGE(CHOOSE({1;2;3;4},H11,K11,N11,Q11),2)+LARGE(CHOOSE({1;2;3;4},H11,K11,N11,Q11),3))/3,0)</f>
        <v>8.1666666666666661</v>
      </c>
    </row>
    <row r="12" spans="1:23" x14ac:dyDescent="0.25">
      <c r="A12" t="s">
        <v>96</v>
      </c>
      <c r="B12" s="2" t="s">
        <v>60</v>
      </c>
      <c r="C12" s="2" t="s">
        <v>97</v>
      </c>
      <c r="D12" t="s">
        <v>62</v>
      </c>
      <c r="E12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12" s="5">
        <v>0</v>
      </c>
      <c r="G12" s="8">
        <v>0</v>
      </c>
      <c r="H12" s="8">
        <v>0</v>
      </c>
      <c r="I12" s="5">
        <v>4.5999999999999996</v>
      </c>
      <c r="J12" s="8">
        <v>8.1</v>
      </c>
      <c r="K12" s="8">
        <v>12.7</v>
      </c>
      <c r="L12" s="5">
        <v>4.2</v>
      </c>
      <c r="M12" s="8">
        <v>8.5</v>
      </c>
      <c r="N12" s="8">
        <v>12.7</v>
      </c>
      <c r="O12" s="5">
        <v>0</v>
      </c>
      <c r="P12" s="8">
        <v>0</v>
      </c>
      <c r="Q12" s="8">
        <v>0</v>
      </c>
      <c r="R12" s="5">
        <f>LARGE(CHOOSE({1;2;3;4},F12,I12,L12,O12),1)+LARGE(CHOOSE({1;2;3;4},F12,I12,L12,O12),2)+LARGE(CHOOSE({1;2;3;4},F12,I12,L12,O12),3)</f>
        <v>8.8000000000000007</v>
      </c>
      <c r="S12" s="8">
        <f>LARGE(CHOOSE({1;2;3;4},G12,J12,M12,P12),1)+LARGE(CHOOSE({1;2;3;4},G12,J12,M12,P12),2)+LARGE(CHOOSE({1;2;3;4},G12,J12,M12,P12),3)</f>
        <v>16.600000000000001</v>
      </c>
      <c r="T12" s="8">
        <f>LARGE(CHOOSE({1;2;3;4},H12,K12,N12,Q12),1)+LARGE(CHOOSE({1;2;3;4},H12,K12,N12,Q12),2)+LARGE(CHOOSE({1;2;3;4},H12,K12,N12,Q12),3)</f>
        <v>25.4</v>
      </c>
      <c r="U12" s="5" cm="1">
        <f t="array" ref="U12">IF(SR[[#This Row],[Number_of_competition]:[Number_of_competition]]&gt;=3,(LARGE(CHOOSE({1;2;3;4},F12,I12,L12,O12),1)+LARGE(CHOOSE({1;2;3;4},F12,I12,L12,O12),2)+LARGE(CHOOSE({1;2;3;4},F12,I12,L12,O12),3))/3,0)</f>
        <v>0</v>
      </c>
      <c r="V12" s="8" cm="1">
        <f t="array" ref="V12">IF(SR[[#This Row],[Number_of_competition]:[Number_of_competition]]&gt;=3,(LARGE(CHOOSE({1;2;3;4},G12,J12,M12,P12),1)+LARGE(CHOOSE({1;2;3;4},G12,J12,M12,P12),2)+LARGE(CHOOSE({1;2;3;4},G12,J12,M12,P12),3))/3,0)</f>
        <v>0</v>
      </c>
      <c r="W12" s="8" cm="1">
        <f t="array" ref="W12">IF(SR[[#This Row],[Number_of_competition]:[Number_of_competition]]&gt;=3,(LARGE(CHOOSE({1;2;3;4},H12,K12,N12,Q12),1)+LARGE(CHOOSE({1;2;3;4},H12,K12,N12,Q12),2)+LARGE(CHOOSE({1;2;3;4},H12,K12,N12,Q12),3))/3,0)</f>
        <v>0</v>
      </c>
    </row>
    <row r="13" spans="1:23" x14ac:dyDescent="0.25">
      <c r="A13" t="s">
        <v>116</v>
      </c>
      <c r="B13" s="2" t="s">
        <v>60</v>
      </c>
      <c r="C13" s="2" t="s">
        <v>117</v>
      </c>
      <c r="D13" t="s">
        <v>62</v>
      </c>
      <c r="E13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13" s="5">
        <v>0</v>
      </c>
      <c r="G13" s="8">
        <v>0</v>
      </c>
      <c r="H13" s="8">
        <v>0</v>
      </c>
      <c r="I13" s="5">
        <v>0</v>
      </c>
      <c r="J13" s="8">
        <v>0</v>
      </c>
      <c r="K13" s="8">
        <v>0</v>
      </c>
      <c r="L13" s="5">
        <v>5</v>
      </c>
      <c r="M13" s="8">
        <v>8.1</v>
      </c>
      <c r="N13" s="8">
        <v>13.1</v>
      </c>
      <c r="O13" s="5">
        <v>5.3</v>
      </c>
      <c r="P13" s="8">
        <v>6.6</v>
      </c>
      <c r="Q13" s="8">
        <v>11.9</v>
      </c>
      <c r="R13" s="5">
        <f>LARGE(CHOOSE({1;2;3;4},F13,I13,L13,O13),1)+LARGE(CHOOSE({1;2;3;4},F13,I13,L13,O13),2)+LARGE(CHOOSE({1;2;3;4},F13,I13,L13,O13),3)</f>
        <v>10.3</v>
      </c>
      <c r="S13" s="8">
        <f>LARGE(CHOOSE({1;2;3;4},G13,J13,M13,P13),1)+LARGE(CHOOSE({1;2;3;4},G13,J13,M13,P13),2)+LARGE(CHOOSE({1;2;3;4},G13,J13,M13,P13),3)</f>
        <v>14.7</v>
      </c>
      <c r="T13" s="8">
        <f>LARGE(CHOOSE({1;2;3;4},H13,K13,N13,Q13),1)+LARGE(CHOOSE({1;2;3;4},H13,K13,N13,Q13),2)+LARGE(CHOOSE({1;2;3;4},H13,K13,N13,Q13),3)</f>
        <v>25</v>
      </c>
      <c r="U13" s="5" cm="1">
        <f t="array" ref="U13">IF(SR[[#This Row],[Number_of_competition]:[Number_of_competition]]&gt;=3,(LARGE(CHOOSE({1;2;3;4},F13,I13,L13,O13),1)+LARGE(CHOOSE({1;2;3;4},F13,I13,L13,O13),2)+LARGE(CHOOSE({1;2;3;4},F13,I13,L13,O13),3))/3,0)</f>
        <v>0</v>
      </c>
      <c r="V13" s="8" cm="1">
        <f t="array" ref="V13">IF(SR[[#This Row],[Number_of_competition]:[Number_of_competition]]&gt;=3,(LARGE(CHOOSE({1;2;3;4},G13,J13,M13,P13),1)+LARGE(CHOOSE({1;2;3;4},G13,J13,M13,P13),2)+LARGE(CHOOSE({1;2;3;4},G13,J13,M13,P13),3))/3,0)</f>
        <v>0</v>
      </c>
      <c r="W13" s="8" cm="1">
        <f t="array" ref="W13">IF(SR[[#This Row],[Number_of_competition]:[Number_of_competition]]&gt;=3,(LARGE(CHOOSE({1;2;3;4},H13,K13,N13,Q13),1)+LARGE(CHOOSE({1;2;3;4},H13,K13,N13,Q13),2)+LARGE(CHOOSE({1;2;3;4},H13,K13,N13,Q13),3))/3,0)</f>
        <v>0</v>
      </c>
    </row>
    <row r="14" spans="1:23" x14ac:dyDescent="0.25">
      <c r="A14" t="s">
        <v>65</v>
      </c>
      <c r="B14" s="2" t="s">
        <v>60</v>
      </c>
      <c r="C14" s="2" t="s">
        <v>66</v>
      </c>
      <c r="D14" t="s">
        <v>67</v>
      </c>
      <c r="E14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14" s="5">
        <v>0</v>
      </c>
      <c r="G14" s="8">
        <v>0</v>
      </c>
      <c r="H14" s="8">
        <v>0</v>
      </c>
      <c r="I14" s="5">
        <v>3.9</v>
      </c>
      <c r="J14" s="8">
        <v>8.4</v>
      </c>
      <c r="K14" s="8">
        <v>12.3</v>
      </c>
      <c r="L14" s="5">
        <v>0</v>
      </c>
      <c r="M14" s="8">
        <v>0</v>
      </c>
      <c r="N14" s="8">
        <v>0</v>
      </c>
      <c r="O14" s="5">
        <v>3.9</v>
      </c>
      <c r="P14" s="8">
        <v>8.1999999999999993</v>
      </c>
      <c r="Q14" s="8">
        <v>12.1</v>
      </c>
      <c r="R14" s="5">
        <f>LARGE(CHOOSE({1;2;3;4},F14,I14,L14,O14),1)+LARGE(CHOOSE({1;2;3;4},F14,I14,L14,O14),2)+LARGE(CHOOSE({1;2;3;4},F14,I14,L14,O14),3)</f>
        <v>7.8</v>
      </c>
      <c r="S14" s="8">
        <f>LARGE(CHOOSE({1;2;3;4},G14,J14,M14,P14),1)+LARGE(CHOOSE({1;2;3;4},G14,J14,M14,P14),2)+LARGE(CHOOSE({1;2;3;4},G14,J14,M14,P14),3)</f>
        <v>16.600000000000001</v>
      </c>
      <c r="T14" s="8">
        <f>LARGE(CHOOSE({1;2;3;4},H14,K14,N14,Q14),1)+LARGE(CHOOSE({1;2;3;4},H14,K14,N14,Q14),2)+LARGE(CHOOSE({1;2;3;4},H14,K14,N14,Q14),3)</f>
        <v>24.4</v>
      </c>
      <c r="U14" s="5" cm="1">
        <f t="array" ref="U14">IF(SR[[#This Row],[Number_of_competition]:[Number_of_competition]]&gt;=3,(LARGE(CHOOSE({1;2;3;4},F14,I14,L14,O14),1)+LARGE(CHOOSE({1;2;3;4},F14,I14,L14,O14),2)+LARGE(CHOOSE({1;2;3;4},F14,I14,L14,O14),3))/3,0)</f>
        <v>0</v>
      </c>
      <c r="V14" s="8" cm="1">
        <f t="array" ref="V14">IF(SR[[#This Row],[Number_of_competition]:[Number_of_competition]]&gt;=3,(LARGE(CHOOSE({1;2;3;4},G14,J14,M14,P14),1)+LARGE(CHOOSE({1;2;3;4},G14,J14,M14,P14),2)+LARGE(CHOOSE({1;2;3;4},G14,J14,M14,P14),3))/3,0)</f>
        <v>0</v>
      </c>
      <c r="W14" s="8" cm="1">
        <f t="array" ref="W14">IF(SR[[#This Row],[Number_of_competition]:[Number_of_competition]]&gt;=3,(LARGE(CHOOSE({1;2;3;4},H14,K14,N14,Q14),1)+LARGE(CHOOSE({1;2;3;4},H14,K14,N14,Q14),2)+LARGE(CHOOSE({1;2;3;4},H14,K14,N14,Q14),3))/3,0)</f>
        <v>0</v>
      </c>
    </row>
    <row r="15" spans="1:23" x14ac:dyDescent="0.25">
      <c r="A15" t="s">
        <v>127</v>
      </c>
      <c r="B15" s="2" t="s">
        <v>60</v>
      </c>
      <c r="C15" s="2" t="s">
        <v>128</v>
      </c>
      <c r="D15" t="s">
        <v>72</v>
      </c>
      <c r="E15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15" s="5">
        <v>3.8</v>
      </c>
      <c r="G15" s="8">
        <v>8.1999999999999993</v>
      </c>
      <c r="H15" s="8">
        <v>12</v>
      </c>
      <c r="I15" s="5">
        <v>0</v>
      </c>
      <c r="J15" s="8">
        <v>0</v>
      </c>
      <c r="K15" s="8">
        <v>0</v>
      </c>
      <c r="L15" s="5">
        <v>3.8</v>
      </c>
      <c r="M15" s="8">
        <v>8.35</v>
      </c>
      <c r="N15" s="8">
        <v>12.15</v>
      </c>
      <c r="O15" s="5">
        <v>0</v>
      </c>
      <c r="P15" s="8">
        <v>0</v>
      </c>
      <c r="Q15" s="8">
        <v>0</v>
      </c>
      <c r="R15" s="5">
        <f>LARGE(CHOOSE({1;2;3;4},F15,I15,L15,O15),1)+LARGE(CHOOSE({1;2;3;4},F15,I15,L15,O15),2)+LARGE(CHOOSE({1;2;3;4},F15,I15,L15,O15),3)</f>
        <v>7.6</v>
      </c>
      <c r="S15" s="8">
        <f>LARGE(CHOOSE({1;2;3;4},G15,J15,M15,P15),1)+LARGE(CHOOSE({1;2;3;4},G15,J15,M15,P15),2)+LARGE(CHOOSE({1;2;3;4},G15,J15,M15,P15),3)</f>
        <v>16.549999999999997</v>
      </c>
      <c r="T15" s="8">
        <f>LARGE(CHOOSE({1;2;3;4},H15,K15,N15,Q15),1)+LARGE(CHOOSE({1;2;3;4},H15,K15,N15,Q15),2)+LARGE(CHOOSE({1;2;3;4},H15,K15,N15,Q15),3)</f>
        <v>24.15</v>
      </c>
      <c r="U15" s="5" cm="1">
        <f t="array" ref="U15">IF(SR[[#This Row],[Number_of_competition]:[Number_of_competition]]&gt;=3,(LARGE(CHOOSE({1;2;3;4},F15,I15,L15,O15),1)+LARGE(CHOOSE({1;2;3;4},F15,I15,L15,O15),2)+LARGE(CHOOSE({1;2;3;4},F15,I15,L15,O15),3))/3,0)</f>
        <v>0</v>
      </c>
      <c r="V15" s="8" cm="1">
        <f t="array" ref="V15">IF(SR[[#This Row],[Number_of_competition]:[Number_of_competition]]&gt;=3,(LARGE(CHOOSE({1;2;3;4},G15,J15,M15,P15),1)+LARGE(CHOOSE({1;2;3;4},G15,J15,M15,P15),2)+LARGE(CHOOSE({1;2;3;4},G15,J15,M15,P15),3))/3,0)</f>
        <v>0</v>
      </c>
      <c r="W15" s="8" cm="1">
        <f t="array" ref="W15">IF(SR[[#This Row],[Number_of_competition]:[Number_of_competition]]&gt;=3,(LARGE(CHOOSE({1;2;3;4},H15,K15,N15,Q15),1)+LARGE(CHOOSE({1;2;3;4},H15,K15,N15,Q15),2)+LARGE(CHOOSE({1;2;3;4},H15,K15,N15,Q15),3))/3,0)</f>
        <v>0</v>
      </c>
    </row>
    <row r="16" spans="1:23" x14ac:dyDescent="0.25">
      <c r="A16" t="s">
        <v>70</v>
      </c>
      <c r="B16" s="2" t="s">
        <v>60</v>
      </c>
      <c r="C16" s="2" t="s">
        <v>71</v>
      </c>
      <c r="D16" t="s">
        <v>72</v>
      </c>
      <c r="E16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16" s="5">
        <v>0</v>
      </c>
      <c r="G16" s="8">
        <v>0</v>
      </c>
      <c r="H16" s="8">
        <v>0</v>
      </c>
      <c r="I16" s="5">
        <v>4.0999999999999996</v>
      </c>
      <c r="J16" s="8">
        <v>7.6</v>
      </c>
      <c r="K16" s="8">
        <v>11.7</v>
      </c>
      <c r="L16" s="5">
        <v>4.0999999999999996</v>
      </c>
      <c r="M16" s="8">
        <v>7.8</v>
      </c>
      <c r="N16" s="8">
        <v>11.9</v>
      </c>
      <c r="O16" s="5">
        <v>0</v>
      </c>
      <c r="P16" s="8">
        <v>0</v>
      </c>
      <c r="Q16" s="8">
        <v>0</v>
      </c>
      <c r="R16" s="5">
        <f>LARGE(CHOOSE({1;2;3;4},F16,I16,L16,O16),1)+LARGE(CHOOSE({1;2;3;4},F16,I16,L16,O16),2)+LARGE(CHOOSE({1;2;3;4},F16,I16,L16,O16),3)</f>
        <v>8.1999999999999993</v>
      </c>
      <c r="S16" s="8">
        <f>LARGE(CHOOSE({1;2;3;4},G16,J16,M16,P16),1)+LARGE(CHOOSE({1;2;3;4},G16,J16,M16,P16),2)+LARGE(CHOOSE({1;2;3;4},G16,J16,M16,P16),3)</f>
        <v>15.399999999999999</v>
      </c>
      <c r="T16" s="8">
        <f>LARGE(CHOOSE({1;2;3;4},H16,K16,N16,Q16),1)+LARGE(CHOOSE({1;2;3;4},H16,K16,N16,Q16),2)+LARGE(CHOOSE({1;2;3;4},H16,K16,N16,Q16),3)</f>
        <v>23.6</v>
      </c>
      <c r="U16" s="5" cm="1">
        <f t="array" ref="U16">IF(SR[[#This Row],[Number_of_competition]:[Number_of_competition]]&gt;=3,(LARGE(CHOOSE({1;2;3;4},F16,I16,L16,O16),1)+LARGE(CHOOSE({1;2;3;4},F16,I16,L16,O16),2)+LARGE(CHOOSE({1;2;3;4},F16,I16,L16,O16),3))/3,0)</f>
        <v>0</v>
      </c>
      <c r="V16" s="8" cm="1">
        <f t="array" ref="V16">IF(SR[[#This Row],[Number_of_competition]:[Number_of_competition]]&gt;=3,(LARGE(CHOOSE({1;2;3;4},G16,J16,M16,P16),1)+LARGE(CHOOSE({1;2;3;4},G16,J16,M16,P16),2)+LARGE(CHOOSE({1;2;3;4},G16,J16,M16,P16),3))/3,0)</f>
        <v>0</v>
      </c>
      <c r="W16" s="8" cm="1">
        <f t="array" ref="W16">IF(SR[[#This Row],[Number_of_competition]:[Number_of_competition]]&gt;=3,(LARGE(CHOOSE({1;2;3;4},H16,K16,N16,Q16),1)+LARGE(CHOOSE({1;2;3;4},H16,K16,N16,Q16),2)+LARGE(CHOOSE({1;2;3;4},H16,K16,N16,Q16),3))/3,0)</f>
        <v>0</v>
      </c>
    </row>
    <row r="17" spans="1:23" x14ac:dyDescent="0.25">
      <c r="A17" t="s">
        <v>75</v>
      </c>
      <c r="B17" s="2" t="s">
        <v>60</v>
      </c>
      <c r="C17" s="2" t="s">
        <v>76</v>
      </c>
      <c r="D17" t="s">
        <v>28</v>
      </c>
      <c r="E17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17" s="5">
        <v>0</v>
      </c>
      <c r="G17" s="8">
        <v>0</v>
      </c>
      <c r="H17" s="8">
        <v>0</v>
      </c>
      <c r="I17" s="5">
        <v>3.8</v>
      </c>
      <c r="J17" s="8">
        <v>7.8</v>
      </c>
      <c r="K17" s="8">
        <v>11.6</v>
      </c>
      <c r="L17" s="5">
        <v>3.4</v>
      </c>
      <c r="M17" s="8">
        <v>7.7</v>
      </c>
      <c r="N17" s="8">
        <v>11.1</v>
      </c>
      <c r="O17" s="5">
        <v>0</v>
      </c>
      <c r="P17" s="8">
        <v>0</v>
      </c>
      <c r="Q17" s="8">
        <v>0</v>
      </c>
      <c r="R17" s="5">
        <f>LARGE(CHOOSE({1;2;3;4},F17,I17,L17,O17),1)+LARGE(CHOOSE({1;2;3;4},F17,I17,L17,O17),2)+LARGE(CHOOSE({1;2;3;4},F17,I17,L17,O17),3)</f>
        <v>7.1999999999999993</v>
      </c>
      <c r="S17" s="8">
        <f>LARGE(CHOOSE({1;2;3;4},G17,J17,M17,P17),1)+LARGE(CHOOSE({1;2;3;4},G17,J17,M17,P17),2)+LARGE(CHOOSE({1;2;3;4},G17,J17,M17,P17),3)</f>
        <v>15.5</v>
      </c>
      <c r="T17" s="8">
        <f>LARGE(CHOOSE({1;2;3;4},H17,K17,N17,Q17),1)+LARGE(CHOOSE({1;2;3;4},H17,K17,N17,Q17),2)+LARGE(CHOOSE({1;2;3;4},H17,K17,N17,Q17),3)</f>
        <v>22.7</v>
      </c>
      <c r="U17" s="5" cm="1">
        <f t="array" ref="U17">IF(SR[[#This Row],[Number_of_competition]:[Number_of_competition]]&gt;=3,(LARGE(CHOOSE({1;2;3;4},F17,I17,L17,O17),1)+LARGE(CHOOSE({1;2;3;4},F17,I17,L17,O17),2)+LARGE(CHOOSE({1;2;3;4},F17,I17,L17,O17),3))/3,0)</f>
        <v>0</v>
      </c>
      <c r="V17" s="8" cm="1">
        <f t="array" ref="V17">IF(SR[[#This Row],[Number_of_competition]:[Number_of_competition]]&gt;=3,(LARGE(CHOOSE({1;2;3;4},G17,J17,M17,P17),1)+LARGE(CHOOSE({1;2;3;4},G17,J17,M17,P17),2)+LARGE(CHOOSE({1;2;3;4},G17,J17,M17,P17),3))/3,0)</f>
        <v>0</v>
      </c>
      <c r="W17" s="8" cm="1">
        <f t="array" ref="W17">IF(SR[[#This Row],[Number_of_competition]:[Number_of_competition]]&gt;=3,(LARGE(CHOOSE({1;2;3;4},H17,K17,N17,Q17),1)+LARGE(CHOOSE({1;2;3;4},H17,K17,N17,Q17),2)+LARGE(CHOOSE({1;2;3;4},H17,K17,N17,Q17),3))/3,0)</f>
        <v>0</v>
      </c>
    </row>
    <row r="18" spans="1:23" x14ac:dyDescent="0.25">
      <c r="A18" t="s">
        <v>90</v>
      </c>
      <c r="B18" s="2" t="s">
        <v>60</v>
      </c>
      <c r="C18" s="2" t="s">
        <v>91</v>
      </c>
      <c r="D18" t="s">
        <v>36</v>
      </c>
      <c r="E18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18" s="5">
        <v>0</v>
      </c>
      <c r="G18" s="8">
        <v>0</v>
      </c>
      <c r="H18" s="8">
        <v>0</v>
      </c>
      <c r="I18" s="5">
        <v>3.8</v>
      </c>
      <c r="J18" s="8">
        <v>7</v>
      </c>
      <c r="K18" s="8">
        <v>10.8</v>
      </c>
      <c r="L18" s="5">
        <v>3</v>
      </c>
      <c r="M18" s="8">
        <v>6.35</v>
      </c>
      <c r="N18" s="8">
        <v>9.35</v>
      </c>
      <c r="O18" s="5">
        <v>0</v>
      </c>
      <c r="P18" s="8">
        <v>0</v>
      </c>
      <c r="Q18" s="8">
        <v>0</v>
      </c>
      <c r="R18" s="5">
        <f>LARGE(CHOOSE({1;2;3;4},F18,I18,L18,O18),1)+LARGE(CHOOSE({1;2;3;4},F18,I18,L18,O18),2)+LARGE(CHOOSE({1;2;3;4},F18,I18,L18,O18),3)</f>
        <v>6.8</v>
      </c>
      <c r="S18" s="8">
        <f>LARGE(CHOOSE({1;2;3;4},G18,J18,M18,P18),1)+LARGE(CHOOSE({1;2;3;4},G18,J18,M18,P18),2)+LARGE(CHOOSE({1;2;3;4},G18,J18,M18,P18),3)</f>
        <v>13.35</v>
      </c>
      <c r="T18" s="8">
        <f>LARGE(CHOOSE({1;2;3;4},H18,K18,N18,Q18),1)+LARGE(CHOOSE({1;2;3;4},H18,K18,N18,Q18),2)+LARGE(CHOOSE({1;2;3;4},H18,K18,N18,Q18),3)</f>
        <v>20.149999999999999</v>
      </c>
      <c r="U18" s="5" cm="1">
        <f t="array" ref="U18">IF(SR[[#This Row],[Number_of_competition]:[Number_of_competition]]&gt;=3,(LARGE(CHOOSE({1;2;3;4},F18,I18,L18,O18),1)+LARGE(CHOOSE({1;2;3;4},F18,I18,L18,O18),2)+LARGE(CHOOSE({1;2;3;4},F18,I18,L18,O18),3))/3,0)</f>
        <v>0</v>
      </c>
      <c r="V18" s="8" cm="1">
        <f t="array" ref="V18">IF(SR[[#This Row],[Number_of_competition]:[Number_of_competition]]&gt;=3,(LARGE(CHOOSE({1;2;3;4},G18,J18,M18,P18),1)+LARGE(CHOOSE({1;2;3;4},G18,J18,M18,P18),2)+LARGE(CHOOSE({1;2;3;4},G18,J18,M18,P18),3))/3,0)</f>
        <v>0</v>
      </c>
      <c r="W18" s="8" cm="1">
        <f t="array" ref="W18">IF(SR[[#This Row],[Number_of_competition]:[Number_of_competition]]&gt;=3,(LARGE(CHOOSE({1;2;3;4},H18,K18,N18,Q18),1)+LARGE(CHOOSE({1;2;3;4},H18,K18,N18,Q18),2)+LARGE(CHOOSE({1;2;3;4},H18,K18,N18,Q18),3))/3,0)</f>
        <v>0</v>
      </c>
    </row>
    <row r="19" spans="1:23" x14ac:dyDescent="0.25">
      <c r="A19" t="s">
        <v>88</v>
      </c>
      <c r="B19" s="2" t="s">
        <v>60</v>
      </c>
      <c r="C19" s="2" t="s">
        <v>89</v>
      </c>
      <c r="D19" t="s">
        <v>36</v>
      </c>
      <c r="E19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19" s="5">
        <v>0</v>
      </c>
      <c r="G19" s="8">
        <v>0</v>
      </c>
      <c r="H19" s="8">
        <v>0</v>
      </c>
      <c r="I19" s="5">
        <v>2.5</v>
      </c>
      <c r="J19" s="8">
        <v>7.2</v>
      </c>
      <c r="K19" s="8">
        <v>9.6999999999999993</v>
      </c>
      <c r="L19" s="5">
        <v>0</v>
      </c>
      <c r="M19" s="8">
        <v>0</v>
      </c>
      <c r="N19" s="8">
        <v>0</v>
      </c>
      <c r="O19" s="5">
        <v>2.2000000000000002</v>
      </c>
      <c r="P19" s="8">
        <v>7.7</v>
      </c>
      <c r="Q19" s="8">
        <v>9.9</v>
      </c>
      <c r="R19" s="5">
        <f>LARGE(CHOOSE({1;2;3;4},F19,I19,L19,O19),1)+LARGE(CHOOSE({1;2;3;4},F19,I19,L19,O19),2)+LARGE(CHOOSE({1;2;3;4},F19,I19,L19,O19),3)</f>
        <v>4.7</v>
      </c>
      <c r="S19" s="8">
        <f>LARGE(CHOOSE({1;2;3;4},G19,J19,M19,P19),1)+LARGE(CHOOSE({1;2;3;4},G19,J19,M19,P19),2)+LARGE(CHOOSE({1;2;3;4},G19,J19,M19,P19),3)</f>
        <v>14.9</v>
      </c>
      <c r="T19" s="8">
        <f>LARGE(CHOOSE({1;2;3;4},H19,K19,N19,Q19),1)+LARGE(CHOOSE({1;2;3;4},H19,K19,N19,Q19),2)+LARGE(CHOOSE({1;2;3;4},H19,K19,N19,Q19),3)</f>
        <v>19.600000000000001</v>
      </c>
      <c r="U19" s="5" cm="1">
        <f t="array" ref="U19">IF(SR[[#This Row],[Number_of_competition]:[Number_of_competition]]&gt;=3,(LARGE(CHOOSE({1;2;3;4},F19,I19,L19,O19),1)+LARGE(CHOOSE({1;2;3;4},F19,I19,L19,O19),2)+LARGE(CHOOSE({1;2;3;4},F19,I19,L19,O19),3))/3,0)</f>
        <v>0</v>
      </c>
      <c r="V19" s="8" cm="1">
        <f t="array" ref="V19">IF(SR[[#This Row],[Number_of_competition]:[Number_of_competition]]&gt;=3,(LARGE(CHOOSE({1;2;3;4},G19,J19,M19,P19),1)+LARGE(CHOOSE({1;2;3;4},G19,J19,M19,P19),2)+LARGE(CHOOSE({1;2;3;4},G19,J19,M19,P19),3))/3,0)</f>
        <v>0</v>
      </c>
      <c r="W19" s="8" cm="1">
        <f t="array" ref="W19">IF(SR[[#This Row],[Number_of_competition]:[Number_of_competition]]&gt;=3,(LARGE(CHOOSE({1;2;3;4},H19,K19,N19,Q19),1)+LARGE(CHOOSE({1;2;3;4},H19,K19,N19,Q19),2)+LARGE(CHOOSE({1;2;3;4},H19,K19,N19,Q19),3))/3,0)</f>
        <v>0</v>
      </c>
    </row>
    <row r="20" spans="1:23" x14ac:dyDescent="0.25">
      <c r="A20" t="s">
        <v>98</v>
      </c>
      <c r="B20" s="2" t="s">
        <v>60</v>
      </c>
      <c r="C20" s="2" t="s">
        <v>99</v>
      </c>
      <c r="D20" t="s">
        <v>72</v>
      </c>
      <c r="E20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20" s="5">
        <v>0</v>
      </c>
      <c r="G20" s="8">
        <v>0</v>
      </c>
      <c r="H20" s="8">
        <v>0</v>
      </c>
      <c r="I20" s="5">
        <v>2.9</v>
      </c>
      <c r="J20" s="8">
        <v>6.7</v>
      </c>
      <c r="K20" s="8">
        <v>9.6</v>
      </c>
      <c r="L20" s="5">
        <v>2.5</v>
      </c>
      <c r="M20" s="8">
        <v>6.55</v>
      </c>
      <c r="N20" s="8">
        <v>9.0500000000000007</v>
      </c>
      <c r="O20" s="5">
        <v>0</v>
      </c>
      <c r="P20" s="8">
        <v>0</v>
      </c>
      <c r="Q20" s="8">
        <v>0</v>
      </c>
      <c r="R20" s="5">
        <f>LARGE(CHOOSE({1;2;3;4},F20,I20,L20,O20),1)+LARGE(CHOOSE({1;2;3;4},F20,I20,L20,O20),2)+LARGE(CHOOSE({1;2;3;4},F20,I20,L20,O20),3)</f>
        <v>5.4</v>
      </c>
      <c r="S20" s="8">
        <f>LARGE(CHOOSE({1;2;3;4},G20,J20,M20,P20),1)+LARGE(CHOOSE({1;2;3;4},G20,J20,M20,P20),2)+LARGE(CHOOSE({1;2;3;4},G20,J20,M20,P20),3)</f>
        <v>13.25</v>
      </c>
      <c r="T20" s="8">
        <f>LARGE(CHOOSE({1;2;3;4},H20,K20,N20,Q20),1)+LARGE(CHOOSE({1;2;3;4},H20,K20,N20,Q20),2)+LARGE(CHOOSE({1;2;3;4},H20,K20,N20,Q20),3)</f>
        <v>18.649999999999999</v>
      </c>
      <c r="U20" s="5" cm="1">
        <f t="array" ref="U20">IF(SR[[#This Row],[Number_of_competition]:[Number_of_competition]]&gt;=3,(LARGE(CHOOSE({1;2;3;4},F20,I20,L20,O20),1)+LARGE(CHOOSE({1;2;3;4},F20,I20,L20,O20),2)+LARGE(CHOOSE({1;2;3;4},F20,I20,L20,O20),3))/3,0)</f>
        <v>0</v>
      </c>
      <c r="V20" s="8" cm="1">
        <f t="array" ref="V20">IF(SR[[#This Row],[Number_of_competition]:[Number_of_competition]]&gt;=3,(LARGE(CHOOSE({1;2;3;4},G20,J20,M20,P20),1)+LARGE(CHOOSE({1;2;3;4},G20,J20,M20,P20),2)+LARGE(CHOOSE({1;2;3;4},G20,J20,M20,P20),3))/3,0)</f>
        <v>0</v>
      </c>
      <c r="W20" s="8" cm="1">
        <f t="array" ref="W20">IF(SR[[#This Row],[Number_of_competition]:[Number_of_competition]]&gt;=3,(LARGE(CHOOSE({1;2;3;4},H20,K20,N20,Q20),1)+LARGE(CHOOSE({1;2;3;4},H20,K20,N20,Q20),2)+LARGE(CHOOSE({1;2;3;4},H20,K20,N20,Q20),3))/3,0)</f>
        <v>0</v>
      </c>
    </row>
    <row r="21" spans="1:23" x14ac:dyDescent="0.25">
      <c r="A21" t="s">
        <v>108</v>
      </c>
      <c r="B21" s="2" t="s">
        <v>60</v>
      </c>
      <c r="C21" s="2" t="s">
        <v>109</v>
      </c>
      <c r="D21" t="s">
        <v>62</v>
      </c>
      <c r="E21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21" s="5">
        <v>0</v>
      </c>
      <c r="G21" s="8">
        <v>0</v>
      </c>
      <c r="H21" s="8">
        <v>0</v>
      </c>
      <c r="I21" s="5">
        <v>2.6</v>
      </c>
      <c r="J21" s="8">
        <v>1.7</v>
      </c>
      <c r="K21" s="8">
        <v>4.3</v>
      </c>
      <c r="L21" s="5">
        <v>2.9</v>
      </c>
      <c r="M21" s="8">
        <v>5.75</v>
      </c>
      <c r="N21" s="8">
        <v>8.65</v>
      </c>
      <c r="O21" s="5">
        <v>0</v>
      </c>
      <c r="P21" s="8">
        <v>0</v>
      </c>
      <c r="Q21" s="8">
        <v>0</v>
      </c>
      <c r="R21" s="5">
        <f>LARGE(CHOOSE({1;2;3;4},F21,I21,L21,O21),1)+LARGE(CHOOSE({1;2;3;4},F21,I21,L21,O21),2)+LARGE(CHOOSE({1;2;3;4},F21,I21,L21,O21),3)</f>
        <v>5.5</v>
      </c>
      <c r="S21" s="8">
        <f>LARGE(CHOOSE({1;2;3;4},G21,J21,M21,P21),1)+LARGE(CHOOSE({1;2;3;4},G21,J21,M21,P21),2)+LARGE(CHOOSE({1;2;3;4},G21,J21,M21,P21),3)</f>
        <v>7.45</v>
      </c>
      <c r="T21" s="8">
        <f>LARGE(CHOOSE({1;2;3;4},H21,K21,N21,Q21),1)+LARGE(CHOOSE({1;2;3;4},H21,K21,N21,Q21),2)+LARGE(CHOOSE({1;2;3;4},H21,K21,N21,Q21),3)</f>
        <v>12.95</v>
      </c>
      <c r="U21" s="5" cm="1">
        <f t="array" ref="U21">IF(SR[[#This Row],[Number_of_competition]:[Number_of_competition]]&gt;=3,(LARGE(CHOOSE({1;2;3;4},F21,I21,L21,O21),1)+LARGE(CHOOSE({1;2;3;4},F21,I21,L21,O21),2)+LARGE(CHOOSE({1;2;3;4},F21,I21,L21,O21),3))/3,0)</f>
        <v>0</v>
      </c>
      <c r="V21" s="8" cm="1">
        <f t="array" ref="V21">IF(SR[[#This Row],[Number_of_competition]:[Number_of_competition]]&gt;=3,(LARGE(CHOOSE({1;2;3;4},G21,J21,M21,P21),1)+LARGE(CHOOSE({1;2;3;4},G21,J21,M21,P21),2)+LARGE(CHOOSE({1;2;3;4},G21,J21,M21,P21),3))/3,0)</f>
        <v>0</v>
      </c>
      <c r="W21" s="8" cm="1">
        <f t="array" ref="W21">IF(SR[[#This Row],[Number_of_competition]:[Number_of_competition]]&gt;=3,(LARGE(CHOOSE({1;2;3;4},H21,K21,N21,Q21),1)+LARGE(CHOOSE({1;2;3;4},H21,K21,N21,Q21),2)+LARGE(CHOOSE({1;2;3;4},H21,K21,N21,Q21),3))/3,0)</f>
        <v>0</v>
      </c>
    </row>
    <row r="22" spans="1:23" x14ac:dyDescent="0.25">
      <c r="A22" t="s">
        <v>118</v>
      </c>
      <c r="B22" s="2" t="s">
        <v>60</v>
      </c>
      <c r="C22" s="2" t="s">
        <v>119</v>
      </c>
      <c r="D22" t="s">
        <v>31</v>
      </c>
      <c r="E22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22" s="5">
        <v>0</v>
      </c>
      <c r="G22" s="8">
        <v>0</v>
      </c>
      <c r="H22" s="8">
        <v>0</v>
      </c>
      <c r="I22" s="5">
        <v>0</v>
      </c>
      <c r="J22" s="8">
        <v>0</v>
      </c>
      <c r="K22" s="8">
        <v>0</v>
      </c>
      <c r="L22" s="5">
        <v>4</v>
      </c>
      <c r="M22" s="8">
        <v>7.65</v>
      </c>
      <c r="N22" s="8">
        <v>11.65</v>
      </c>
      <c r="O22" s="5">
        <v>0</v>
      </c>
      <c r="P22" s="8">
        <v>0</v>
      </c>
      <c r="Q22" s="8">
        <v>0</v>
      </c>
      <c r="R22" s="5">
        <f>LARGE(CHOOSE({1;2;3;4},F22,I22,L22,O22),1)+LARGE(CHOOSE({1;2;3;4},F22,I22,L22,O22),2)+LARGE(CHOOSE({1;2;3;4},F22,I22,L22,O22),3)</f>
        <v>4</v>
      </c>
      <c r="S22" s="8">
        <f>LARGE(CHOOSE({1;2;3;4},G22,J22,M22,P22),1)+LARGE(CHOOSE({1;2;3;4},G22,J22,M22,P22),2)+LARGE(CHOOSE({1;2;3;4},G22,J22,M22,P22),3)</f>
        <v>7.65</v>
      </c>
      <c r="T22" s="8">
        <f>LARGE(CHOOSE({1;2;3;4},H22,K22,N22,Q22),1)+LARGE(CHOOSE({1;2;3;4},H22,K22,N22,Q22),2)+LARGE(CHOOSE({1;2;3;4},H22,K22,N22,Q22),3)</f>
        <v>11.65</v>
      </c>
      <c r="U22" s="5" cm="1">
        <f t="array" ref="U22">IF(SR[[#This Row],[Number_of_competition]:[Number_of_competition]]&gt;=3,(LARGE(CHOOSE({1;2;3;4},F22,I22,L22,O22),1)+LARGE(CHOOSE({1;2;3;4},F22,I22,L22,O22),2)+LARGE(CHOOSE({1;2;3;4},F22,I22,L22,O22),3))/3,0)</f>
        <v>0</v>
      </c>
      <c r="V22" s="8" cm="1">
        <f t="array" ref="V22">IF(SR[[#This Row],[Number_of_competition]:[Number_of_competition]]&gt;=3,(LARGE(CHOOSE({1;2;3;4},G22,J22,M22,P22),1)+LARGE(CHOOSE({1;2;3;4},G22,J22,M22,P22),2)+LARGE(CHOOSE({1;2;3;4},G22,J22,M22,P22),3))/3,0)</f>
        <v>0</v>
      </c>
      <c r="W22" s="8" cm="1">
        <f t="array" ref="W22">IF(SR[[#This Row],[Number_of_competition]:[Number_of_competition]]&gt;=3,(LARGE(CHOOSE({1;2;3;4},H22,K22,N22,Q22),1)+LARGE(CHOOSE({1;2;3;4},H22,K22,N22,Q22),2)+LARGE(CHOOSE({1;2;3;4},H22,K22,N22,Q22),3))/3,0)</f>
        <v>0</v>
      </c>
    </row>
    <row r="23" spans="1:23" x14ac:dyDescent="0.25">
      <c r="A23" t="s">
        <v>142</v>
      </c>
      <c r="B23" s="2" t="s">
        <v>60</v>
      </c>
      <c r="C23" s="2" t="s">
        <v>143</v>
      </c>
      <c r="D23" t="s">
        <v>62</v>
      </c>
      <c r="E23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23" s="5">
        <v>2.7</v>
      </c>
      <c r="G23" s="8">
        <v>8</v>
      </c>
      <c r="H23" s="8">
        <v>10.7</v>
      </c>
      <c r="I23" s="5">
        <v>0</v>
      </c>
      <c r="J23" s="8">
        <v>0</v>
      </c>
      <c r="K23" s="8">
        <v>0</v>
      </c>
      <c r="L23" s="5">
        <v>0</v>
      </c>
      <c r="M23" s="8">
        <v>0</v>
      </c>
      <c r="N23" s="8">
        <v>0</v>
      </c>
      <c r="O23" s="5">
        <v>0</v>
      </c>
      <c r="P23" s="8">
        <v>0</v>
      </c>
      <c r="Q23" s="8">
        <v>0</v>
      </c>
      <c r="R23" s="5">
        <f>LARGE(CHOOSE({1;2;3;4},F23,I23,L23,O23),1)+LARGE(CHOOSE({1;2;3;4},F23,I23,L23,O23),2)+LARGE(CHOOSE({1;2;3;4},F23,I23,L23,O23),3)</f>
        <v>2.7</v>
      </c>
      <c r="S23" s="8">
        <f>LARGE(CHOOSE({1;2;3;4},G23,J23,M23,P23),1)+LARGE(CHOOSE({1;2;3;4},G23,J23,M23,P23),2)+LARGE(CHOOSE({1;2;3;4},G23,J23,M23,P23),3)</f>
        <v>8</v>
      </c>
      <c r="T23" s="8">
        <f>LARGE(CHOOSE({1;2;3;4},H23,K23,N23,Q23),1)+LARGE(CHOOSE({1;2;3;4},H23,K23,N23,Q23),2)+LARGE(CHOOSE({1;2;3;4},H23,K23,N23,Q23),3)</f>
        <v>10.7</v>
      </c>
      <c r="U23" s="5" cm="1">
        <f t="array" ref="U23">IF(SR[[#This Row],[Number_of_competition]:[Number_of_competition]]&gt;=3,(LARGE(CHOOSE({1;2;3;4},F23,I23,L23,O23),1)+LARGE(CHOOSE({1;2;3;4},F23,I23,L23,O23),2)+LARGE(CHOOSE({1;2;3;4},F23,I23,L23,O23),3))/3,0)</f>
        <v>0</v>
      </c>
      <c r="V23" s="8" cm="1">
        <f t="array" ref="V23">IF(SR[[#This Row],[Number_of_competition]:[Number_of_competition]]&gt;=3,(LARGE(CHOOSE({1;2;3;4},G23,J23,M23,P23),1)+LARGE(CHOOSE({1;2;3;4},G23,J23,M23,P23),2)+LARGE(CHOOSE({1;2;3;4},G23,J23,M23,P23),3))/3,0)</f>
        <v>0</v>
      </c>
      <c r="W23" s="8" cm="1">
        <f t="array" ref="W23">IF(SR[[#This Row],[Number_of_competition]:[Number_of_competition]]&gt;=3,(LARGE(CHOOSE({1;2;3;4},H23,K23,N23,Q23),1)+LARGE(CHOOSE({1;2;3;4},H23,K23,N23,Q23),2)+LARGE(CHOOSE({1;2;3;4},H23,K23,N23,Q23),3))/3,0)</f>
        <v>0</v>
      </c>
    </row>
    <row r="24" spans="1:23" x14ac:dyDescent="0.25">
      <c r="A24" t="s">
        <v>102</v>
      </c>
      <c r="B24" s="2" t="s">
        <v>60</v>
      </c>
      <c r="C24" s="2" t="s">
        <v>103</v>
      </c>
      <c r="D24" t="s">
        <v>31</v>
      </c>
      <c r="E24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24" s="5">
        <v>0</v>
      </c>
      <c r="G24" s="8">
        <v>0</v>
      </c>
      <c r="H24" s="8">
        <v>0</v>
      </c>
      <c r="I24" s="5">
        <v>3.2</v>
      </c>
      <c r="J24" s="8">
        <v>6.9</v>
      </c>
      <c r="K24" s="8">
        <v>10.1</v>
      </c>
      <c r="L24" s="5">
        <v>0</v>
      </c>
      <c r="M24" s="8">
        <v>0</v>
      </c>
      <c r="N24" s="8">
        <v>0</v>
      </c>
      <c r="O24" s="5">
        <v>0</v>
      </c>
      <c r="P24" s="8">
        <v>0</v>
      </c>
      <c r="Q24" s="8">
        <v>0</v>
      </c>
      <c r="R24" s="5">
        <f>LARGE(CHOOSE({1;2;3;4},F24,I24,L24,O24),1)+LARGE(CHOOSE({1;2;3;4},F24,I24,L24,O24),2)+LARGE(CHOOSE({1;2;3;4},F24,I24,L24,O24),3)</f>
        <v>3.2</v>
      </c>
      <c r="S24" s="8">
        <f>LARGE(CHOOSE({1;2;3;4},G24,J24,M24,P24),1)+LARGE(CHOOSE({1;2;3;4},G24,J24,M24,P24),2)+LARGE(CHOOSE({1;2;3;4},G24,J24,M24,P24),3)</f>
        <v>6.9</v>
      </c>
      <c r="T24" s="8">
        <f>LARGE(CHOOSE({1;2;3;4},H24,K24,N24,Q24),1)+LARGE(CHOOSE({1;2;3;4},H24,K24,N24,Q24),2)+LARGE(CHOOSE({1;2;3;4},H24,K24,N24,Q24),3)</f>
        <v>10.1</v>
      </c>
      <c r="U24" s="5" cm="1">
        <f t="array" ref="U24">IF(SR[[#This Row],[Number_of_competition]:[Number_of_competition]]&gt;=3,(LARGE(CHOOSE({1;2;3;4},F24,I24,L24,O24),1)+LARGE(CHOOSE({1;2;3;4},F24,I24,L24,O24),2)+LARGE(CHOOSE({1;2;3;4},F24,I24,L24,O24),3))/3,0)</f>
        <v>0</v>
      </c>
      <c r="V24" s="8" cm="1">
        <f t="array" ref="V24">IF(SR[[#This Row],[Number_of_competition]:[Number_of_competition]]&gt;=3,(LARGE(CHOOSE({1;2;3;4},G24,J24,M24,P24),1)+LARGE(CHOOSE({1;2;3;4},G24,J24,M24,P24),2)+LARGE(CHOOSE({1;2;3;4},G24,J24,M24,P24),3))/3,0)</f>
        <v>0</v>
      </c>
      <c r="W24" s="8" cm="1">
        <f t="array" ref="W24">IF(SR[[#This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100</v>
      </c>
      <c r="B25" s="2" t="s">
        <v>60</v>
      </c>
      <c r="C25" s="2" t="s">
        <v>101</v>
      </c>
      <c r="D25" t="s">
        <v>31</v>
      </c>
      <c r="E25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25" s="5">
        <v>2.9</v>
      </c>
      <c r="G25" s="8">
        <v>7</v>
      </c>
      <c r="H25" s="8">
        <v>9.9</v>
      </c>
      <c r="I25" s="5">
        <v>0</v>
      </c>
      <c r="J25" s="8">
        <v>0</v>
      </c>
      <c r="K25" s="8">
        <v>0</v>
      </c>
      <c r="L25" s="5">
        <v>0</v>
      </c>
      <c r="M25" s="8">
        <v>0</v>
      </c>
      <c r="N25" s="8">
        <v>0</v>
      </c>
      <c r="O25" s="5">
        <v>0</v>
      </c>
      <c r="P25" s="8">
        <v>0</v>
      </c>
      <c r="Q25" s="8">
        <v>0</v>
      </c>
      <c r="R25" s="5">
        <f>LARGE(CHOOSE({1;2;3;4},F25,I25,L25,O25),1)+LARGE(CHOOSE({1;2;3;4},F25,I25,L25,O25),2)+LARGE(CHOOSE({1;2;3;4},F25,I25,L25,O25),3)</f>
        <v>2.9</v>
      </c>
      <c r="S25" s="8">
        <f>LARGE(CHOOSE({1;2;3;4},G25,J25,M25,P25),1)+LARGE(CHOOSE({1;2;3;4},G25,J25,M25,P25),2)+LARGE(CHOOSE({1;2;3;4},G25,J25,M25,P25),3)</f>
        <v>7</v>
      </c>
      <c r="T25" s="8">
        <f>LARGE(CHOOSE({1;2;3;4},H25,K25,N25,Q25),1)+LARGE(CHOOSE({1;2;3;4},H25,K25,N25,Q25),2)+LARGE(CHOOSE({1;2;3;4},H25,K25,N25,Q25),3)</f>
        <v>9.9</v>
      </c>
      <c r="U25" s="5" cm="1">
        <f t="array" ref="U25">IF(SR[[#This Row],[Number_of_competition]:[Number_of_competition]]&gt;=3,(LARGE(CHOOSE({1;2;3;4},F25,I25,L25,O25),1)+LARGE(CHOOSE({1;2;3;4},F25,I25,L25,O25),2)+LARGE(CHOOSE({1;2;3;4},F25,I25,L25,O25),3))/3,0)</f>
        <v>0</v>
      </c>
      <c r="V25" s="8" cm="1">
        <f t="array" ref="V25">IF(SR[[#This Row],[Number_of_competition]:[Number_of_competition]]&gt;=3,(LARGE(CHOOSE({1;2;3;4},G25,J25,M25,P25),1)+LARGE(CHOOSE({1;2;3;4},G25,J25,M25,P25),2)+LARGE(CHOOSE({1;2;3;4},G25,J25,M25,P25),3))/3,0)</f>
        <v>0</v>
      </c>
      <c r="W25" s="8" cm="1">
        <f t="array" ref="W25">IF(SR[[#This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106</v>
      </c>
      <c r="B26" s="2" t="s">
        <v>60</v>
      </c>
      <c r="C26" s="2" t="s">
        <v>107</v>
      </c>
      <c r="D26" t="s">
        <v>31</v>
      </c>
      <c r="E26" s="9">
        <f>COUNTIF(SR[[#This Row],[bydgoszcz_SR_Total_Score]],"&gt;0")+COUNTIF(SR[[#This Row],[zabrze_SR_Total_Score]],"&gt;0")+COUNTIF(SR[[#This Row],[cracow_SR_Total_Score]],"&gt;0")+COUNTIF(SR[[#This Row],[gdansk_SR_Total_Score]],"&gt;0")</f>
        <v>0</v>
      </c>
      <c r="F26" s="5">
        <v>0</v>
      </c>
      <c r="G26" s="8">
        <v>0</v>
      </c>
      <c r="H26" s="8">
        <v>0</v>
      </c>
      <c r="I26" s="5">
        <v>0</v>
      </c>
      <c r="J26" s="8">
        <v>0</v>
      </c>
      <c r="K26" s="8">
        <v>0</v>
      </c>
      <c r="L26" s="5">
        <v>0</v>
      </c>
      <c r="M26" s="8">
        <v>0</v>
      </c>
      <c r="N26" s="8">
        <v>0</v>
      </c>
      <c r="O26" s="5">
        <v>0</v>
      </c>
      <c r="P26" s="8">
        <v>0</v>
      </c>
      <c r="Q26" s="8">
        <v>0</v>
      </c>
      <c r="R26" s="5">
        <f>LARGE(CHOOSE({1;2;3;4},F26,I26,L26,O26),1)+LARGE(CHOOSE({1;2;3;4},F26,I26,L26,O26),2)+LARGE(CHOOSE({1;2;3;4},F26,I26,L26,O26),3)</f>
        <v>0</v>
      </c>
      <c r="S26" s="8">
        <f>LARGE(CHOOSE({1;2;3;4},G26,J26,M26,P26),1)+LARGE(CHOOSE({1;2;3;4},G26,J26,M26,P26),2)+LARGE(CHOOSE({1;2;3;4},G26,J26,M26,P26),3)</f>
        <v>0</v>
      </c>
      <c r="T26" s="8">
        <f>LARGE(CHOOSE({1;2;3;4},H26,K26,N26,Q26),1)+LARGE(CHOOSE({1;2;3;4},H26,K26,N26,Q26),2)+LARGE(CHOOSE({1;2;3;4},H26,K26,N26,Q26),3)</f>
        <v>0</v>
      </c>
      <c r="U26" s="5" cm="1">
        <f t="array" ref="U26">IF(SR[[#This Row],[Number_of_competition]:[Number_of_competition]]&gt;=3,(LARGE(CHOOSE({1;2;3;4},F26,I26,L26,O26),1)+LARGE(CHOOSE({1;2;3;4},F26,I26,L26,O26),2)+LARGE(CHOOSE({1;2;3;4},F26,I26,L26,O26),3))/3,0)</f>
        <v>0</v>
      </c>
      <c r="V26" s="8" cm="1">
        <f t="array" ref="V26">IF(SR[[#This Row],[Number_of_competition]:[Number_of_competition]]&gt;=3,(LARGE(CHOOSE({1;2;3;4},G26,J26,M26,P26),1)+LARGE(CHOOSE({1;2;3;4},G26,J26,M26,P26),2)+LARGE(CHOOSE({1;2;3;4},G26,J26,M26,P26),3))/3,0)</f>
        <v>0</v>
      </c>
      <c r="W26" s="8" cm="1">
        <f t="array" ref="W26">IF(SR[[#This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110</v>
      </c>
      <c r="B27" s="2" t="s">
        <v>60</v>
      </c>
      <c r="C27" s="2" t="s">
        <v>111</v>
      </c>
      <c r="D27" t="s">
        <v>36</v>
      </c>
      <c r="E27" s="9">
        <f>COUNTIF(SR[[#This Row],[bydgoszcz_SR_Total_Score]],"&gt;0")+COUNTIF(SR[[#This Row],[zabrze_SR_Total_Score]],"&gt;0")+COUNTIF(SR[[#This Row],[cracow_SR_Total_Score]],"&gt;0")+COUNTIF(SR[[#This Row],[gdansk_SR_Total_Score]],"&gt;0")</f>
        <v>0</v>
      </c>
      <c r="F27" s="5">
        <v>0</v>
      </c>
      <c r="G27" s="8">
        <v>0</v>
      </c>
      <c r="H27" s="8">
        <v>0</v>
      </c>
      <c r="I27" s="5">
        <v>0</v>
      </c>
      <c r="J27" s="8">
        <v>0</v>
      </c>
      <c r="K27" s="8">
        <v>0</v>
      </c>
      <c r="L27" s="5">
        <v>0</v>
      </c>
      <c r="M27" s="8">
        <v>0</v>
      </c>
      <c r="N27" s="8">
        <v>0</v>
      </c>
      <c r="O27" s="5">
        <v>0</v>
      </c>
      <c r="P27" s="8">
        <v>0</v>
      </c>
      <c r="Q27" s="8">
        <v>0</v>
      </c>
      <c r="R27" s="5">
        <f>LARGE(CHOOSE({1;2;3;4},F27,I27,L27,O27),1)+LARGE(CHOOSE({1;2;3;4},F27,I27,L27,O27),2)+LARGE(CHOOSE({1;2;3;4},F27,I27,L27,O27),3)</f>
        <v>0</v>
      </c>
      <c r="S27" s="8">
        <f>LARGE(CHOOSE({1;2;3;4},G27,J27,M27,P27),1)+LARGE(CHOOSE({1;2;3;4},G27,J27,M27,P27),2)+LARGE(CHOOSE({1;2;3;4},G27,J27,M27,P27),3)</f>
        <v>0</v>
      </c>
      <c r="T27" s="8">
        <f>LARGE(CHOOSE({1;2;3;4},H27,K27,N27,Q27),1)+LARGE(CHOOSE({1;2;3;4},H27,K27,N27,Q27),2)+LARGE(CHOOSE({1;2;3;4},H27,K27,N27,Q27),3)</f>
        <v>0</v>
      </c>
      <c r="U27" s="5" cm="1">
        <f t="array" ref="U27">IF(SR[[#This Row],[Number_of_competition]:[Number_of_competition]]&gt;=3,(LARGE(CHOOSE({1;2;3;4},F27,I27,L27,O27),1)+LARGE(CHOOSE({1;2;3;4},F27,I27,L27,O27),2)+LARGE(CHOOSE({1;2;3;4},F27,I27,L27,O27),3))/3,0)</f>
        <v>0</v>
      </c>
      <c r="V27" s="8" cm="1">
        <f t="array" ref="V27">IF(SR[[#This Row],[Number_of_competition]:[Number_of_competition]]&gt;=3,(LARGE(CHOOSE({1;2;3;4},G27,J27,M27,P27),1)+LARGE(CHOOSE({1;2;3;4},G27,J27,M27,P27),2)+LARGE(CHOOSE({1;2;3;4},G27,J27,M27,P27),3))/3,0)</f>
        <v>0</v>
      </c>
      <c r="W27" s="8" cm="1">
        <f t="array" ref="W27">IF(SR[[#This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104</v>
      </c>
      <c r="B28" s="2" t="s">
        <v>60</v>
      </c>
      <c r="C28" s="2" t="s">
        <v>105</v>
      </c>
      <c r="D28" t="s">
        <v>28</v>
      </c>
      <c r="E28" s="9">
        <f>COUNTIF(SR[[#This Row],[bydgoszcz_SR_Total_Score]],"&gt;0")+COUNTIF(SR[[#This Row],[zabrze_SR_Total_Score]],"&gt;0")+COUNTIF(SR[[#This Row],[cracow_SR_Total_Score]],"&gt;0")+COUNTIF(SR[[#This Row],[gdansk_SR_Total_Score]],"&gt;0")</f>
        <v>0</v>
      </c>
      <c r="F28" s="5">
        <v>0</v>
      </c>
      <c r="G28" s="8">
        <v>0</v>
      </c>
      <c r="H28" s="8">
        <v>0</v>
      </c>
      <c r="I28" s="5">
        <v>0</v>
      </c>
      <c r="J28" s="8">
        <v>0</v>
      </c>
      <c r="K28" s="8">
        <v>0</v>
      </c>
      <c r="L28" s="5">
        <v>0</v>
      </c>
      <c r="M28" s="8">
        <v>0</v>
      </c>
      <c r="N28" s="8">
        <v>0</v>
      </c>
      <c r="O28" s="5">
        <v>0</v>
      </c>
      <c r="P28" s="8">
        <v>0</v>
      </c>
      <c r="Q28" s="8">
        <v>0</v>
      </c>
      <c r="R28" s="5">
        <f>LARGE(CHOOSE({1;2;3;4},F28,I28,L28,O28),1)+LARGE(CHOOSE({1;2;3;4},F28,I28,L28,O28),2)+LARGE(CHOOSE({1;2;3;4},F28,I28,L28,O28),3)</f>
        <v>0</v>
      </c>
      <c r="S28" s="8">
        <f>LARGE(CHOOSE({1;2;3;4},G28,J28,M28,P28),1)+LARGE(CHOOSE({1;2;3;4},G28,J28,M28,P28),2)+LARGE(CHOOSE({1;2;3;4},G28,J28,M28,P28),3)</f>
        <v>0</v>
      </c>
      <c r="T28" s="8">
        <f>LARGE(CHOOSE({1;2;3;4},H28,K28,N28,Q28),1)+LARGE(CHOOSE({1;2;3;4},H28,K28,N28,Q28),2)+LARGE(CHOOSE({1;2;3;4},H28,K28,N28,Q28),3)</f>
        <v>0</v>
      </c>
      <c r="U28" s="5" cm="1">
        <f t="array" ref="U28">IF(SR[[#This Row],[Number_of_competition]:[Number_of_competition]]&gt;=3,(LARGE(CHOOSE({1;2;3;4},F28,I28,L28,O28),1)+LARGE(CHOOSE({1;2;3;4},F28,I28,L28,O28),2)+LARGE(CHOOSE({1;2;3;4},F28,I28,L28,O28),3))/3,0)</f>
        <v>0</v>
      </c>
      <c r="V28" s="8" cm="1">
        <f t="array" ref="V28">IF(SR[[#This Row],[Number_of_competition]:[Number_of_competition]]&gt;=3,(LARGE(CHOOSE({1;2;3;4},G28,J28,M28,P28),1)+LARGE(CHOOSE({1;2;3;4},G28,J28,M28,P28),2)+LARGE(CHOOSE({1;2;3;4},G28,J28,M28,P28),3))/3,0)</f>
        <v>0</v>
      </c>
      <c r="W28" s="8" cm="1">
        <f t="array" ref="W28">IF(SR[[#This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92</v>
      </c>
      <c r="B29" s="2" t="s">
        <v>60</v>
      </c>
      <c r="C29" s="2" t="s">
        <v>93</v>
      </c>
      <c r="D29" t="s">
        <v>39</v>
      </c>
      <c r="E29" s="9">
        <f>COUNTIF(SR[[#This Row],[bydgoszcz_SR_Total_Score]],"&gt;0")+COUNTIF(SR[[#This Row],[zabrze_SR_Total_Score]],"&gt;0")+COUNTIF(SR[[#This Row],[cracow_SR_Total_Score]],"&gt;0")+COUNTIF(SR[[#This Row],[gdansk_SR_Total_Score]],"&gt;0")</f>
        <v>0</v>
      </c>
      <c r="F29" s="5">
        <v>0</v>
      </c>
      <c r="G29" s="8">
        <v>0</v>
      </c>
      <c r="H29" s="8">
        <v>0</v>
      </c>
      <c r="I29" s="5">
        <v>0</v>
      </c>
      <c r="J29" s="8">
        <v>0</v>
      </c>
      <c r="K29" s="8">
        <v>0</v>
      </c>
      <c r="L29" s="5">
        <v>0</v>
      </c>
      <c r="M29" s="8">
        <v>0</v>
      </c>
      <c r="N29" s="8">
        <v>0</v>
      </c>
      <c r="O29" s="5">
        <v>0</v>
      </c>
      <c r="P29" s="8">
        <v>0</v>
      </c>
      <c r="Q29" s="8">
        <v>0</v>
      </c>
      <c r="R29" s="5">
        <f>LARGE(CHOOSE({1;2;3;4},F29,I29,L29,O29),1)+LARGE(CHOOSE({1;2;3;4},F29,I29,L29,O29),2)+LARGE(CHOOSE({1;2;3;4},F29,I29,L29,O29),3)</f>
        <v>0</v>
      </c>
      <c r="S29" s="8">
        <f>LARGE(CHOOSE({1;2;3;4},G29,J29,M29,P29),1)+LARGE(CHOOSE({1;2;3;4},G29,J29,M29,P29),2)+LARGE(CHOOSE({1;2;3;4},G29,J29,M29,P29),3)</f>
        <v>0</v>
      </c>
      <c r="T29" s="8">
        <f>LARGE(CHOOSE({1;2;3;4},H29,K29,N29,Q29),1)+LARGE(CHOOSE({1;2;3;4},H29,K29,N29,Q29),2)+LARGE(CHOOSE({1;2;3;4},H29,K29,N29,Q29),3)</f>
        <v>0</v>
      </c>
      <c r="U29" s="5" cm="1">
        <f t="array" ref="U29">IF(SR[[#This Row],[Number_of_competition]:[Number_of_competition]]&gt;=3,(LARGE(CHOOSE({1;2;3;4},F29,I29,L29,O29),1)+LARGE(CHOOSE({1;2;3;4},F29,I29,L29,O29),2)+LARGE(CHOOSE({1;2;3;4},F29,I29,L29,O29),3))/3,0)</f>
        <v>0</v>
      </c>
      <c r="V29" s="8" cm="1">
        <f t="array" ref="V29">IF(SR[[#This Row],[Number_of_competition]:[Number_of_competition]]&gt;=3,(LARGE(CHOOSE({1;2;3;4},G29,J29,M29,P29),1)+LARGE(CHOOSE({1;2;3;4},G29,J29,M29,P29),2)+LARGE(CHOOSE({1;2;3;4},G29,J29,M29,P29),3))/3,0)</f>
        <v>0</v>
      </c>
      <c r="W29" s="8" cm="1">
        <f t="array" ref="W29">IF(SR[[#This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129</v>
      </c>
      <c r="B30" s="2" t="s">
        <v>60</v>
      </c>
      <c r="C30" s="2" t="s">
        <v>130</v>
      </c>
      <c r="D30" t="s">
        <v>72</v>
      </c>
      <c r="E30" s="9">
        <f>COUNTIF(SR[[#This Row],[bydgoszcz_SR_Total_Score]],"&gt;0")+COUNTIF(SR[[#This Row],[zabrze_SR_Total_Score]],"&gt;0")+COUNTIF(SR[[#This Row],[cracow_SR_Total_Score]],"&gt;0")+COUNTIF(SR[[#This Row],[gdansk_SR_Total_Score]],"&gt;0")</f>
        <v>0</v>
      </c>
      <c r="F30" s="5">
        <v>0</v>
      </c>
      <c r="G30" s="8">
        <v>0</v>
      </c>
      <c r="H30" s="8">
        <v>0</v>
      </c>
      <c r="I30" s="5">
        <v>0</v>
      </c>
      <c r="J30" s="8">
        <v>0</v>
      </c>
      <c r="K30" s="8">
        <v>0</v>
      </c>
      <c r="L30" s="5">
        <v>0</v>
      </c>
      <c r="M30" s="8">
        <v>0</v>
      </c>
      <c r="N30" s="8">
        <v>0</v>
      </c>
      <c r="O30" s="5">
        <v>0</v>
      </c>
      <c r="P30" s="8">
        <v>0</v>
      </c>
      <c r="Q30" s="8">
        <v>0</v>
      </c>
      <c r="R30" s="5">
        <f>LARGE(CHOOSE({1;2;3;4},F30,I30,L30,O30),1)+LARGE(CHOOSE({1;2;3;4},F30,I30,L30,O30),2)+LARGE(CHOOSE({1;2;3;4},F30,I30,L30,O30),3)</f>
        <v>0</v>
      </c>
      <c r="S30" s="8">
        <f>LARGE(CHOOSE({1;2;3;4},G30,J30,M30,P30),1)+LARGE(CHOOSE({1;2;3;4},G30,J30,M30,P30),2)+LARGE(CHOOSE({1;2;3;4},G30,J30,M30,P30),3)</f>
        <v>0</v>
      </c>
      <c r="T30" s="8">
        <f>LARGE(CHOOSE({1;2;3;4},H30,K30,N30,Q30),1)+LARGE(CHOOSE({1;2;3;4},H30,K30,N30,Q30),2)+LARGE(CHOOSE({1;2;3;4},H30,K30,N30,Q30),3)</f>
        <v>0</v>
      </c>
      <c r="U30" s="5" cm="1">
        <f t="array" ref="U30">IF(SR[[#This Row],[Number_of_competition]:[Number_of_competition]]&gt;=3,(LARGE(CHOOSE({1;2;3;4},F30,I30,L30,O30),1)+LARGE(CHOOSE({1;2;3;4},F30,I30,L30,O30),2)+LARGE(CHOOSE({1;2;3;4},F30,I30,L30,O30),3))/3,0)</f>
        <v>0</v>
      </c>
      <c r="V30" s="8" cm="1">
        <f t="array" ref="V30">IF(SR[[#This Row],[Number_of_competition]:[Number_of_competition]]&gt;=3,(LARGE(CHOOSE({1;2;3;4},G30,J30,M30,P30),1)+LARGE(CHOOSE({1;2;3;4},G30,J30,M30,P30),2)+LARGE(CHOOSE({1;2;3;4},G30,J30,M30,P30),3))/3,0)</f>
        <v>0</v>
      </c>
      <c r="W30" s="8" cm="1">
        <f t="array" ref="W30">IF(SR[[#This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34</v>
      </c>
      <c r="B31" s="2" t="s">
        <v>26</v>
      </c>
      <c r="C31" s="2" t="s">
        <v>35</v>
      </c>
      <c r="D31" t="s">
        <v>36</v>
      </c>
      <c r="E31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1" s="5">
        <v>3.6</v>
      </c>
      <c r="G31" s="8">
        <v>7.8</v>
      </c>
      <c r="H31" s="8">
        <v>11.4</v>
      </c>
      <c r="I31" s="5">
        <v>3.9</v>
      </c>
      <c r="J31" s="8">
        <v>8.1</v>
      </c>
      <c r="K31" s="8">
        <v>12</v>
      </c>
      <c r="L31" s="5">
        <v>3.7</v>
      </c>
      <c r="M31" s="8">
        <v>7.45</v>
      </c>
      <c r="N31" s="8">
        <v>11.15</v>
      </c>
      <c r="O31" s="5">
        <v>3.4</v>
      </c>
      <c r="P31" s="8">
        <v>7.7</v>
      </c>
      <c r="Q31" s="8">
        <v>11.1</v>
      </c>
      <c r="R31" s="5">
        <f>LARGE(CHOOSE({1;2;3;4},F31,I31,L31,O31),1)+LARGE(CHOOSE({1;2;3;4},F31,I31,L31,O31),2)+LARGE(CHOOSE({1;2;3;4},F31,I31,L31,O31),3)</f>
        <v>11.2</v>
      </c>
      <c r="S31" s="8">
        <f>LARGE(CHOOSE({1;2;3;4},G31,J31,M31,P31),1)+LARGE(CHOOSE({1;2;3;4},G31,J31,M31,P31),2)+LARGE(CHOOSE({1;2;3;4},G31,J31,M31,P31),3)</f>
        <v>23.599999999999998</v>
      </c>
      <c r="T31" s="8">
        <f>LARGE(CHOOSE({1;2;3;4},H31,K31,N31,Q31),1)+LARGE(CHOOSE({1;2;3;4},H31,K31,N31,Q31),2)+LARGE(CHOOSE({1;2;3;4},H31,K31,N31,Q31),3)</f>
        <v>34.549999999999997</v>
      </c>
      <c r="U31" s="5" cm="1">
        <f t="array" ref="U31">IF(SR[[#This Row],[Number_of_competition]:[Number_of_competition]]&gt;=3,(LARGE(CHOOSE({1;2;3;4},F31,I31,L31,O31),1)+LARGE(CHOOSE({1;2;3;4},F31,I31,L31,O31),2)+LARGE(CHOOSE({1;2;3;4},F31,I31,L31,O31),3))/3,0)</f>
        <v>3.7333333333333329</v>
      </c>
      <c r="V31" s="8" cm="1">
        <f t="array" ref="V31">IF(SR[[#This Row],[Number_of_competition]:[Number_of_competition]]&gt;=3,(LARGE(CHOOSE({1;2;3;4},G31,J31,M31,P31),1)+LARGE(CHOOSE({1;2;3;4},G31,J31,M31,P31),2)+LARGE(CHOOSE({1;2;3;4},G31,J31,M31,P31),3))/3,0)</f>
        <v>7.8666666666666663</v>
      </c>
      <c r="W31" s="8" cm="1">
        <f t="array" ref="W31">IF(SR[[#This Row],[Number_of_competition]:[Number_of_competition]]&gt;=3,(LARGE(CHOOSE({1;2;3;4},H31,K31,N31,Q31),1)+LARGE(CHOOSE({1;2;3;4},H31,K31,N31,Q31),2)+LARGE(CHOOSE({1;2;3;4},H31,K31,N31,Q31),3))/3,0)</f>
        <v>11.516666666666666</v>
      </c>
    </row>
    <row r="32" spans="1:23" x14ac:dyDescent="0.25">
      <c r="A32" t="s">
        <v>25</v>
      </c>
      <c r="B32" s="2" t="s">
        <v>26</v>
      </c>
      <c r="C32" s="2" t="s">
        <v>27</v>
      </c>
      <c r="D32" t="s">
        <v>28</v>
      </c>
      <c r="E32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2" s="5">
        <v>2.8</v>
      </c>
      <c r="G32" s="8">
        <v>8.85</v>
      </c>
      <c r="H32" s="8">
        <v>11.65</v>
      </c>
      <c r="I32" s="5">
        <v>2.6</v>
      </c>
      <c r="J32" s="8">
        <v>8.1999999999999993</v>
      </c>
      <c r="K32" s="8">
        <v>10.8</v>
      </c>
      <c r="L32" s="5">
        <v>2.8</v>
      </c>
      <c r="M32" s="8">
        <v>8.4</v>
      </c>
      <c r="N32" s="8">
        <v>11.2</v>
      </c>
      <c r="O32" s="5">
        <v>2.8</v>
      </c>
      <c r="P32" s="8">
        <v>8.4</v>
      </c>
      <c r="Q32" s="8">
        <v>11.2</v>
      </c>
      <c r="R32" s="5">
        <f>LARGE(CHOOSE({1;2;3;4},F32,I32,L32,O32),1)+LARGE(CHOOSE({1;2;3;4},F32,I32,L32,O32),2)+LARGE(CHOOSE({1;2;3;4},F32,I32,L32,O32),3)</f>
        <v>8.3999999999999986</v>
      </c>
      <c r="S32" s="8">
        <f>LARGE(CHOOSE({1;2;3;4},G32,J32,M32,P32),1)+LARGE(CHOOSE({1;2;3;4},G32,J32,M32,P32),2)+LARGE(CHOOSE({1;2;3;4},G32,J32,M32,P32),3)</f>
        <v>25.65</v>
      </c>
      <c r="T32" s="8">
        <f>LARGE(CHOOSE({1;2;3;4},H32,K32,N32,Q32),1)+LARGE(CHOOSE({1;2;3;4},H32,K32,N32,Q32),2)+LARGE(CHOOSE({1;2;3;4},H32,K32,N32,Q32),3)</f>
        <v>34.049999999999997</v>
      </c>
      <c r="U32" s="5" cm="1">
        <f t="array" ref="U32">IF(SR[[#This Row],[Number_of_competition]:[Number_of_competition]]&gt;=3,(LARGE(CHOOSE({1;2;3;4},F32,I32,L32,O32),1)+LARGE(CHOOSE({1;2;3;4},F32,I32,L32,O32),2)+LARGE(CHOOSE({1;2;3;4},F32,I32,L32,O32),3))/3,0)</f>
        <v>2.7999999999999994</v>
      </c>
      <c r="V32" s="8" cm="1">
        <f t="array" ref="V32">IF(SR[[#This Row],[Number_of_competition]:[Number_of_competition]]&gt;=3,(LARGE(CHOOSE({1;2;3;4},G32,J32,M32,P32),1)+LARGE(CHOOSE({1;2;3;4},G32,J32,M32,P32),2)+LARGE(CHOOSE({1;2;3;4},G32,J32,M32,P32),3))/3,0)</f>
        <v>8.5499999999999989</v>
      </c>
      <c r="W32" s="8" cm="1">
        <f t="array" ref="W32">IF(SR[[#This Row],[Number_of_competition]:[Number_of_competition]]&gt;=3,(LARGE(CHOOSE({1;2;3;4},H32,K32,N32,Q32),1)+LARGE(CHOOSE({1;2;3;4},H32,K32,N32,Q32),2)+LARGE(CHOOSE({1;2;3;4},H32,K32,N32,Q32),3))/3,0)</f>
        <v>11.35</v>
      </c>
    </row>
    <row r="33" spans="1:23" x14ac:dyDescent="0.25">
      <c r="A33" t="s">
        <v>32</v>
      </c>
      <c r="B33" s="2" t="s">
        <v>26</v>
      </c>
      <c r="C33" s="2" t="s">
        <v>33</v>
      </c>
      <c r="D33" t="s">
        <v>31</v>
      </c>
      <c r="E33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3" s="5">
        <v>3.3</v>
      </c>
      <c r="G33" s="8">
        <v>7.1</v>
      </c>
      <c r="H33" s="8">
        <v>10.4</v>
      </c>
      <c r="I33" s="5">
        <v>3.2</v>
      </c>
      <c r="J33" s="8">
        <v>9</v>
      </c>
      <c r="K33" s="8">
        <v>12.2</v>
      </c>
      <c r="L33" s="5">
        <v>3.3</v>
      </c>
      <c r="M33" s="8">
        <v>6.95</v>
      </c>
      <c r="N33" s="8">
        <v>10.25</v>
      </c>
      <c r="O33" s="5">
        <v>3.3</v>
      </c>
      <c r="P33" s="8">
        <v>7.9</v>
      </c>
      <c r="Q33" s="8">
        <v>11.2</v>
      </c>
      <c r="R33" s="5">
        <f>LARGE(CHOOSE({1;2;3;4},F33,I33,L33,O33),1)+LARGE(CHOOSE({1;2;3;4},F33,I33,L33,O33),2)+LARGE(CHOOSE({1;2;3;4},F33,I33,L33,O33),3)</f>
        <v>9.8999999999999986</v>
      </c>
      <c r="S33" s="8">
        <f>LARGE(CHOOSE({1;2;3;4},G33,J33,M33,P33),1)+LARGE(CHOOSE({1;2;3;4},G33,J33,M33,P33),2)+LARGE(CHOOSE({1;2;3;4},G33,J33,M33,P33),3)</f>
        <v>24</v>
      </c>
      <c r="T33" s="8">
        <f>LARGE(CHOOSE({1;2;3;4},H33,K33,N33,Q33),1)+LARGE(CHOOSE({1;2;3;4},H33,K33,N33,Q33),2)+LARGE(CHOOSE({1;2;3;4},H33,K33,N33,Q33),3)</f>
        <v>33.799999999999997</v>
      </c>
      <c r="U33" s="5" cm="1">
        <f t="array" ref="U33">IF(SR[[#This Row],[Number_of_competition]:[Number_of_competition]]&gt;=3,(LARGE(CHOOSE({1;2;3;4},F33,I33,L33,O33),1)+LARGE(CHOOSE({1;2;3;4},F33,I33,L33,O33),2)+LARGE(CHOOSE({1;2;3;4},F33,I33,L33,O33),3))/3,0)</f>
        <v>3.2999999999999994</v>
      </c>
      <c r="V33" s="8" cm="1">
        <f t="array" ref="V33">IF(SR[[#This Row],[Number_of_competition]:[Number_of_competition]]&gt;=3,(LARGE(CHOOSE({1;2;3;4},G33,J33,M33,P33),1)+LARGE(CHOOSE({1;2;3;4},G33,J33,M33,P33),2)+LARGE(CHOOSE({1;2;3;4},G33,J33,M33,P33),3))/3,0)</f>
        <v>8</v>
      </c>
      <c r="W33" s="8" cm="1">
        <f t="array" ref="W33">IF(SR[[#This Row],[Number_of_competition]:[Number_of_competition]]&gt;=3,(LARGE(CHOOSE({1;2;3;4},H33,K33,N33,Q33),1)+LARGE(CHOOSE({1;2;3;4},H33,K33,N33,Q33),2)+LARGE(CHOOSE({1;2;3;4},H33,K33,N33,Q33),3))/3,0)</f>
        <v>11.266666666666666</v>
      </c>
    </row>
    <row r="34" spans="1:23" x14ac:dyDescent="0.25">
      <c r="A34" t="s">
        <v>40</v>
      </c>
      <c r="B34" s="2" t="s">
        <v>26</v>
      </c>
      <c r="C34" s="2" t="s">
        <v>41</v>
      </c>
      <c r="D34" t="s">
        <v>39</v>
      </c>
      <c r="E34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34" s="5">
        <v>0</v>
      </c>
      <c r="G34" s="8">
        <v>0</v>
      </c>
      <c r="H34" s="8">
        <v>0</v>
      </c>
      <c r="I34" s="5">
        <v>3.4</v>
      </c>
      <c r="J34" s="8">
        <v>8.1999999999999993</v>
      </c>
      <c r="K34" s="8">
        <v>11.6</v>
      </c>
      <c r="L34" s="5">
        <v>3.4</v>
      </c>
      <c r="M34" s="8">
        <v>7.9</v>
      </c>
      <c r="N34" s="8">
        <v>11.3</v>
      </c>
      <c r="O34" s="5">
        <v>3.4</v>
      </c>
      <c r="P34" s="8">
        <v>6</v>
      </c>
      <c r="Q34" s="8">
        <v>9.4</v>
      </c>
      <c r="R34" s="5">
        <f>LARGE(CHOOSE({1;2;3;4},F34,I34,L34,O34),1)+LARGE(CHOOSE({1;2;3;4},F34,I34,L34,O34),2)+LARGE(CHOOSE({1;2;3;4},F34,I34,L34,O34),3)</f>
        <v>10.199999999999999</v>
      </c>
      <c r="S34" s="8">
        <f>LARGE(CHOOSE({1;2;3;4},G34,J34,M34,P34),1)+LARGE(CHOOSE({1;2;3;4},G34,J34,M34,P34),2)+LARGE(CHOOSE({1;2;3;4},G34,J34,M34,P34),3)</f>
        <v>22.1</v>
      </c>
      <c r="T34" s="8">
        <f>LARGE(CHOOSE({1;2;3;4},H34,K34,N34,Q34),1)+LARGE(CHOOSE({1;2;3;4},H34,K34,N34,Q34),2)+LARGE(CHOOSE({1;2;3;4},H34,K34,N34,Q34),3)</f>
        <v>32.299999999999997</v>
      </c>
      <c r="U34" s="5" cm="1">
        <f t="array" ref="U34">IF(SR[[#This Row],[Number_of_competition]:[Number_of_competition]]&gt;=3,(LARGE(CHOOSE({1;2;3;4},F34,I34,L34,O34),1)+LARGE(CHOOSE({1;2;3;4},F34,I34,L34,O34),2)+LARGE(CHOOSE({1;2;3;4},F34,I34,L34,O34),3))/3,0)</f>
        <v>3.4</v>
      </c>
      <c r="V34" s="8" cm="1">
        <f t="array" ref="V34">IF(SR[[#This Row],[Number_of_competition]:[Number_of_competition]]&gt;=3,(LARGE(CHOOSE({1;2;3;4},G34,J34,M34,P34),1)+LARGE(CHOOSE({1;2;3;4},G34,J34,M34,P34),2)+LARGE(CHOOSE({1;2;3;4},G34,J34,M34,P34),3))/3,0)</f>
        <v>7.3666666666666671</v>
      </c>
      <c r="W34" s="8" cm="1">
        <f t="array" ref="W34">IF(SR[[#This Row],[Number_of_competition]:[Number_of_competition]]&gt;=3,(LARGE(CHOOSE({1;2;3;4},H34,K34,N34,Q34),1)+LARGE(CHOOSE({1;2;3;4},H34,K34,N34,Q34),2)+LARGE(CHOOSE({1;2;3;4},H34,K34,N34,Q34),3))/3,0)</f>
        <v>10.766666666666666</v>
      </c>
    </row>
    <row r="35" spans="1:23" x14ac:dyDescent="0.25">
      <c r="A35" t="s">
        <v>29</v>
      </c>
      <c r="B35" s="2" t="s">
        <v>26</v>
      </c>
      <c r="C35" s="2" t="s">
        <v>30</v>
      </c>
      <c r="D35" t="s">
        <v>31</v>
      </c>
      <c r="E35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35" s="5">
        <v>2.6</v>
      </c>
      <c r="G35" s="8">
        <v>6.9</v>
      </c>
      <c r="H35" s="8">
        <v>9.5</v>
      </c>
      <c r="I35" s="5">
        <v>2.9</v>
      </c>
      <c r="J35" s="8">
        <v>8.1</v>
      </c>
      <c r="K35" s="8">
        <v>11</v>
      </c>
      <c r="L35" s="5">
        <v>0</v>
      </c>
      <c r="M35" s="8">
        <v>0</v>
      </c>
      <c r="N35" s="8">
        <v>0</v>
      </c>
      <c r="O35" s="5">
        <v>2.2999999999999998</v>
      </c>
      <c r="P35" s="8">
        <v>8.6</v>
      </c>
      <c r="Q35" s="8">
        <v>10.9</v>
      </c>
      <c r="R35" s="5">
        <f>LARGE(CHOOSE({1;2;3;4},F35,I35,L35,O35),1)+LARGE(CHOOSE({1;2;3;4},F35,I35,L35,O35),2)+LARGE(CHOOSE({1;2;3;4},F35,I35,L35,O35),3)</f>
        <v>7.8</v>
      </c>
      <c r="S35" s="8">
        <f>LARGE(CHOOSE({1;2;3;4},G35,J35,M35,P35),1)+LARGE(CHOOSE({1;2;3;4},G35,J35,M35,P35),2)+LARGE(CHOOSE({1;2;3;4},G35,J35,M35,P35),3)</f>
        <v>23.6</v>
      </c>
      <c r="T35" s="8">
        <f>LARGE(CHOOSE({1;2;3;4},H35,K35,N35,Q35),1)+LARGE(CHOOSE({1;2;3;4},H35,K35,N35,Q35),2)+LARGE(CHOOSE({1;2;3;4},H35,K35,N35,Q35),3)</f>
        <v>31.4</v>
      </c>
      <c r="U35" s="5" cm="1">
        <f t="array" ref="U35">IF(SR[[#This Row],[Number_of_competition]:[Number_of_competition]]&gt;=3,(LARGE(CHOOSE({1;2;3;4},F35,I35,L35,O35),1)+LARGE(CHOOSE({1;2;3;4},F35,I35,L35,O35),2)+LARGE(CHOOSE({1;2;3;4},F35,I35,L35,O35),3))/3,0)</f>
        <v>2.6</v>
      </c>
      <c r="V35" s="8" cm="1">
        <f t="array" ref="V35">IF(SR[[#This Row],[Number_of_competition]:[Number_of_competition]]&gt;=3,(LARGE(CHOOSE({1;2;3;4},G35,J35,M35,P35),1)+LARGE(CHOOSE({1;2;3;4},G35,J35,M35,P35),2)+LARGE(CHOOSE({1;2;3;4},G35,J35,M35,P35),3))/3,0)</f>
        <v>7.8666666666666671</v>
      </c>
      <c r="W35" s="8" cm="1">
        <f t="array" ref="W35">IF(SR[[#This Row],[Number_of_competition]:[Number_of_competition]]&gt;=3,(LARGE(CHOOSE({1;2;3;4},H35,K35,N35,Q35),1)+LARGE(CHOOSE({1;2;3;4},H35,K35,N35,Q35),2)+LARGE(CHOOSE({1;2;3;4},H35,K35,N35,Q35),3))/3,0)</f>
        <v>10.466666666666667</v>
      </c>
    </row>
    <row r="36" spans="1:23" x14ac:dyDescent="0.25">
      <c r="A36" t="s">
        <v>42</v>
      </c>
      <c r="B36" s="2" t="s">
        <v>26</v>
      </c>
      <c r="C36" s="2" t="s">
        <v>43</v>
      </c>
      <c r="D36" t="s">
        <v>36</v>
      </c>
      <c r="E36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6" s="5">
        <v>2.4</v>
      </c>
      <c r="G36" s="8">
        <v>7.8</v>
      </c>
      <c r="H36" s="8">
        <v>10.199999999999999</v>
      </c>
      <c r="I36" s="5">
        <v>2.4</v>
      </c>
      <c r="J36" s="8">
        <v>7.9</v>
      </c>
      <c r="K36" s="8">
        <v>10.3</v>
      </c>
      <c r="L36" s="5">
        <v>2.4</v>
      </c>
      <c r="M36" s="8">
        <v>8.0500000000000007</v>
      </c>
      <c r="N36" s="8">
        <v>10.45</v>
      </c>
      <c r="O36" s="5">
        <v>2</v>
      </c>
      <c r="P36" s="8">
        <v>7.9</v>
      </c>
      <c r="Q36" s="8">
        <v>9.9</v>
      </c>
      <c r="R36" s="5">
        <f>LARGE(CHOOSE({1;2;3;4},F36,I36,L36,O36),1)+LARGE(CHOOSE({1;2;3;4},F36,I36,L36,O36),2)+LARGE(CHOOSE({1;2;3;4},F36,I36,L36,O36),3)</f>
        <v>7.1999999999999993</v>
      </c>
      <c r="S36" s="8">
        <f>LARGE(CHOOSE({1;2;3;4},G36,J36,M36,P36),1)+LARGE(CHOOSE({1;2;3;4},G36,J36,M36,P36),2)+LARGE(CHOOSE({1;2;3;4},G36,J36,M36,P36),3)</f>
        <v>23.85</v>
      </c>
      <c r="T36" s="8">
        <f>LARGE(CHOOSE({1;2;3;4},H36,K36,N36,Q36),1)+LARGE(CHOOSE({1;2;3;4},H36,K36,N36,Q36),2)+LARGE(CHOOSE({1;2;3;4},H36,K36,N36,Q36),3)</f>
        <v>30.95</v>
      </c>
      <c r="U36" s="5" cm="1">
        <f t="array" ref="U36">IF(SR[[#This Row],[Number_of_competition]:[Number_of_competition]]&gt;=3,(LARGE(CHOOSE({1;2;3;4},F36,I36,L36,O36),1)+LARGE(CHOOSE({1;2;3;4},F36,I36,L36,O36),2)+LARGE(CHOOSE({1;2;3;4},F36,I36,L36,O36),3))/3,0)</f>
        <v>2.4</v>
      </c>
      <c r="V36" s="8" cm="1">
        <f t="array" ref="V36">IF(SR[[#This Row],[Number_of_competition]:[Number_of_competition]]&gt;=3,(LARGE(CHOOSE({1;2;3;4},G36,J36,M36,P36),1)+LARGE(CHOOSE({1;2;3;4},G36,J36,M36,P36),2)+LARGE(CHOOSE({1;2;3;4},G36,J36,M36,P36),3))/3,0)</f>
        <v>7.95</v>
      </c>
      <c r="W36" s="8" cm="1">
        <f t="array" ref="W36">IF(SR[[#This Row],[Number_of_competition]:[Number_of_competition]]&gt;=3,(LARGE(CHOOSE({1;2;3;4},H36,K36,N36,Q36),1)+LARGE(CHOOSE({1;2;3;4},H36,K36,N36,Q36),2)+LARGE(CHOOSE({1;2;3;4},H36,K36,N36,Q36),3))/3,0)</f>
        <v>10.316666666666666</v>
      </c>
    </row>
    <row r="37" spans="1:23" x14ac:dyDescent="0.25">
      <c r="A37" t="s">
        <v>37</v>
      </c>
      <c r="B37" s="2" t="s">
        <v>26</v>
      </c>
      <c r="C37" s="2" t="s">
        <v>38</v>
      </c>
      <c r="D37" t="s">
        <v>39</v>
      </c>
      <c r="E37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7" s="5">
        <v>2.2999999999999998</v>
      </c>
      <c r="G37" s="8">
        <v>7.3</v>
      </c>
      <c r="H37" s="8">
        <v>9.6</v>
      </c>
      <c r="I37" s="5">
        <v>3</v>
      </c>
      <c r="J37" s="8">
        <v>8</v>
      </c>
      <c r="K37" s="8">
        <v>11</v>
      </c>
      <c r="L37" s="5">
        <v>2.2999999999999998</v>
      </c>
      <c r="M37" s="8">
        <v>6.85</v>
      </c>
      <c r="N37" s="8">
        <v>9.15</v>
      </c>
      <c r="O37" s="5">
        <v>2.2999999999999998</v>
      </c>
      <c r="P37" s="8">
        <v>7.8</v>
      </c>
      <c r="Q37" s="8">
        <v>10.1</v>
      </c>
      <c r="R37" s="5">
        <f>LARGE(CHOOSE({1;2;3;4},F37,I37,L37,O37),1)+LARGE(CHOOSE({1;2;3;4},F37,I37,L37,O37),2)+LARGE(CHOOSE({1;2;3;4},F37,I37,L37,O37),3)</f>
        <v>7.6</v>
      </c>
      <c r="S37" s="8">
        <f>LARGE(CHOOSE({1;2;3;4},G37,J37,M37,P37),1)+LARGE(CHOOSE({1;2;3;4},G37,J37,M37,P37),2)+LARGE(CHOOSE({1;2;3;4},G37,J37,M37,P37),3)</f>
        <v>23.1</v>
      </c>
      <c r="T37" s="8">
        <f>LARGE(CHOOSE({1;2;3;4},H37,K37,N37,Q37),1)+LARGE(CHOOSE({1;2;3;4},H37,K37,N37,Q37),2)+LARGE(CHOOSE({1;2;3;4},H37,K37,N37,Q37),3)</f>
        <v>30.700000000000003</v>
      </c>
      <c r="U37" s="5" cm="1">
        <f t="array" ref="U37">IF(SR[[#This Row],[Number_of_competition]:[Number_of_competition]]&gt;=3,(LARGE(CHOOSE({1;2;3;4},F37,I37,L37,O37),1)+LARGE(CHOOSE({1;2;3;4},F37,I37,L37,O37),2)+LARGE(CHOOSE({1;2;3;4},F37,I37,L37,O37),3))/3,0)</f>
        <v>2.5333333333333332</v>
      </c>
      <c r="V37" s="8" cm="1">
        <f t="array" ref="V37">IF(SR[[#This Row],[Number_of_competition]:[Number_of_competition]]&gt;=3,(LARGE(CHOOSE({1;2;3;4},G37,J37,M37,P37),1)+LARGE(CHOOSE({1;2;3;4},G37,J37,M37,P37),2)+LARGE(CHOOSE({1;2;3;4},G37,J37,M37,P37),3))/3,0)</f>
        <v>7.7</v>
      </c>
      <c r="W37" s="8" cm="1">
        <f t="array" ref="W37">IF(SR[[#This Row],[Number_of_competition]:[Number_of_competition]]&gt;=3,(LARGE(CHOOSE({1;2;3;4},H37,K37,N37,Q37),1)+LARGE(CHOOSE({1;2;3;4},H37,K37,N37,Q37),2)+LARGE(CHOOSE({1;2;3;4},H37,K37,N37,Q37),3))/3,0)</f>
        <v>10.233333333333334</v>
      </c>
    </row>
    <row r="38" spans="1:23" x14ac:dyDescent="0.25">
      <c r="A38" t="s">
        <v>44</v>
      </c>
      <c r="B38" s="2" t="s">
        <v>26</v>
      </c>
      <c r="C38" s="2" t="s">
        <v>45</v>
      </c>
      <c r="D38" t="s">
        <v>39</v>
      </c>
      <c r="E38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8" s="5">
        <v>2.2999999999999998</v>
      </c>
      <c r="G38" s="8">
        <v>7.3</v>
      </c>
      <c r="H38" s="8">
        <v>9.6</v>
      </c>
      <c r="I38" s="5">
        <v>2.1</v>
      </c>
      <c r="J38" s="8">
        <v>8.0500000000000007</v>
      </c>
      <c r="K38" s="8">
        <v>10.15</v>
      </c>
      <c r="L38" s="5">
        <v>2.2999999999999998</v>
      </c>
      <c r="M38" s="8">
        <v>7.9</v>
      </c>
      <c r="N38" s="8">
        <v>10.199999999999999</v>
      </c>
      <c r="O38" s="5">
        <v>2.2999999999999998</v>
      </c>
      <c r="P38" s="8">
        <v>8</v>
      </c>
      <c r="Q38" s="8">
        <v>10.3</v>
      </c>
      <c r="R38" s="5">
        <f>LARGE(CHOOSE({1;2;3;4},F38,I38,L38,O38),1)+LARGE(CHOOSE({1;2;3;4},F38,I38,L38,O38),2)+LARGE(CHOOSE({1;2;3;4},F38,I38,L38,O38),3)</f>
        <v>6.8999999999999995</v>
      </c>
      <c r="S38" s="8">
        <f>LARGE(CHOOSE({1;2;3;4},G38,J38,M38,P38),1)+LARGE(CHOOSE({1;2;3;4},G38,J38,M38,P38),2)+LARGE(CHOOSE({1;2;3;4},G38,J38,M38,P38),3)</f>
        <v>23.950000000000003</v>
      </c>
      <c r="T38" s="8">
        <f>LARGE(CHOOSE({1;2;3;4},H38,K38,N38,Q38),1)+LARGE(CHOOSE({1;2;3;4},H38,K38,N38,Q38),2)+LARGE(CHOOSE({1;2;3;4},H38,K38,N38,Q38),3)</f>
        <v>30.65</v>
      </c>
      <c r="U38" s="5" cm="1">
        <f t="array" ref="U38">IF(SR[[#This Row],[Number_of_competition]:[Number_of_competition]]&gt;=3,(LARGE(CHOOSE({1;2;3;4},F38,I38,L38,O38),1)+LARGE(CHOOSE({1;2;3;4},F38,I38,L38,O38),2)+LARGE(CHOOSE({1;2;3;4},F38,I38,L38,O38),3))/3,0)</f>
        <v>2.2999999999999998</v>
      </c>
      <c r="V38" s="8" cm="1">
        <f t="array" ref="V38">IF(SR[[#This Row],[Number_of_competition]:[Number_of_competition]]&gt;=3,(LARGE(CHOOSE({1;2;3;4},G38,J38,M38,P38),1)+LARGE(CHOOSE({1;2;3;4},G38,J38,M38,P38),2)+LARGE(CHOOSE({1;2;3;4},G38,J38,M38,P38),3))/3,0)</f>
        <v>7.9833333333333343</v>
      </c>
      <c r="W38" s="8" cm="1">
        <f t="array" ref="W38">IF(SR[[#This Row],[Number_of_competition]:[Number_of_competition]]&gt;=3,(LARGE(CHOOSE({1;2;3;4},H38,K38,N38,Q38),1)+LARGE(CHOOSE({1;2;3;4},H38,K38,N38,Q38),2)+LARGE(CHOOSE({1;2;3;4},H38,K38,N38,Q38),3))/3,0)</f>
        <v>10.216666666666667</v>
      </c>
    </row>
    <row r="39" spans="1:23" x14ac:dyDescent="0.25">
      <c r="A39" t="s">
        <v>48</v>
      </c>
      <c r="B39" s="2" t="s">
        <v>26</v>
      </c>
      <c r="C39" s="2" t="s">
        <v>49</v>
      </c>
      <c r="D39" t="s">
        <v>36</v>
      </c>
      <c r="E39" s="9">
        <f>COUNTIF(SR[[#This Row],[bydgoszcz_SR_Total_Score]],"&gt;0")+COUNTIF(SR[[#This Row],[zabrze_SR_Total_Score]],"&gt;0")+COUNTIF(SR[[#This Row],[cracow_SR_Total_Score]],"&gt;0")+COUNTIF(SR[[#This Row],[gdansk_SR_Total_Score]],"&gt;0")</f>
        <v>4</v>
      </c>
      <c r="F39" s="5">
        <v>2.4</v>
      </c>
      <c r="G39" s="8">
        <v>7.55</v>
      </c>
      <c r="H39" s="8">
        <v>9.9499999999999993</v>
      </c>
      <c r="I39" s="5">
        <v>2.5</v>
      </c>
      <c r="J39" s="8">
        <v>6.5</v>
      </c>
      <c r="K39" s="8">
        <v>9</v>
      </c>
      <c r="L39" s="5">
        <v>2.5</v>
      </c>
      <c r="M39" s="8">
        <v>6.65</v>
      </c>
      <c r="N39" s="8">
        <v>9.15</v>
      </c>
      <c r="O39" s="5">
        <v>2.2000000000000002</v>
      </c>
      <c r="P39" s="8">
        <v>7.6</v>
      </c>
      <c r="Q39" s="8">
        <v>9.8000000000000007</v>
      </c>
      <c r="R39" s="5">
        <f>LARGE(CHOOSE({1;2;3;4},F39,I39,L39,O39),1)+LARGE(CHOOSE({1;2;3;4},F39,I39,L39,O39),2)+LARGE(CHOOSE({1;2;3;4},F39,I39,L39,O39),3)</f>
        <v>7.4</v>
      </c>
      <c r="S39" s="8">
        <f>LARGE(CHOOSE({1;2;3;4},G39,J39,M39,P39),1)+LARGE(CHOOSE({1;2;3;4},G39,J39,M39,P39),2)+LARGE(CHOOSE({1;2;3;4},G39,J39,M39,P39),3)</f>
        <v>21.799999999999997</v>
      </c>
      <c r="T39" s="8">
        <f>LARGE(CHOOSE({1;2;3;4},H39,K39,N39,Q39),1)+LARGE(CHOOSE({1;2;3;4},H39,K39,N39,Q39),2)+LARGE(CHOOSE({1;2;3;4},H39,K39,N39,Q39),3)</f>
        <v>28.9</v>
      </c>
      <c r="U39" s="5" cm="1">
        <f t="array" ref="U39">IF(SR[[#This Row],[Number_of_competition]:[Number_of_competition]]&gt;=3,(LARGE(CHOOSE({1;2;3;4},F39,I39,L39,O39),1)+LARGE(CHOOSE({1;2;3;4},F39,I39,L39,O39),2)+LARGE(CHOOSE({1;2;3;4},F39,I39,L39,O39),3))/3,0)</f>
        <v>2.4666666666666668</v>
      </c>
      <c r="V39" s="8" cm="1">
        <f t="array" ref="V39">IF(SR[[#This Row],[Number_of_competition]:[Number_of_competition]]&gt;=3,(LARGE(CHOOSE({1;2;3;4},G39,J39,M39,P39),1)+LARGE(CHOOSE({1;2;3;4},G39,J39,M39,P39),2)+LARGE(CHOOSE({1;2;3;4},G39,J39,M39,P39),3))/3,0)</f>
        <v>7.2666666666666657</v>
      </c>
      <c r="W39" s="8" cm="1">
        <f t="array" ref="W39">IF(SR[[#This Row],[Number_of_competition]:[Number_of_competition]]&gt;=3,(LARGE(CHOOSE({1;2;3;4},H39,K39,N39,Q39),1)+LARGE(CHOOSE({1;2;3;4},H39,K39,N39,Q39),2)+LARGE(CHOOSE({1;2;3;4},H39,K39,N39,Q39),3))/3,0)</f>
        <v>9.6333333333333329</v>
      </c>
    </row>
    <row r="40" spans="1:23" x14ac:dyDescent="0.25">
      <c r="A40" t="s">
        <v>46</v>
      </c>
      <c r="B40" s="2" t="s">
        <v>26</v>
      </c>
      <c r="C40" s="2" t="s">
        <v>47</v>
      </c>
      <c r="D40" t="s">
        <v>36</v>
      </c>
      <c r="E40" s="9">
        <f>COUNTIF(SR[[#This Row],[bydgoszcz_SR_Total_Score]],"&gt;0")+COUNTIF(SR[[#This Row],[zabrze_SR_Total_Score]],"&gt;0")+COUNTIF(SR[[#This Row],[cracow_SR_Total_Score]],"&gt;0")+COUNTIF(SR[[#This Row],[gdansk_SR_Total_Score]],"&gt;0")</f>
        <v>3</v>
      </c>
      <c r="F40" s="5">
        <v>0</v>
      </c>
      <c r="G40" s="8">
        <v>0</v>
      </c>
      <c r="H40" s="8">
        <v>0</v>
      </c>
      <c r="I40" s="5">
        <v>1.7</v>
      </c>
      <c r="J40" s="8">
        <v>6.8</v>
      </c>
      <c r="K40" s="8">
        <v>8.5</v>
      </c>
      <c r="L40" s="5">
        <v>2.1</v>
      </c>
      <c r="M40" s="8">
        <v>6.65</v>
      </c>
      <c r="N40" s="8">
        <v>8.75</v>
      </c>
      <c r="O40" s="5">
        <v>1.7</v>
      </c>
      <c r="P40" s="8">
        <v>7.7</v>
      </c>
      <c r="Q40" s="8">
        <v>9.4</v>
      </c>
      <c r="R40" s="5">
        <f>LARGE(CHOOSE({1;2;3;4},F40,I40,L40,O40),1)+LARGE(CHOOSE({1;2;3;4},F40,I40,L40,O40),2)+LARGE(CHOOSE({1;2;3;4},F40,I40,L40,O40),3)</f>
        <v>5.5</v>
      </c>
      <c r="S40" s="8">
        <f>LARGE(CHOOSE({1;2;3;4},G40,J40,M40,P40),1)+LARGE(CHOOSE({1;2;3;4},G40,J40,M40,P40),2)+LARGE(CHOOSE({1;2;3;4},G40,J40,M40,P40),3)</f>
        <v>21.15</v>
      </c>
      <c r="T40" s="8">
        <f>LARGE(CHOOSE({1;2;3;4},H40,K40,N40,Q40),1)+LARGE(CHOOSE({1;2;3;4},H40,K40,N40,Q40),2)+LARGE(CHOOSE({1;2;3;4},H40,K40,N40,Q40),3)</f>
        <v>26.65</v>
      </c>
      <c r="U40" s="5" cm="1">
        <f t="array" ref="U40">IF(SR[[#This Row],[Number_of_competition]:[Number_of_competition]]&gt;=3,(LARGE(CHOOSE({1;2;3;4},F40,I40,L40,O40),1)+LARGE(CHOOSE({1;2;3;4},F40,I40,L40,O40),2)+LARGE(CHOOSE({1;2;3;4},F40,I40,L40,O40),3))/3,0)</f>
        <v>1.8333333333333333</v>
      </c>
      <c r="V40" s="8" cm="1">
        <f t="array" ref="V40">IF(SR[[#This Row],[Number_of_competition]:[Number_of_competition]]&gt;=3,(LARGE(CHOOSE({1;2;3;4},G40,J40,M40,P40),1)+LARGE(CHOOSE({1;2;3;4},G40,J40,M40,P40),2)+LARGE(CHOOSE({1;2;3;4},G40,J40,M40,P40),3))/3,0)</f>
        <v>7.05</v>
      </c>
      <c r="W40" s="8" cm="1">
        <f t="array" ref="W40">IF(SR[[#This Row],[Number_of_competition]:[Number_of_competition]]&gt;=3,(LARGE(CHOOSE({1;2;3;4},H40,K40,N40,Q40),1)+LARGE(CHOOSE({1;2;3;4},H40,K40,N40,Q40),2)+LARGE(CHOOSE({1;2;3;4},H40,K40,N40,Q40),3))/3,0)</f>
        <v>8.8833333333333329</v>
      </c>
    </row>
    <row r="41" spans="1:23" x14ac:dyDescent="0.25">
      <c r="A41" t="s">
        <v>50</v>
      </c>
      <c r="B41" s="2" t="s">
        <v>26</v>
      </c>
      <c r="C41" s="2" t="s">
        <v>51</v>
      </c>
      <c r="D41" t="s">
        <v>36</v>
      </c>
      <c r="E41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41" s="5">
        <v>0</v>
      </c>
      <c r="G41" s="8">
        <v>0</v>
      </c>
      <c r="H41" s="8">
        <v>0</v>
      </c>
      <c r="I41" s="5">
        <v>3.7</v>
      </c>
      <c r="J41" s="8">
        <v>8.1</v>
      </c>
      <c r="K41" s="8">
        <v>11.8</v>
      </c>
      <c r="L41" s="5">
        <v>3.7</v>
      </c>
      <c r="M41" s="8">
        <v>7.8</v>
      </c>
      <c r="N41" s="8">
        <v>11.5</v>
      </c>
      <c r="O41" s="5">
        <v>0</v>
      </c>
      <c r="P41" s="8">
        <v>0</v>
      </c>
      <c r="Q41" s="8">
        <v>0</v>
      </c>
      <c r="R41" s="5">
        <f>LARGE(CHOOSE({1;2;3;4},F41,I41,L41,O41),1)+LARGE(CHOOSE({1;2;3;4},F41,I41,L41,O41),2)+LARGE(CHOOSE({1;2;3;4},F41,I41,L41,O41),3)</f>
        <v>7.4</v>
      </c>
      <c r="S41" s="8">
        <f>LARGE(CHOOSE({1;2;3;4},G41,J41,M41,P41),1)+LARGE(CHOOSE({1;2;3;4},G41,J41,M41,P41),2)+LARGE(CHOOSE({1;2;3;4},G41,J41,M41,P41),3)</f>
        <v>15.899999999999999</v>
      </c>
      <c r="T41" s="8">
        <f>LARGE(CHOOSE({1;2;3;4},H41,K41,N41,Q41),1)+LARGE(CHOOSE({1;2;3;4},H41,K41,N41,Q41),2)+LARGE(CHOOSE({1;2;3;4},H41,K41,N41,Q41),3)</f>
        <v>23.3</v>
      </c>
      <c r="U41" s="5" cm="1">
        <f t="array" ref="U41">IF(SR[[#This Row],[Number_of_competition]:[Number_of_competition]]&gt;=3,(LARGE(CHOOSE({1;2;3;4},F41,I41,L41,O41),1)+LARGE(CHOOSE({1;2;3;4},F41,I41,L41,O41),2)+LARGE(CHOOSE({1;2;3;4},F41,I41,L41,O41),3))/3,0)</f>
        <v>0</v>
      </c>
      <c r="V41" s="8" cm="1">
        <f t="array" ref="V41">IF(SR[[#This Row],[Number_of_competition]:[Number_of_competition]]&gt;=3,(LARGE(CHOOSE({1;2;3;4},G41,J41,M41,P41),1)+LARGE(CHOOSE({1;2;3;4},G41,J41,M41,P41),2)+LARGE(CHOOSE({1;2;3;4},G41,J41,M41,P41),3))/3,0)</f>
        <v>0</v>
      </c>
      <c r="W41" s="8" cm="1">
        <f t="array" ref="W41">IF(SR[[#This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112</v>
      </c>
      <c r="B42" s="2" t="s">
        <v>26</v>
      </c>
      <c r="C42" s="2" t="s">
        <v>113</v>
      </c>
      <c r="D42" t="s">
        <v>31</v>
      </c>
      <c r="E42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42" s="5">
        <v>2.9</v>
      </c>
      <c r="G42" s="8">
        <v>8</v>
      </c>
      <c r="H42" s="8">
        <v>10.9</v>
      </c>
      <c r="I42" s="5">
        <v>0</v>
      </c>
      <c r="J42" s="8">
        <v>0</v>
      </c>
      <c r="K42" s="8">
        <v>0</v>
      </c>
      <c r="L42" s="5">
        <v>0</v>
      </c>
      <c r="M42" s="8">
        <v>0</v>
      </c>
      <c r="N42" s="8">
        <v>0</v>
      </c>
      <c r="O42" s="5">
        <v>2.2000000000000002</v>
      </c>
      <c r="P42" s="8">
        <v>7.7</v>
      </c>
      <c r="Q42" s="8">
        <v>9.9</v>
      </c>
      <c r="R42" s="5">
        <f>LARGE(CHOOSE({1;2;3;4},F42,I42,L42,O42),1)+LARGE(CHOOSE({1;2;3;4},F42,I42,L42,O42),2)+LARGE(CHOOSE({1;2;3;4},F42,I42,L42,O42),3)</f>
        <v>5.0999999999999996</v>
      </c>
      <c r="S42" s="8">
        <f>LARGE(CHOOSE({1;2;3;4},G42,J42,M42,P42),1)+LARGE(CHOOSE({1;2;3;4},G42,J42,M42,P42),2)+LARGE(CHOOSE({1;2;3;4},G42,J42,M42,P42),3)</f>
        <v>15.7</v>
      </c>
      <c r="T42" s="8">
        <f>LARGE(CHOOSE({1;2;3;4},H42,K42,N42,Q42),1)+LARGE(CHOOSE({1;2;3;4},H42,K42,N42,Q42),2)+LARGE(CHOOSE({1;2;3;4},H42,K42,N42,Q42),3)</f>
        <v>20.8</v>
      </c>
      <c r="U42" s="5" cm="1">
        <f t="array" ref="U42">IF(SR[[#This Row],[Number_of_competition]:[Number_of_competition]]&gt;=3,(LARGE(CHOOSE({1;2;3;4},F42,I42,L42,O42),1)+LARGE(CHOOSE({1;2;3;4},F42,I42,L42,O42),2)+LARGE(CHOOSE({1;2;3;4},F42,I42,L42,O42),3))/3,0)</f>
        <v>0</v>
      </c>
      <c r="V42" s="8" cm="1">
        <f t="array" ref="V42">IF(SR[[#This Row],[Number_of_competition]:[Number_of_competition]]&gt;=3,(LARGE(CHOOSE({1;2;3;4},G42,J42,M42,P42),1)+LARGE(CHOOSE({1;2;3;4},G42,J42,M42,P42),2)+LARGE(CHOOSE({1;2;3;4},G42,J42,M42,P42),3))/3,0)</f>
        <v>0</v>
      </c>
      <c r="W42" s="8" cm="1">
        <f t="array" ref="W42">IF(SR[[#This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120</v>
      </c>
      <c r="B43" s="2" t="s">
        <v>26</v>
      </c>
      <c r="C43" s="2" t="s">
        <v>121</v>
      </c>
      <c r="D43" t="s">
        <v>39</v>
      </c>
      <c r="E43" s="9">
        <f>COUNTIF(SR[[#This Row],[bydgoszcz_SR_Total_Score]],"&gt;0")+COUNTIF(SR[[#This Row],[zabrze_SR_Total_Score]],"&gt;0")+COUNTIF(SR[[#This Row],[cracow_SR_Total_Score]],"&gt;0")+COUNTIF(SR[[#This Row],[gdansk_SR_Total_Score]],"&gt;0")</f>
        <v>2</v>
      </c>
      <c r="F43" s="5">
        <v>2.9</v>
      </c>
      <c r="G43" s="8">
        <v>6.7</v>
      </c>
      <c r="H43" s="8">
        <v>9.6</v>
      </c>
      <c r="I43" s="5">
        <v>0</v>
      </c>
      <c r="J43" s="8">
        <v>0</v>
      </c>
      <c r="K43" s="8">
        <v>0</v>
      </c>
      <c r="L43" s="5">
        <v>1.8</v>
      </c>
      <c r="M43" s="8">
        <v>6.8</v>
      </c>
      <c r="N43" s="8">
        <v>8.6</v>
      </c>
      <c r="O43" s="5">
        <v>0</v>
      </c>
      <c r="P43" s="8">
        <v>0</v>
      </c>
      <c r="Q43" s="8">
        <v>0</v>
      </c>
      <c r="R43" s="5">
        <f>LARGE(CHOOSE({1;2;3;4},F43,I43,L43,O43),1)+LARGE(CHOOSE({1;2;3;4},F43,I43,L43,O43),2)+LARGE(CHOOSE({1;2;3;4},F43,I43,L43,O43),3)</f>
        <v>4.7</v>
      </c>
      <c r="S43" s="8">
        <f>LARGE(CHOOSE({1;2;3;4},G43,J43,M43,P43),1)+LARGE(CHOOSE({1;2;3;4},G43,J43,M43,P43),2)+LARGE(CHOOSE({1;2;3;4},G43,J43,M43,P43),3)</f>
        <v>13.5</v>
      </c>
      <c r="T43" s="8">
        <f>LARGE(CHOOSE({1;2;3;4},H43,K43,N43,Q43),1)+LARGE(CHOOSE({1;2;3;4},H43,K43,N43,Q43),2)+LARGE(CHOOSE({1;2;3;4},H43,K43,N43,Q43),3)</f>
        <v>18.2</v>
      </c>
      <c r="U43" s="5" cm="1">
        <f t="array" ref="U43">IF(SR[[#This Row],[Number_of_competition]:[Number_of_competition]]&gt;=3,(LARGE(CHOOSE({1;2;3;4},F43,I43,L43,O43),1)+LARGE(CHOOSE({1;2;3;4},F43,I43,L43,O43),2)+LARGE(CHOOSE({1;2;3;4},F43,I43,L43,O43),3))/3,0)</f>
        <v>0</v>
      </c>
      <c r="V43" s="8" cm="1">
        <f t="array" ref="V43">IF(SR[[#This Row],[Number_of_competition]:[Number_of_competition]]&gt;=3,(LARGE(CHOOSE({1;2;3;4},G43,J43,M43,P43),1)+LARGE(CHOOSE({1;2;3;4},G43,J43,M43,P43),2)+LARGE(CHOOSE({1;2;3;4},G43,J43,M43,P43),3))/3,0)</f>
        <v>0</v>
      </c>
      <c r="W43" s="8" cm="1">
        <f t="array" ref="W43">IF(SR[[#This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57</v>
      </c>
      <c r="B44" s="2" t="s">
        <v>26</v>
      </c>
      <c r="C44" s="2" t="s">
        <v>58</v>
      </c>
      <c r="D44" t="s">
        <v>36</v>
      </c>
      <c r="E44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4" s="5">
        <v>2.8</v>
      </c>
      <c r="G44" s="8">
        <v>8.1</v>
      </c>
      <c r="H44" s="8">
        <v>10.9</v>
      </c>
      <c r="I44" s="5">
        <v>0</v>
      </c>
      <c r="J44" s="8">
        <v>0</v>
      </c>
      <c r="K44" s="8">
        <v>0</v>
      </c>
      <c r="L44" s="5">
        <v>0</v>
      </c>
      <c r="M44" s="8">
        <v>0</v>
      </c>
      <c r="N44" s="8">
        <v>0</v>
      </c>
      <c r="O44" s="5">
        <v>0</v>
      </c>
      <c r="P44" s="8">
        <v>0</v>
      </c>
      <c r="Q44" s="8">
        <v>0</v>
      </c>
      <c r="R44" s="5">
        <f>LARGE(CHOOSE({1;2;3;4},F44,I44,L44,O44),1)+LARGE(CHOOSE({1;2;3;4},F44,I44,L44,O44),2)+LARGE(CHOOSE({1;2;3;4},F44,I44,L44,O44),3)</f>
        <v>2.8</v>
      </c>
      <c r="S44" s="8">
        <f>LARGE(CHOOSE({1;2;3;4},G44,J44,M44,P44),1)+LARGE(CHOOSE({1;2;3;4},G44,J44,M44,P44),2)+LARGE(CHOOSE({1;2;3;4},G44,J44,M44,P44),3)</f>
        <v>8.1</v>
      </c>
      <c r="T44" s="8">
        <f>LARGE(CHOOSE({1;2;3;4},H44,K44,N44,Q44),1)+LARGE(CHOOSE({1;2;3;4},H44,K44,N44,Q44),2)+LARGE(CHOOSE({1;2;3;4},H44,K44,N44,Q44),3)</f>
        <v>10.9</v>
      </c>
      <c r="U44" s="5" cm="1">
        <f t="array" ref="U44">IF(SR[[#This Row],[Number_of_competition]:[Number_of_competition]]&gt;=3,(LARGE(CHOOSE({1;2;3;4},F44,I44,L44,O44),1)+LARGE(CHOOSE({1;2;3;4},F44,I44,L44,O44),2)+LARGE(CHOOSE({1;2;3;4},F44,I44,L44,O44),3))/3,0)</f>
        <v>0</v>
      </c>
      <c r="V44" s="8" cm="1">
        <f t="array" ref="V44">IF(SR[[#This Row],[Number_of_competition]:[Number_of_competition]]&gt;=3,(LARGE(CHOOSE({1;2;3;4},G44,J44,M44,P44),1)+LARGE(CHOOSE({1;2;3;4},G44,J44,M44,P44),2)+LARGE(CHOOSE({1;2;3;4},G44,J44,M44,P44),3))/3,0)</f>
        <v>0</v>
      </c>
      <c r="W44" s="8" cm="1">
        <f t="array" ref="W44">IF(SR[[#This Row],[Number_of_competition]:[Number_of_competition]]&gt;=3,(LARGE(CHOOSE({1;2;3;4},H44,K44,N44,Q44),1)+LARGE(CHOOSE({1;2;3;4},H44,K44,N44,Q44),2)+LARGE(CHOOSE({1;2;3;4},H44,K44,N44,Q44),3))/3,0)</f>
        <v>0</v>
      </c>
    </row>
    <row r="45" spans="1:23" x14ac:dyDescent="0.25">
      <c r="A45" t="s">
        <v>114</v>
      </c>
      <c r="B45" s="2" t="s">
        <v>26</v>
      </c>
      <c r="C45" s="2" t="s">
        <v>115</v>
      </c>
      <c r="D45" t="s">
        <v>36</v>
      </c>
      <c r="E45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5" s="5">
        <v>0</v>
      </c>
      <c r="G45" s="8">
        <v>0</v>
      </c>
      <c r="H45" s="8">
        <v>0</v>
      </c>
      <c r="I45" s="5">
        <v>0</v>
      </c>
      <c r="J45" s="8">
        <v>0</v>
      </c>
      <c r="K45" s="8">
        <v>0</v>
      </c>
      <c r="L45" s="5">
        <v>1.7</v>
      </c>
      <c r="M45" s="8">
        <v>7.85</v>
      </c>
      <c r="N45" s="8">
        <v>9.5500000000000007</v>
      </c>
      <c r="O45" s="5">
        <v>0</v>
      </c>
      <c r="P45" s="8">
        <v>0</v>
      </c>
      <c r="Q45" s="8">
        <v>0</v>
      </c>
      <c r="R45" s="5">
        <f>LARGE(CHOOSE({1;2;3;4},F45,I45,L45,O45),1)+LARGE(CHOOSE({1;2;3;4},F45,I45,L45,O45),2)+LARGE(CHOOSE({1;2;3;4},F45,I45,L45,O45),3)</f>
        <v>1.7</v>
      </c>
      <c r="S45" s="8">
        <f>LARGE(CHOOSE({1;2;3;4},G45,J45,M45,P45),1)+LARGE(CHOOSE({1;2;3;4},G45,J45,M45,P45),2)+LARGE(CHOOSE({1;2;3;4},G45,J45,M45,P45),3)</f>
        <v>7.85</v>
      </c>
      <c r="T45" s="8">
        <f>LARGE(CHOOSE({1;2;3;4},H45,K45,N45,Q45),1)+LARGE(CHOOSE({1;2;3;4},H45,K45,N45,Q45),2)+LARGE(CHOOSE({1;2;3;4},H45,K45,N45,Q45),3)</f>
        <v>9.5500000000000007</v>
      </c>
      <c r="U45" s="5" cm="1">
        <f t="array" ref="U45">IF(SR[[#This Row],[Number_of_competition]:[Number_of_competition]]&gt;=3,(LARGE(CHOOSE({1;2;3;4},F45,I45,L45,O45),1)+LARGE(CHOOSE({1;2;3;4},F45,I45,L45,O45),2)+LARGE(CHOOSE({1;2;3;4},F45,I45,L45,O45),3))/3,0)</f>
        <v>0</v>
      </c>
      <c r="V45" s="8" cm="1">
        <f t="array" ref="V45">IF(SR[[#This Row],[Number_of_competition]:[Number_of_competition]]&gt;=3,(LARGE(CHOOSE({1;2;3;4},G45,J45,M45,P45),1)+LARGE(CHOOSE({1;2;3;4},G45,J45,M45,P45),2)+LARGE(CHOOSE({1;2;3;4},G45,J45,M45,P45),3))/3,0)</f>
        <v>0</v>
      </c>
      <c r="W45" s="8" cm="1">
        <f t="array" ref="W45">IF(SR[[#This Row],[Number_of_competition]:[Number_of_competition]]&gt;=3,(LARGE(CHOOSE({1;2;3;4},H45,K45,N45,Q45),1)+LARGE(CHOOSE({1;2;3;4},H45,K45,N45,Q45),2)+LARGE(CHOOSE({1;2;3;4},H45,K45,N45,Q45),3))/3,0)</f>
        <v>0</v>
      </c>
    </row>
    <row r="46" spans="1:23" x14ac:dyDescent="0.25">
      <c r="A46" t="s">
        <v>132</v>
      </c>
      <c r="B46" s="2" t="s">
        <v>26</v>
      </c>
      <c r="C46" s="2" t="s">
        <v>133</v>
      </c>
      <c r="D46" t="s">
        <v>39</v>
      </c>
      <c r="E46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6" s="5">
        <v>2.2999999999999998</v>
      </c>
      <c r="G46" s="8">
        <v>7.15</v>
      </c>
      <c r="H46" s="8">
        <v>9.4499999999999993</v>
      </c>
      <c r="I46" s="5">
        <v>0</v>
      </c>
      <c r="J46" s="8">
        <v>0</v>
      </c>
      <c r="K46" s="8">
        <v>0</v>
      </c>
      <c r="L46" s="5">
        <v>0</v>
      </c>
      <c r="M46" s="8">
        <v>0</v>
      </c>
      <c r="N46" s="8">
        <v>0</v>
      </c>
      <c r="O46" s="5">
        <v>0</v>
      </c>
      <c r="P46" s="8">
        <v>0</v>
      </c>
      <c r="Q46" s="8">
        <v>0</v>
      </c>
      <c r="R46" s="5">
        <f>LARGE(CHOOSE({1;2;3;4},F46,I46,L46,O46),1)+LARGE(CHOOSE({1;2;3;4},F46,I46,L46,O46),2)+LARGE(CHOOSE({1;2;3;4},F46,I46,L46,O46),3)</f>
        <v>2.2999999999999998</v>
      </c>
      <c r="S46" s="8">
        <f>LARGE(CHOOSE({1;2;3;4},G46,J46,M46,P46),1)+LARGE(CHOOSE({1;2;3;4},G46,J46,M46,P46),2)+LARGE(CHOOSE({1;2;3;4},G46,J46,M46,P46),3)</f>
        <v>7.15</v>
      </c>
      <c r="T46" s="8">
        <f>LARGE(CHOOSE({1;2;3;4},H46,K46,N46,Q46),1)+LARGE(CHOOSE({1;2;3;4},H46,K46,N46,Q46),2)+LARGE(CHOOSE({1;2;3;4},H46,K46,N46,Q46),3)</f>
        <v>9.4499999999999993</v>
      </c>
      <c r="U46" s="5" cm="1">
        <f t="array" ref="U46">IF(SR[[#This Row],[Number_of_competition]:[Number_of_competition]]&gt;=3,(LARGE(CHOOSE({1;2;3;4},F46,I46,L46,O46),1)+LARGE(CHOOSE({1;2;3;4},F46,I46,L46,O46),2)+LARGE(CHOOSE({1;2;3;4},F46,I46,L46,O46),3))/3,0)</f>
        <v>0</v>
      </c>
      <c r="V46" s="8" cm="1">
        <f t="array" ref="V46">IF(SR[[#This Row],[Number_of_competition]:[Number_of_competition]]&gt;=3,(LARGE(CHOOSE({1;2;3;4},G46,J46,M46,P46),1)+LARGE(CHOOSE({1;2;3;4},G46,J46,M46,P46),2)+LARGE(CHOOSE({1;2;3;4},G46,J46,M46,P46),3))/3,0)</f>
        <v>0</v>
      </c>
      <c r="W46" s="8" cm="1">
        <f t="array" ref="W46">IF(SR[[#This Row],[Number_of_competition]:[Number_of_competition]]&gt;=3,(LARGE(CHOOSE({1;2;3;4},H46,K46,N46,Q46),1)+LARGE(CHOOSE({1;2;3;4},H46,K46,N46,Q46),2)+LARGE(CHOOSE({1;2;3;4},H46,K46,N46,Q46),3))/3,0)</f>
        <v>0</v>
      </c>
    </row>
    <row r="47" spans="1:23" x14ac:dyDescent="0.25">
      <c r="A47" t="s">
        <v>122</v>
      </c>
      <c r="B47" s="2" t="s">
        <v>26</v>
      </c>
      <c r="C47" s="2" t="s">
        <v>123</v>
      </c>
      <c r="D47" t="s">
        <v>124</v>
      </c>
      <c r="E47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7" s="5">
        <v>0</v>
      </c>
      <c r="G47" s="8">
        <v>0</v>
      </c>
      <c r="H47" s="8">
        <v>0</v>
      </c>
      <c r="I47" s="5">
        <v>0</v>
      </c>
      <c r="J47" s="8">
        <v>0</v>
      </c>
      <c r="K47" s="8">
        <v>0</v>
      </c>
      <c r="L47" s="5">
        <v>2</v>
      </c>
      <c r="M47" s="8">
        <v>7.35</v>
      </c>
      <c r="N47" s="8">
        <v>9.35</v>
      </c>
      <c r="O47" s="5">
        <v>0</v>
      </c>
      <c r="P47" s="8">
        <v>0</v>
      </c>
      <c r="Q47" s="8">
        <v>0</v>
      </c>
      <c r="R47" s="5">
        <f>LARGE(CHOOSE({1;2;3;4},F47,I47,L47,O47),1)+LARGE(CHOOSE({1;2;3;4},F47,I47,L47,O47),2)+LARGE(CHOOSE({1;2;3;4},F47,I47,L47,O47),3)</f>
        <v>2</v>
      </c>
      <c r="S47" s="8">
        <f>LARGE(CHOOSE({1;2;3;4},G47,J47,M47,P47),1)+LARGE(CHOOSE({1;2;3;4},G47,J47,M47,P47),2)+LARGE(CHOOSE({1;2;3;4},G47,J47,M47,P47),3)</f>
        <v>7.35</v>
      </c>
      <c r="T47" s="8">
        <f>LARGE(CHOOSE({1;2;3;4},H47,K47,N47,Q47),1)+LARGE(CHOOSE({1;2;3;4},H47,K47,N47,Q47),2)+LARGE(CHOOSE({1;2;3;4},H47,K47,N47,Q47),3)</f>
        <v>9.35</v>
      </c>
      <c r="U47" s="5" cm="1">
        <f t="array" ref="U47">IF(SR[[#This Row],[Number_of_competition]:[Number_of_competition]]&gt;=3,(LARGE(CHOOSE({1;2;3;4},F47,I47,L47,O47),1)+LARGE(CHOOSE({1;2;3;4},F47,I47,L47,O47),2)+LARGE(CHOOSE({1;2;3;4},F47,I47,L47,O47),3))/3,0)</f>
        <v>0</v>
      </c>
      <c r="V47" s="8" cm="1">
        <f t="array" ref="V47">IF(SR[[#This Row],[Number_of_competition]:[Number_of_competition]]&gt;=3,(LARGE(CHOOSE({1;2;3;4},G47,J47,M47,P47),1)+LARGE(CHOOSE({1;2;3;4},G47,J47,M47,P47),2)+LARGE(CHOOSE({1;2;3;4},G47,J47,M47,P47),3))/3,0)</f>
        <v>0</v>
      </c>
      <c r="W47" s="8" cm="1">
        <f t="array" ref="W47">IF(SR[[#This Row],[Number_of_competition]:[Number_of_competition]]&gt;=3,(LARGE(CHOOSE({1;2;3;4},H47,K47,N47,Q47),1)+LARGE(CHOOSE({1;2;3;4},H47,K47,N47,Q47),2)+LARGE(CHOOSE({1;2;3;4},H47,K47,N47,Q47),3))/3,0)</f>
        <v>0</v>
      </c>
    </row>
    <row r="48" spans="1:23" x14ac:dyDescent="0.25">
      <c r="A48" t="s">
        <v>139</v>
      </c>
      <c r="B48" s="2" t="s">
        <v>26</v>
      </c>
      <c r="C48" s="2" t="s">
        <v>140</v>
      </c>
      <c r="D48" t="s">
        <v>124</v>
      </c>
      <c r="E48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8" s="5">
        <v>2.1</v>
      </c>
      <c r="G48" s="8">
        <v>6.5</v>
      </c>
      <c r="H48" s="8">
        <v>8.6</v>
      </c>
      <c r="I48" s="5">
        <v>0</v>
      </c>
      <c r="J48" s="8">
        <v>0</v>
      </c>
      <c r="K48" s="8">
        <v>0</v>
      </c>
      <c r="L48" s="5">
        <v>0</v>
      </c>
      <c r="M48" s="8">
        <v>0</v>
      </c>
      <c r="N48" s="8">
        <v>0</v>
      </c>
      <c r="O48" s="5">
        <v>0</v>
      </c>
      <c r="P48" s="8">
        <v>0</v>
      </c>
      <c r="Q48" s="8">
        <v>0</v>
      </c>
      <c r="R48" s="5">
        <f>LARGE(CHOOSE({1;2;3;4},F48,I48,L48,O48),1)+LARGE(CHOOSE({1;2;3;4},F48,I48,L48,O48),2)+LARGE(CHOOSE({1;2;3;4},F48,I48,L48,O48),3)</f>
        <v>2.1</v>
      </c>
      <c r="S48" s="8">
        <f>LARGE(CHOOSE({1;2;3;4},G48,J48,M48,P48),1)+LARGE(CHOOSE({1;2;3;4},G48,J48,M48,P48),2)+LARGE(CHOOSE({1;2;3;4},G48,J48,M48,P48),3)</f>
        <v>6.5</v>
      </c>
      <c r="T48" s="8">
        <f>LARGE(CHOOSE({1;2;3;4},H48,K48,N48,Q48),1)+LARGE(CHOOSE({1;2;3;4},H48,K48,N48,Q48),2)+LARGE(CHOOSE({1;2;3;4},H48,K48,N48,Q48),3)</f>
        <v>8.6</v>
      </c>
      <c r="U48" s="5" cm="1">
        <f t="array" ref="U48">IF(SR[[#This Row],[Number_of_competition]:[Number_of_competition]]&gt;=3,(LARGE(CHOOSE({1;2;3;4},F48,I48,L48,O48),1)+LARGE(CHOOSE({1;2;3;4},F48,I48,L48,O48),2)+LARGE(CHOOSE({1;2;3;4},F48,I48,L48,O48),3))/3,0)</f>
        <v>0</v>
      </c>
      <c r="V48" s="8" cm="1">
        <f t="array" ref="V48">IF(SR[[#This Row],[Number_of_competition]:[Number_of_competition]]&gt;=3,(LARGE(CHOOSE({1;2;3;4},G48,J48,M48,P48),1)+LARGE(CHOOSE({1;2;3;4},G48,J48,M48,P48),2)+LARGE(CHOOSE({1;2;3;4},G48,J48,M48,P48),3))/3,0)</f>
        <v>0</v>
      </c>
      <c r="W48" s="8" cm="1">
        <f t="array" ref="W48">IF(SR[[#This Row],[Number_of_competition]:[Number_of_competition]]&gt;=3,(LARGE(CHOOSE({1;2;3;4},H48,K48,N48,Q48),1)+LARGE(CHOOSE({1;2;3;4},H48,K48,N48,Q48),2)+LARGE(CHOOSE({1;2;3;4},H48,K48,N48,Q48),3))/3,0)</f>
        <v>0</v>
      </c>
    </row>
    <row r="49" spans="1:23" x14ac:dyDescent="0.25">
      <c r="A49" t="s">
        <v>135</v>
      </c>
      <c r="B49" s="2" t="s">
        <v>26</v>
      </c>
      <c r="C49" s="2" t="s">
        <v>136</v>
      </c>
      <c r="D49" t="s">
        <v>124</v>
      </c>
      <c r="E49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49" s="5">
        <v>2.1</v>
      </c>
      <c r="G49" s="8">
        <v>5.2</v>
      </c>
      <c r="H49" s="8">
        <v>7.3</v>
      </c>
      <c r="I49" s="5">
        <v>0</v>
      </c>
      <c r="J49" s="8">
        <v>0</v>
      </c>
      <c r="K49" s="8">
        <v>0</v>
      </c>
      <c r="L49" s="5">
        <v>0</v>
      </c>
      <c r="M49" s="8">
        <v>0</v>
      </c>
      <c r="N49" s="8">
        <v>0</v>
      </c>
      <c r="O49" s="5">
        <v>0</v>
      </c>
      <c r="P49" s="8">
        <v>0</v>
      </c>
      <c r="Q49" s="8">
        <v>0</v>
      </c>
      <c r="R49" s="5">
        <f>LARGE(CHOOSE({1;2;3;4},F49,I49,L49,O49),1)+LARGE(CHOOSE({1;2;3;4},F49,I49,L49,O49),2)+LARGE(CHOOSE({1;2;3;4},F49,I49,L49,O49),3)</f>
        <v>2.1</v>
      </c>
      <c r="S49" s="8">
        <f>LARGE(CHOOSE({1;2;3;4},G49,J49,M49,P49),1)+LARGE(CHOOSE({1;2;3;4},G49,J49,M49,P49),2)+LARGE(CHOOSE({1;2;3;4},G49,J49,M49,P49),3)</f>
        <v>5.2</v>
      </c>
      <c r="T49" s="8">
        <f>LARGE(CHOOSE({1;2;3;4},H49,K49,N49,Q49),1)+LARGE(CHOOSE({1;2;3;4},H49,K49,N49,Q49),2)+LARGE(CHOOSE({1;2;3;4},H49,K49,N49,Q49),3)</f>
        <v>7.3</v>
      </c>
      <c r="U49" s="5" cm="1">
        <f t="array" ref="U49">IF(SR[[#This Row],[Number_of_competition]:[Number_of_competition]]&gt;=3,(LARGE(CHOOSE({1;2;3;4},F49,I49,L49,O49),1)+LARGE(CHOOSE({1;2;3;4},F49,I49,L49,O49),2)+LARGE(CHOOSE({1;2;3;4},F49,I49,L49,O49),3))/3,0)</f>
        <v>0</v>
      </c>
      <c r="V49" s="8" cm="1">
        <f t="array" ref="V49">IF(SR[[#This Row],[Number_of_competition]:[Number_of_competition]]&gt;=3,(LARGE(CHOOSE({1;2;3;4},G49,J49,M49,P49),1)+LARGE(CHOOSE({1;2;3;4},G49,J49,M49,P49),2)+LARGE(CHOOSE({1;2;3;4},G49,J49,M49,P49),3))/3,0)</f>
        <v>0</v>
      </c>
      <c r="W49" s="8" cm="1">
        <f t="array" ref="W49">IF(SR[[#This Row],[Number_of_competition]:[Number_of_competition]]&gt;=3,(LARGE(CHOOSE({1;2;3;4},H49,K49,N49,Q49),1)+LARGE(CHOOSE({1;2;3;4},H49,K49,N49,Q49),2)+LARGE(CHOOSE({1;2;3;4},H49,K49,N49,Q49),3))/3,0)</f>
        <v>0</v>
      </c>
    </row>
    <row r="50" spans="1:23" x14ac:dyDescent="0.25">
      <c r="A50" t="s">
        <v>137</v>
      </c>
      <c r="B50" s="2" t="s">
        <v>26</v>
      </c>
      <c r="C50" s="2" t="s">
        <v>138</v>
      </c>
      <c r="D50" t="s">
        <v>124</v>
      </c>
      <c r="E50" s="9">
        <f>COUNTIF(SR[[#This Row],[bydgoszcz_SR_Total_Score]],"&gt;0")+COUNTIF(SR[[#This Row],[zabrze_SR_Total_Score]],"&gt;0")+COUNTIF(SR[[#This Row],[cracow_SR_Total_Score]],"&gt;0")+COUNTIF(SR[[#This Row],[gdansk_SR_Total_Score]],"&gt;0")</f>
        <v>1</v>
      </c>
      <c r="F50" s="5">
        <v>1.5</v>
      </c>
      <c r="G50" s="8">
        <v>3.3</v>
      </c>
      <c r="H50" s="8">
        <v>4.8</v>
      </c>
      <c r="I50" s="5">
        <v>0</v>
      </c>
      <c r="J50" s="8">
        <v>0</v>
      </c>
      <c r="K50" s="8">
        <v>0</v>
      </c>
      <c r="L50" s="5">
        <v>0</v>
      </c>
      <c r="M50" s="8">
        <v>0</v>
      </c>
      <c r="N50" s="8">
        <v>0</v>
      </c>
      <c r="O50" s="5">
        <v>0</v>
      </c>
      <c r="P50" s="8">
        <v>0</v>
      </c>
      <c r="Q50" s="8">
        <v>0</v>
      </c>
      <c r="R50" s="5">
        <f>LARGE(CHOOSE({1;2;3;4},F50,I50,L50,O50),1)+LARGE(CHOOSE({1;2;3;4},F50,I50,L50,O50),2)+LARGE(CHOOSE({1;2;3;4},F50,I50,L50,O50),3)</f>
        <v>1.5</v>
      </c>
      <c r="S50" s="8">
        <f>LARGE(CHOOSE({1;2;3;4},G50,J50,M50,P50),1)+LARGE(CHOOSE({1;2;3;4},G50,J50,M50,P50),2)+LARGE(CHOOSE({1;2;3;4},G50,J50,M50,P50),3)</f>
        <v>3.3</v>
      </c>
      <c r="T50" s="8">
        <f>LARGE(CHOOSE({1;2;3;4},H50,K50,N50,Q50),1)+LARGE(CHOOSE({1;2;3;4},H50,K50,N50,Q50),2)+LARGE(CHOOSE({1;2;3;4},H50,K50,N50,Q50),3)</f>
        <v>4.8</v>
      </c>
      <c r="U50" s="5" cm="1">
        <f t="array" ref="U50">IF(SR[[#This Row],[Number_of_competition]:[Number_of_competition]]&gt;=3,(LARGE(CHOOSE({1;2;3;4},F50,I50,L50,O50),1)+LARGE(CHOOSE({1;2;3;4},F50,I50,L50,O50),2)+LARGE(CHOOSE({1;2;3;4},F50,I50,L50,O50),3))/3,0)</f>
        <v>0</v>
      </c>
      <c r="V50" s="8" cm="1">
        <f t="array" ref="V50">IF(SR[[#This Row],[Number_of_competition]:[Number_of_competition]]&gt;=3,(LARGE(CHOOSE({1;2;3;4},G50,J50,M50,P50),1)+LARGE(CHOOSE({1;2;3;4},G50,J50,M50,P50),2)+LARGE(CHOOSE({1;2;3;4},G50,J50,M50,P50),3))/3,0)</f>
        <v>0</v>
      </c>
      <c r="W50" s="8" cm="1">
        <f t="array" ref="W50">IF(SR[[#This Row],[Number_of_competition]:[Number_of_competition]]&gt;=3,(LARGE(CHOOSE({1;2;3;4},H50,K50,N50,Q50),1)+LARGE(CHOOSE({1;2;3;4},H50,K50,N50,Q50),2)+LARGE(CHOOSE({1;2;3;4},H50,K50,N50,Q50),3))/3,0)</f>
        <v>0</v>
      </c>
    </row>
    <row r="54" spans="1:23" x14ac:dyDescent="0.25">
      <c r="A54" s="2" t="s">
        <v>244</v>
      </c>
      <c r="B54" s="7" t="s">
        <v>256</v>
      </c>
      <c r="C54" s="7" t="s">
        <v>260</v>
      </c>
      <c r="D54" s="2" t="s">
        <v>255</v>
      </c>
    </row>
    <row r="55" spans="1:23" x14ac:dyDescent="0.25">
      <c r="A55" s="4" cm="1">
        <f t="array" ref="A55">SUM(_xlfn._xlws.FILTER(SR[bydgoszcz_SR_Dscore],SR[Category]="junior"),_xlfn._xlws.FILTER(SR[zabrze_SR_Dscore],SR[Category]="junior"),_xlfn._xlws.FILTER(SR[cracow_SR_Dscore],SR[Category]="junior"),_xlfn._xlws.FILTER(SR[gdansk_SR_Dscore],SR[Category]="junior"))/(COUNTIFS(SR[bydgoszcz_SR_Dscore],"&gt;0",SR[Category],"junior")+COUNTIFS(SR[zabrze_SR_Dscore],"&gt;0",SR[Category],"junior")+COUNTIFS(SR[cracow_SR_Dscore],"&gt;0",SR[Category],"junior")+COUNTIFS(SR[gdansk_SR_Dscore],"&gt;0",SR[Category],"junior"))</f>
        <v>2.6319999999999997</v>
      </c>
      <c r="B55" s="4" cm="1">
        <f t="array" ref="B55">_xlfn.STDEV.S(_xlfn._xlws.FILTER(SR[bydgoszcz_SR_Dscore],(SR[Category]="junior")*(SR[bydgoszcz_SR_Dscore])&gt;0),_xlfn._xlws.FILTER(SR[zabrze_SR_Dscore],(SR[Category]="junior")*(SR[zabrze_SR_Dscore])&gt;0),_xlfn._xlws.FILTER(SR[cracow_SR_Dscore],(SR[Category]="junior")*(SR[cracow_SR_Dscore])&gt;0),_xlfn._xlws.FILTER(SR[gdansk_SR_Dscore],(SR[Category]="junior")*(SR[gdansk_SR_Dscore])&gt;0))</f>
        <v>0.61393345381587205</v>
      </c>
      <c r="C55" s="4" cm="1">
        <f t="array" ref="C55">MAX(_xlfn._xlws.FILTER(SR[bydgoszcz_SR_Dscore],SR[Category]="junior"),_xlfn._xlws.FILTER(SR[zabrze_SR_Dscore],SR[Category]="junior"),_xlfn._xlws.FILTER(SR[cracow_SR_Dscore],SR[Category]="junior"),_xlfn._xlws.FILTER(SR[gdansk_SR_Dscore],SR[Category]="junior"))</f>
        <v>3.9</v>
      </c>
      <c r="D55" s="2" t="str" cm="1">
        <f t="array" ref="D55">_xlfn.XLOOKUP(C55,_xlfn._xlws.FILTER(SR[bydgoszcz_SR_Dscore],SR[Category]="junior"),_xlfn._xlws.FILTER(SR[Name],SR[Category]="junior"),_xlfn.XLOOKUP(C55,_xlfn._xlws.FILTER(SR[zabrze_SR_Dscore],SR[Category]="junior"),_xlfn._xlws.FILTER(SR[Name],SR[Category]="junior"),_xlfn.XLOOKUP(C55,_xlfn._xlws.FILTER(SR[cracow_SR_Dscore],SR[Category]="junior"),_xlfn._xlws.FILTER(SR[Name],SR[Category]="junior"),_xlfn.XLOOKUP(C55,_xlfn._xlws.FILTER(SR[gdansk_SR_Dscore],SR[Category]="junior"),_xlfn._xlws.FILTER(SR[Name],SR[Category]="junior")))))</f>
        <v>KUZDRA Christian</v>
      </c>
    </row>
    <row r="56" spans="1:23" x14ac:dyDescent="0.25">
      <c r="A56" s="4" cm="1">
        <f t="array" ref="A56">SUM(_xlfn._xlws.FILTER(SR[bydgoszcz_SR_Dscore],SR[Category]="senior"),_xlfn._xlws.FILTER(SR[zabrze_SR_Dscore],SR[Category]="senior"),_xlfn._xlws.FILTER(SR[cracow_SR_Dscore],SR[Category]="senior"),_xlfn._xlws.FILTER(SR[gdansk_SR_Dscore],SR[Category]="senior"))/(COUNTIFS(SR[bydgoszcz_SR_Dscore],"&gt;0",SR[Category],"senior")+COUNTIFS(SR[zabrze_SR_Dscore],"&gt;0",SR[Category],"senior")+COUNTIFS(SR[cracow_SR_Dscore],"&gt;0",SR[Category],"senior")+COUNTIFS(SR[gdansk_SR_Dscore],"&gt;0",SR[Category],"senior"))</f>
        <v>3.563333333333333</v>
      </c>
      <c r="B56" s="4" cm="1">
        <f t="array" ref="B56">_xlfn.STDEV.S(_xlfn._xlws.FILTER(SR[bydgoszcz_SR_Dscore],(SR[Category]="senior")*(SR[bydgoszcz_SR_Dscore])&gt;0),_xlfn._xlws.FILTER(SR[zabrze_SR_Dscore],(SR[Category]="senior")*(SR[zabrze_SR_Dscore])&gt;0),_xlfn._xlws.FILTER(SR[cracow_SR_Dscore],(SR[Category]="senior")*(SR[cracow_SR_Dscore])&gt;0),_xlfn._xlws.FILTER(SR[gdansk_SR_Dscore],(SR[Category]="senior")*(SR[gdansk_SR_Dscore])&gt;0))</f>
        <v>0.66586675174050203</v>
      </c>
      <c r="C56" s="4" cm="1">
        <f t="array" ref="C56">MAX(_xlfn._xlws.FILTER(SR[bydgoszcz_SR_Dscore],SR[Category]="senior"),_xlfn._xlws.FILTER(SR[zabrze_SR_Dscore],SR[Category]="senior"),_xlfn._xlws.FILTER(SR[cracow_SR_Dscore],SR[Category]="senior"),_xlfn._xlws.FILTER(SR[gdansk_SR_Dscore],SR[Category]="senior"))</f>
        <v>5.3</v>
      </c>
      <c r="D56" s="2" t="str" cm="1">
        <f t="array" ref="D56">_xlfn.XLOOKUP(C56,_xlfn._xlws.FILTER(SR[bydgoszcz_SR_Dscore],SR[Category]="senior"),_xlfn._xlws.FILTER(SR[Name],SR[Category]="senior"),_xlfn.XLOOKUP(C56,_xlfn._xlws.FILTER(SR[zabrze_SR_Dscore],SR[Category]="senior"),_xlfn._xlws.FILTER(SR[Name],SR[Category]="senior"),_xlfn.XLOOKUP(C56,_xlfn._xlws.FILTER(SR[cracow_SR_Dscore],SR[Category]="senior"),_xlfn._xlws.FILTER(SR[Name],SR[Category]="senior"),_xlfn.XLOOKUP(C56,_xlfn._xlws.FILTER(SR[gdansk_SR_Dscore],SR[Category]="senior"),_xlfn._xlws.FILTER(SR[Name],SR[Category]="senior")))))</f>
        <v>GAWROŃSKI Sebastian</v>
      </c>
    </row>
    <row r="57" spans="1:23" x14ac:dyDescent="0.25">
      <c r="A57" s="2"/>
      <c r="B57"/>
      <c r="C57" s="3"/>
      <c r="D57" s="5"/>
    </row>
    <row r="58" spans="1:23" x14ac:dyDescent="0.25">
      <c r="A58" s="2" t="s">
        <v>257</v>
      </c>
      <c r="B58" s="7" t="s">
        <v>258</v>
      </c>
      <c r="C58" s="7" t="s">
        <v>261</v>
      </c>
      <c r="D58" s="2" t="s">
        <v>255</v>
      </c>
    </row>
    <row r="59" spans="1:23" x14ac:dyDescent="0.25">
      <c r="A59" s="7" cm="1">
        <f t="array" ref="A59">SUM(_xlfn._xlws.FILTER(SR[bydgoszcz_SR_Escore],SR[Category]="junior"),_xlfn._xlws.FILTER(SR[zabrze_SR_Escore],SR[Category]="junior"),_xlfn._xlws.FILTER(SR[cracow_SR_Escore],SR[Category]="junior"),_xlfn._xlws.FILTER(SR[gdansk_SR_Escore],SR[Category]="junior"))/(COUNTIFS(SR[bydgoszcz_SR_Escore],"&gt;0",SR[Category],"junior")+COUNTIFS(SR[zabrze_SR_Escore],"&gt;0",SR[Category],"junior")+COUNTIFS(SR[cracow_SR_Escore],"&gt;0",SR[Category],"junior")+COUNTIFS(SR[gdansk_SR_Escore],"&gt;0",SR[Category],"junior"))</f>
        <v>7.4880000000000004</v>
      </c>
      <c r="B59" s="7" cm="1">
        <f t="array" ref="B59">_xlfn.STDEV.S(_xlfn._xlws.FILTER(SR[bydgoszcz_SR_Escore],(SR[Category]="junior")*(SR[bydgoszcz_SR_Escore])&gt;0),_xlfn._xlws.FILTER(SR[zabrze_SR_Escore],(SR[Category]="junior")*(SR[zabrze_SR_Escore])&gt;0),_xlfn._xlws.FILTER(SR[cracow_SR_Escore],(SR[Category]="junior")*(SR[cracow_SR_Escore])&gt;0),_xlfn._xlws.FILTER(SR[gdansk_SR_Escore],(SR[Category]="junior")*(SR[gdansk_SR_Escore])&gt;0))</f>
        <v>0.94548119699840694</v>
      </c>
      <c r="C59" s="7" cm="1">
        <f t="array" ref="C59">MAX(_xlfn._xlws.FILTER(SR[bydgoszcz_SR_Escore],SR[Category]="junior"),_xlfn._xlws.FILTER(SR[zabrze_SR_Escore],SR[Category]="junior"),_xlfn._xlws.FILTER(SR[cracow_SR_Escore],SR[Category]="junior"),_xlfn._xlws.FILTER(SR[gdansk_SR_Escore],SR[Category]="junior"))</f>
        <v>9</v>
      </c>
      <c r="D59" s="2" t="str" cm="1">
        <f t="array" ref="D59">_xlfn.XLOOKUP(C59,_xlfn._xlws.FILTER(SR[bydgoszcz_SR_Escore],SR[Category]="junior"),_xlfn._xlws.FILTER(SR[Name],SR[Category]="junior"),_xlfn.XLOOKUP(C59,_xlfn._xlws.FILTER(SR[zabrze_SR_Escore],SR[Category]="junior"),_xlfn._xlws.FILTER(SR[Name],SR[Category]="junior"),_xlfn.XLOOKUP(C59,_xlfn._xlws.FILTER(SR[cracow_SR_Escore],SR[Category]="junior"),_xlfn._xlws.FILTER(SR[Name],SR[Category]="junior"),_xlfn.XLOOKUP(C59,_xlfn._xlws.FILTER(SR[gdansk_SR_Escore],SR[Category]="junior"),_xlfn._xlws.FILTER(SR[Name],SR[Category]="junior")))))</f>
        <v>KWIATKOWSKI Michał</v>
      </c>
    </row>
    <row r="60" spans="1:23" x14ac:dyDescent="0.25">
      <c r="A60" s="7" cm="1">
        <f t="array" ref="A60">SUM(_xlfn._xlws.FILTER(SR[bydgoszcz_SR_Escore],SR[Category]="senior"),_xlfn._xlws.FILTER(SR[zabrze_SR_Escore],SR[Category]="senior"),_xlfn._xlws.FILTER(SR[cracow_SR_Escore],SR[Category]="senior"),_xlfn._xlws.FILTER(SR[gdansk_SR_Escore],SR[Category]="senior"))/(COUNTIFS(SR[bydgoszcz_SR_Escore],"&gt;0",SR[Category],"senior")+COUNTIFS(SR[zabrze_SR_Escore],"&gt;0",SR[Category],"senior")+COUNTIFS(SR[cracow_SR_Escore],"&gt;0",SR[Category],"senior")+COUNTIFS(SR[gdansk_SR_Escore],"&gt;0",SR[Category],"senior"))</f>
        <v>7.38</v>
      </c>
      <c r="B60" s="7" cm="1">
        <f t="array" ref="B60">_xlfn.STDEV.S(_xlfn._xlws.FILTER(SR[bydgoszcz_SR_Escore],(SR[Category]="senior")*(SR[bydgoszcz_SR_Escore])&gt;0),_xlfn._xlws.FILTER(SR[zabrze_SR_Escore],(SR[Category]="senior")*(SR[zabrze_SR_Escore])&gt;0),_xlfn._xlws.FILTER(SR[cracow_SR_Escore],(SR[Category]="senior")*(SR[cracow_SR_Escore])&gt;0),_xlfn._xlws.FILTER(SR[gdansk_SR_Escore],(SR[Category]="senior")*(SR[gdansk_SR_Escore])&gt;0))</f>
        <v>1.1926753859584667</v>
      </c>
      <c r="C60" s="7" cm="1">
        <f t="array" ref="C60">MAX(_xlfn._xlws.FILTER(SR[bydgoszcz_SR_Escore],SR[Category]="senior"),_xlfn._xlws.FILTER(SR[zabrze_SR_Escore],SR[Category]="senior"),_xlfn._xlws.FILTER(SR[cracow_SR_Escore],SR[Category]="senior"),_xlfn._xlws.FILTER(SR[gdansk_SR_Escore],SR[Category]="senior"))</f>
        <v>9.1999999999999993</v>
      </c>
      <c r="D60" s="2" t="str" cm="1">
        <f t="array" ref="D60">_xlfn.XLOOKUP(C60,_xlfn._xlws.FILTER(SR[bydgoszcz_SR_Escore],SR[Category]="senior"),_xlfn._xlws.FILTER(SR[Name],SR[Category]="senior"),_xlfn.XLOOKUP(C60,_xlfn._xlws.FILTER(SR[zabrze_SR_Escore],SR[Category]="senior"),_xlfn._xlws.FILTER(SR[Name],SR[Category]="senior"),_xlfn.XLOOKUP(C60,_xlfn._xlws.FILTER(SR[cracow_SR_Escore],SR[Category]="senior"),_xlfn._xlws.FILTER(SR[Name],SR[Category]="senior"),_xlfn.XLOOKUP(C60,_xlfn._xlws.FILTER(SR[gdansk_SR_Escore],SR[Category]="senior"),_xlfn._xlws.FILTER(SR[Name],SR[Category]="senior")))))</f>
        <v>GARNCZAREK Kacper</v>
      </c>
    </row>
    <row r="61" spans="1:23" x14ac:dyDescent="0.25">
      <c r="A61" s="2"/>
      <c r="B61"/>
      <c r="C61" s="3"/>
      <c r="D61" s="5"/>
    </row>
    <row r="62" spans="1:23" x14ac:dyDescent="0.25">
      <c r="A62" s="2" t="s">
        <v>246</v>
      </c>
      <c r="B62" s="2" t="s">
        <v>259</v>
      </c>
      <c r="C62" s="7" t="s">
        <v>262</v>
      </c>
      <c r="D62" s="2" t="s">
        <v>255</v>
      </c>
    </row>
    <row r="63" spans="1:23" x14ac:dyDescent="0.25">
      <c r="A63" s="7" cm="1">
        <f t="array" ref="A63">SUM(_xlfn._xlws.FILTER(SR[bydgoszcz_SR_Total_Score],SR[Category]="junior"),_xlfn._xlws.FILTER(SR[zabrze_SR_Total_Score],SR[Category]="junior"),_xlfn._xlws.FILTER(SR[cracow_SR_Total_Score],SR[Category]="junior"),_xlfn._xlws.FILTER(SR[gdansk_SR_Total_Score],SR[Category]="junior"))/(COUNTIFS(SR[bydgoszcz_SR_Total_Score],"&gt;0",SR[Category],"junior")+COUNTIFS(SR[zabrze_SR_Total_Score],"&gt;0",SR[Category],"junior")+COUNTIFS(SR[cracow_SR_Total_Score],"&gt;0",SR[Category],"junior")+COUNTIFS(SR[gdansk_SR_Total_Score],"&gt;0",SR[Category],"junior"))</f>
        <v>10.119999999999999</v>
      </c>
      <c r="B63" s="7" cm="1">
        <f t="array" ref="B63">_xlfn.STDEV.S(_xlfn._xlws.FILTER(SR[bydgoszcz_SR_Total_Score],(SR[Category]="junior")*(SR[bydgoszcz_SR_Total_Score])&gt;0),_xlfn._xlws.FILTER(SR[zabrze_SR_Total_Score],(SR[Category]="junior")*(SR[zabrze_SR_Total_Score])&gt;0),_xlfn._xlws.FILTER(SR[cracow_SR_Total_Score],(SR[Category]="junior")*(SR[cracow_SR_Total_Score])&gt;0),_xlfn._xlws.FILTER(SR[gdansk_SR_Total_Score],(SR[Category]="junior")*(SR[gdansk_SR_Total_Score])&gt;0))</f>
        <v>1.2946514778038192</v>
      </c>
      <c r="C63" s="7" cm="1">
        <f t="array" ref="C63">MAX(_xlfn._xlws.FILTER(SR[bydgoszcz_SR_Total_Score],SR[Category]="junior"),_xlfn._xlws.FILTER(SR[zabrze_SR_Total_Score],SR[Category]="junior"),_xlfn._xlws.FILTER(SR[cracow_SR_Total_Score],SR[Category]="junior"),_xlfn._xlws.FILTER(SR[gdansk_SR_Total_Score],SR[Category]="junior"))</f>
        <v>12.2</v>
      </c>
      <c r="D63" s="2" t="str" cm="1">
        <f t="array" ref="D63">_xlfn.XLOOKUP(C63,_xlfn._xlws.FILTER(SR[bydgoszcz_SR_Total_Score],SR[Category]="junior"),_xlfn._xlws.FILTER(SR[Name],SR[Category]="junior"),_xlfn.XLOOKUP(C63,_xlfn._xlws.FILTER(SR[zabrze_SR_Total_Score],SR[Category]="junior"),_xlfn._xlws.FILTER(SR[Name],SR[Category]="junior"),_xlfn.XLOOKUP(C63,_xlfn._xlws.FILTER(SR[cracow_SR_Total_Score],SR[Category]="junior"),_xlfn._xlws.FILTER(SR[Name],SR[Category]="junior"),_xlfn.XLOOKUP(C63,_xlfn._xlws.FILTER(SR[gdansk_SR_Total_Score],SR[Category]="junior"),_xlfn._xlws.FILTER(SR[Name],SR[Category]="junior")))))</f>
        <v>KWIATKOWSKI Michał</v>
      </c>
    </row>
    <row r="64" spans="1:23" x14ac:dyDescent="0.25">
      <c r="A64" s="7" cm="1">
        <f t="array" ref="A64">SUM(_xlfn._xlws.FILTER(SR[bydgoszcz_SR_Total_Score],SR[Category]="senior"),_xlfn._xlws.FILTER(SR[zabrze_SR_Total_Score],SR[Category]="senior"),_xlfn._xlws.FILTER(SR[cracow_SR_Total_Score],SR[Category]="senior"),_xlfn._xlws.FILTER(SR[gdansk_SR_Total_Score],SR[Category]="senior"))/(COUNTIFS(SR[bydgoszcz_SR_Total_Score],"&gt;0",SR[Category],"senior")+COUNTIFS(SR[zabrze_SR_Total_Score],"&gt;0",SR[Category],"senior")+COUNTIFS(SR[cracow_SR_Total_Score],"&gt;0",SR[Category],"senior")+COUNTIFS(SR[gdansk_SR_Total_Score],"&gt;0",SR[Category],"senior"))</f>
        <v>10.943333333333335</v>
      </c>
      <c r="B64" s="7" cm="1">
        <f t="array" ref="B64">_xlfn.STDEV.S(_xlfn._xlws.FILTER(SR[bydgoszcz_SR_Total_Score],(SR[Category]="senior")*(SR[bydgoszcz_SR_Total_Score])&gt;0),_xlfn._xlws.FILTER(SR[zabrze_SR_Total_Score],(SR[Category]="senior")*(SR[zabrze_SR_Total_Score])&gt;0),_xlfn._xlws.FILTER(SR[cracow_SR_Total_Score],(SR[Category]="senior")*(SR[cracow_SR_Total_Score])&gt;0),_xlfn._xlws.FILTER(SR[gdansk_SR_Total_Score],(SR[Category]="senior")*(SR[gdansk_SR_Total_Score])&gt;0))</f>
        <v>1.5734951559028219</v>
      </c>
      <c r="C64" s="7" cm="1">
        <f t="array" ref="C64">MAX(_xlfn._xlws.FILTER(SR[bydgoszcz_SR_Total_Score],SR[Category]="senior"),_xlfn._xlws.FILTER(SR[zabrze_SR_Total_Score],SR[Category]="senior"),_xlfn._xlws.FILTER(SR[cracow_SR_Total_Score],SR[Category]="senior"),_xlfn._xlws.FILTER(SR[gdansk_SR_Total_Score],SR[Category]="senior"))</f>
        <v>13.1</v>
      </c>
      <c r="D64" s="2" t="str" cm="1">
        <f t="array" ref="D64">_xlfn.XLOOKUP(C64,_xlfn._xlws.FILTER(SR[bydgoszcz_SR_Total_Score],SR[Category]="senior"),_xlfn._xlws.FILTER(SR[Name],SR[Category]="senior"),_xlfn.XLOOKUP(C64,_xlfn._xlws.FILTER(SR[zabrze_SR_Total_Score],SR[Category]="senior"),_xlfn._xlws.FILTER(SR[Name],SR[Category]="senior"),_xlfn.XLOOKUP(C64,_xlfn._xlws.FILTER(SR[cracow_SR_Total_Score],SR[Category]="senior"),_xlfn._xlws.FILTER(SR[Name],SR[Category]="senior"),_xlfn.XLOOKUP(C64,_xlfn._xlws.FILTER(SR[gdansk_SR_Total_Score],SR[Category]="senior"),_xlfn._xlws.FILTER(SR[Name],SR[Category]="senior")))))</f>
        <v>GAWROŃSKI Sebastian</v>
      </c>
    </row>
  </sheetData>
  <conditionalFormatting sqref="F2:W50">
    <cfRule type="cellIs" dxfId="4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5170-45AD-BD40-AEE9-ABCDD4A565AD}">
  <sheetPr>
    <tabColor theme="5" tint="0.39997558519241921"/>
  </sheetPr>
  <dimension ref="A1:W61"/>
  <sheetViews>
    <sheetView topLeftCell="A22" zoomScale="75" zoomScaleNormal="75" workbookViewId="0">
      <selection sqref="A1:XFD1"/>
    </sheetView>
  </sheetViews>
  <sheetFormatPr defaultColWidth="11" defaultRowHeight="15.75" x14ac:dyDescent="0.25"/>
  <cols>
    <col min="1" max="1" width="21.125" bestFit="1" customWidth="1"/>
    <col min="2" max="2" width="18.5" style="2" bestFit="1" customWidth="1"/>
    <col min="3" max="3" width="17" style="2" bestFit="1" customWidth="1"/>
    <col min="4" max="4" width="25.125" bestFit="1" customWidth="1"/>
    <col min="5" max="5" width="7.875" style="2" customWidth="1"/>
    <col min="6" max="6" width="7.875" style="4" customWidth="1"/>
    <col min="7" max="8" width="7.875" style="7" customWidth="1"/>
    <col min="9" max="9" width="7.875" style="4" customWidth="1"/>
    <col min="10" max="11" width="7.875" style="7" customWidth="1"/>
    <col min="12" max="12" width="7.875" style="4" customWidth="1"/>
    <col min="13" max="14" width="7.875" style="7" customWidth="1"/>
    <col min="15" max="15" width="7.875" style="4" customWidth="1"/>
    <col min="16" max="17" width="7.875" style="7" customWidth="1"/>
    <col min="18" max="23" width="7.875" style="2" customWidth="1"/>
  </cols>
  <sheetData>
    <row r="1" spans="1:23" s="2" customFormat="1" x14ac:dyDescent="0.25">
      <c r="A1" s="4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181</v>
      </c>
      <c r="G1" s="2" t="s">
        <v>182</v>
      </c>
      <c r="H1" s="2" t="s">
        <v>183</v>
      </c>
      <c r="I1" s="2" t="s">
        <v>184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  <c r="O1" s="2" t="s">
        <v>190</v>
      </c>
      <c r="P1" s="2" t="s">
        <v>191</v>
      </c>
      <c r="Q1" s="2" t="s">
        <v>192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63</v>
      </c>
      <c r="B2" s="2" t="s">
        <v>60</v>
      </c>
      <c r="C2" s="2" t="s">
        <v>64</v>
      </c>
      <c r="D2" t="s">
        <v>39</v>
      </c>
      <c r="E2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2" s="4">
        <v>4.8</v>
      </c>
      <c r="G2" s="7">
        <v>8.6999999999999993</v>
      </c>
      <c r="H2" s="7">
        <v>13.5</v>
      </c>
      <c r="I2" s="4">
        <v>5.2</v>
      </c>
      <c r="J2" s="7">
        <v>9.6</v>
      </c>
      <c r="K2" s="7">
        <v>14.8</v>
      </c>
      <c r="L2" s="4">
        <v>5.2</v>
      </c>
      <c r="M2" s="7">
        <v>8.0500000000000007</v>
      </c>
      <c r="N2" s="7">
        <v>13.25</v>
      </c>
      <c r="O2" s="4">
        <v>4.8</v>
      </c>
      <c r="P2" s="7">
        <v>8.3000000000000007</v>
      </c>
      <c r="Q2" s="7">
        <v>13.1</v>
      </c>
      <c r="R2" s="4">
        <f>LARGE(CHOOSE({1;2;3;4},F2,I2,L2,O2),1)+LARGE(CHOOSE({1;2;3;4},F2,I2,L2,O2),2)+LARGE(CHOOSE({1;2;3;4},F2,I2,L2,O2),3)</f>
        <v>15.2</v>
      </c>
      <c r="S2" s="7">
        <f>LARGE(CHOOSE({1;2;3;4},G2,J2,M2,P2),1)+LARGE(CHOOSE({1;2;3;4},G2,J2,M2,P2),2)+LARGE(CHOOSE({1;2;3;4},G2,J2,M2,P2),3)</f>
        <v>26.599999999999998</v>
      </c>
      <c r="T2" s="7">
        <f>LARGE(CHOOSE({1;2;3;4},H2,K2,N2,Q2),1)+LARGE(CHOOSE({1;2;3;4},H2,K2,N2,Q2),2)+LARGE(CHOOSE({1;2;3;4},H2,K2,N2,Q2),3)</f>
        <v>41.55</v>
      </c>
      <c r="U2" s="4" cm="1">
        <f t="array" ref="U2">IF(VT[[#This Row],[Number_of_competition]:[Number_of_competition]]&gt;=3,(LARGE(CHOOSE({1;2;3;4},F2,I2,L2,O2),1)+LARGE(CHOOSE({1;2;3;4},F2,I2,L2,O2),2)+LARGE(CHOOSE({1;2;3;4},F2,I2,L2,O2),3))/3,0)</f>
        <v>5.0666666666666664</v>
      </c>
      <c r="V2" s="7" cm="1">
        <f t="array" ref="V2">IF(VT[[#This Row],[Number_of_competition]:[Number_of_competition]]&gt;=3,(LARGE(CHOOSE({1;2;3;4},G2,J2,M2,P2),1)+LARGE(CHOOSE({1;2;3;4},G2,J2,M2,P2),2)+LARGE(CHOOSE({1;2;3;4},G2,J2,M2,P2),3))/3,0)</f>
        <v>8.8666666666666654</v>
      </c>
      <c r="W2" s="7" cm="1">
        <f t="array" ref="W2">IF(VT[[#This Row],[Number_of_competition]:[Number_of_competition]]&gt;=3,(LARGE(CHOOSE({1;2;3;4},H2,K2,N2,Q2),1)+LARGE(CHOOSE({1;2;3;4},H2,K2,N2,Q2),2)+LARGE(CHOOSE({1;2;3;4},H2,K2,N2,Q2),3))/3,0)</f>
        <v>13.85</v>
      </c>
    </row>
    <row r="3" spans="1:23" x14ac:dyDescent="0.25">
      <c r="A3" t="s">
        <v>68</v>
      </c>
      <c r="B3" s="2" t="s">
        <v>60</v>
      </c>
      <c r="C3" s="2" t="s">
        <v>69</v>
      </c>
      <c r="D3" t="s">
        <v>31</v>
      </c>
      <c r="E3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3" s="4">
        <v>0</v>
      </c>
      <c r="G3" s="7">
        <v>0</v>
      </c>
      <c r="H3" s="7">
        <v>0</v>
      </c>
      <c r="I3" s="4">
        <v>4</v>
      </c>
      <c r="J3" s="7">
        <v>9.6</v>
      </c>
      <c r="K3" s="7">
        <v>13.6</v>
      </c>
      <c r="L3" s="4">
        <v>4</v>
      </c>
      <c r="M3" s="7">
        <v>9.35</v>
      </c>
      <c r="N3" s="7">
        <v>13.35</v>
      </c>
      <c r="O3" s="4">
        <v>4</v>
      </c>
      <c r="P3" s="7">
        <v>8.8000000000000007</v>
      </c>
      <c r="Q3" s="7">
        <v>12.8</v>
      </c>
      <c r="R3" s="4">
        <f>LARGE(CHOOSE({1;2;3;4},F3,I3,L3,O3),1)+LARGE(CHOOSE({1;2;3;4},F3,I3,L3,O3),2)+LARGE(CHOOSE({1;2;3;4},F3,I3,L3,O3),3)</f>
        <v>12</v>
      </c>
      <c r="S3" s="7">
        <f>LARGE(CHOOSE({1;2;3;4},G3,J3,M3,P3),1)+LARGE(CHOOSE({1;2;3;4},G3,J3,M3,P3),2)+LARGE(CHOOSE({1;2;3;4},G3,J3,M3,P3),3)</f>
        <v>27.75</v>
      </c>
      <c r="T3" s="7">
        <f>LARGE(CHOOSE({1;2;3;4},H3,K3,N3,Q3),1)+LARGE(CHOOSE({1;2;3;4},H3,K3,N3,Q3),2)+LARGE(CHOOSE({1;2;3;4},H3,K3,N3,Q3),3)</f>
        <v>39.75</v>
      </c>
      <c r="U3" s="4" cm="1">
        <f t="array" ref="U3">IF(VT[[#This Row],[Number_of_competition]:[Number_of_competition]]&gt;=3,(LARGE(CHOOSE({1;2;3;4},F3,I3,L3,O3),1)+LARGE(CHOOSE({1;2;3;4},F3,I3,L3,O3),2)+LARGE(CHOOSE({1;2;3;4},F3,I3,L3,O3),3))/3,0)</f>
        <v>4</v>
      </c>
      <c r="V3" s="7" cm="1">
        <f t="array" ref="V3">IF(VT[[#This Row],[Number_of_competition]:[Number_of_competition]]&gt;=3,(LARGE(CHOOSE({1;2;3;4},G3,J3,M3,P3),1)+LARGE(CHOOSE({1;2;3;4},G3,J3,M3,P3),2)+LARGE(CHOOSE({1;2;3;4},G3,J3,M3,P3),3))/3,0)</f>
        <v>9.25</v>
      </c>
      <c r="W3" s="7" cm="1">
        <f t="array" ref="W3">IF(VT[[#This Row],[Number_of_competition]:[Number_of_competition]]&gt;=3,(LARGE(CHOOSE({1;2;3;4},H3,K3,N3,Q3),1)+LARGE(CHOOSE({1;2;3;4},H3,K3,N3,Q3),2)+LARGE(CHOOSE({1;2;3;4},H3,K3,N3,Q3),3))/3,0)</f>
        <v>13.25</v>
      </c>
    </row>
    <row r="4" spans="1:23" x14ac:dyDescent="0.25">
      <c r="A4" t="s">
        <v>59</v>
      </c>
      <c r="B4" s="2" t="s">
        <v>60</v>
      </c>
      <c r="C4" s="2" t="s">
        <v>61</v>
      </c>
      <c r="D4" t="s">
        <v>62</v>
      </c>
      <c r="E4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4" s="4">
        <v>0</v>
      </c>
      <c r="G4" s="7">
        <v>0</v>
      </c>
      <c r="H4" s="7">
        <v>0</v>
      </c>
      <c r="I4" s="4">
        <v>4.4000000000000004</v>
      </c>
      <c r="J4" s="7">
        <v>9.1</v>
      </c>
      <c r="K4" s="7">
        <v>13.5</v>
      </c>
      <c r="L4" s="4">
        <v>4.4000000000000004</v>
      </c>
      <c r="M4" s="7">
        <v>9.15</v>
      </c>
      <c r="N4" s="7">
        <v>13.55</v>
      </c>
      <c r="O4" s="4">
        <v>4.4000000000000004</v>
      </c>
      <c r="P4" s="7">
        <v>8.3000000000000007</v>
      </c>
      <c r="Q4" s="7">
        <v>12.7</v>
      </c>
      <c r="R4" s="4">
        <f>LARGE(CHOOSE({1;2;3;4},F4,I4,L4,O4),1)+LARGE(CHOOSE({1;2;3;4},F4,I4,L4,O4),2)+LARGE(CHOOSE({1;2;3;4},F4,I4,L4,O4),3)</f>
        <v>13.200000000000001</v>
      </c>
      <c r="S4" s="7">
        <f>LARGE(CHOOSE({1;2;3;4},G4,J4,M4,P4),1)+LARGE(CHOOSE({1;2;3;4},G4,J4,M4,P4),2)+LARGE(CHOOSE({1;2;3;4},G4,J4,M4,P4),3)</f>
        <v>26.55</v>
      </c>
      <c r="T4" s="7">
        <f>LARGE(CHOOSE({1;2;3;4},H4,K4,N4,Q4),1)+LARGE(CHOOSE({1;2;3;4},H4,K4,N4,Q4),2)+LARGE(CHOOSE({1;2;3;4},H4,K4,N4,Q4),3)</f>
        <v>39.75</v>
      </c>
      <c r="U4" s="4" cm="1">
        <f t="array" ref="U4">IF(VT[[#This Row],[Number_of_competition]:[Number_of_competition]]&gt;=3,(LARGE(CHOOSE({1;2;3;4},F4,I4,L4,O4),1)+LARGE(CHOOSE({1;2;3;4},F4,I4,L4,O4),2)+LARGE(CHOOSE({1;2;3;4},F4,I4,L4,O4),3))/3,0)</f>
        <v>4.4000000000000004</v>
      </c>
      <c r="V4" s="7" cm="1">
        <f t="array" ref="V4">IF(VT[[#This Row],[Number_of_competition]:[Number_of_competition]]&gt;=3,(LARGE(CHOOSE({1;2;3;4},G4,J4,M4,P4),1)+LARGE(CHOOSE({1;2;3;4},G4,J4,M4,P4),2)+LARGE(CHOOSE({1;2;3;4},G4,J4,M4,P4),3))/3,0)</f>
        <v>8.85</v>
      </c>
      <c r="W4" s="7" cm="1">
        <f t="array" ref="W4">IF(VT[[#This Row],[Number_of_competition]:[Number_of_competition]]&gt;=3,(LARGE(CHOOSE({1;2;3;4},H4,K4,N4,Q4),1)+LARGE(CHOOSE({1;2;3;4},H4,K4,N4,Q4),2)+LARGE(CHOOSE({1;2;3;4},H4,K4,N4,Q4),3))/3,0)</f>
        <v>13.25</v>
      </c>
    </row>
    <row r="5" spans="1:23" x14ac:dyDescent="0.25">
      <c r="A5" t="s">
        <v>82</v>
      </c>
      <c r="B5" s="2" t="s">
        <v>60</v>
      </c>
      <c r="C5" s="2" t="s">
        <v>83</v>
      </c>
      <c r="D5" t="s">
        <v>36</v>
      </c>
      <c r="E5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5" s="4">
        <v>0</v>
      </c>
      <c r="G5" s="7">
        <v>0</v>
      </c>
      <c r="H5" s="7">
        <v>0</v>
      </c>
      <c r="I5" s="4">
        <v>4</v>
      </c>
      <c r="J5" s="7">
        <v>9.3000000000000007</v>
      </c>
      <c r="K5" s="7">
        <v>13.3</v>
      </c>
      <c r="L5" s="4">
        <v>4</v>
      </c>
      <c r="M5" s="7">
        <v>9.1</v>
      </c>
      <c r="N5" s="7">
        <v>13.1</v>
      </c>
      <c r="O5" s="4">
        <v>4</v>
      </c>
      <c r="P5" s="7">
        <v>9</v>
      </c>
      <c r="Q5" s="7">
        <v>13</v>
      </c>
      <c r="R5" s="4">
        <f>LARGE(CHOOSE({1;2;3;4},F5,I5,L5,O5),1)+LARGE(CHOOSE({1;2;3;4},F5,I5,L5,O5),2)+LARGE(CHOOSE({1;2;3;4},F5,I5,L5,O5),3)</f>
        <v>12</v>
      </c>
      <c r="S5" s="7">
        <f>LARGE(CHOOSE({1;2;3;4},G5,J5,M5,P5),1)+LARGE(CHOOSE({1;2;3;4},G5,J5,M5,P5),2)+LARGE(CHOOSE({1;2;3;4},G5,J5,M5,P5),3)</f>
        <v>27.4</v>
      </c>
      <c r="T5" s="7">
        <f>LARGE(CHOOSE({1;2;3;4},H5,K5,N5,Q5),1)+LARGE(CHOOSE({1;2;3;4},H5,K5,N5,Q5),2)+LARGE(CHOOSE({1;2;3;4},H5,K5,N5,Q5),3)</f>
        <v>39.4</v>
      </c>
      <c r="U5" s="4" cm="1">
        <f t="array" ref="U5">IF(VT[[#This Row],[Number_of_competition]:[Number_of_competition]]&gt;=3,(LARGE(CHOOSE({1;2;3;4},F5,I5,L5,O5),1)+LARGE(CHOOSE({1;2;3;4},F5,I5,L5,O5),2)+LARGE(CHOOSE({1;2;3;4},F5,I5,L5,O5),3))/3,0)</f>
        <v>4</v>
      </c>
      <c r="V5" s="7" cm="1">
        <f t="array" ref="V5">IF(VT[[#This Row],[Number_of_competition]:[Number_of_competition]]&gt;=3,(LARGE(CHOOSE({1;2;3;4},G5,J5,M5,P5),1)+LARGE(CHOOSE({1;2;3;4},G5,J5,M5,P5),2)+LARGE(CHOOSE({1;2;3;4},G5,J5,M5,P5),3))/3,0)</f>
        <v>9.1333333333333329</v>
      </c>
      <c r="W5" s="7" cm="1">
        <f t="array" ref="W5">IF(VT[[#This Row],[Number_of_competition]:[Number_of_competition]]&gt;=3,(LARGE(CHOOSE({1;2;3;4},H5,K5,N5,Q5),1)+LARGE(CHOOSE({1;2;3;4},H5,K5,N5,Q5),2)+LARGE(CHOOSE({1;2;3;4},H5,K5,N5,Q5),3))/3,0)</f>
        <v>13.133333333333333</v>
      </c>
    </row>
    <row r="6" spans="1:23" x14ac:dyDescent="0.25">
      <c r="A6" t="s">
        <v>73</v>
      </c>
      <c r="B6" s="2" t="s">
        <v>60</v>
      </c>
      <c r="C6" s="2" t="s">
        <v>74</v>
      </c>
      <c r="D6" t="s">
        <v>62</v>
      </c>
      <c r="E6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6" s="4">
        <v>4</v>
      </c>
      <c r="G6" s="7">
        <v>8.6</v>
      </c>
      <c r="H6" s="7">
        <v>12.6</v>
      </c>
      <c r="I6" s="4">
        <v>4</v>
      </c>
      <c r="J6" s="7">
        <v>9.1</v>
      </c>
      <c r="K6" s="7">
        <v>13.1</v>
      </c>
      <c r="L6" s="4">
        <v>4</v>
      </c>
      <c r="M6" s="7">
        <v>9.35</v>
      </c>
      <c r="N6" s="7">
        <v>13.35</v>
      </c>
      <c r="O6" s="4">
        <v>4</v>
      </c>
      <c r="P6" s="7">
        <v>8.6999999999999993</v>
      </c>
      <c r="Q6" s="7">
        <v>12.7</v>
      </c>
      <c r="R6" s="4">
        <f>LARGE(CHOOSE({1;2;3;4},F6,I6,L6,O6),1)+LARGE(CHOOSE({1;2;3;4},F6,I6,L6,O6),2)+LARGE(CHOOSE({1;2;3;4},F6,I6,L6,O6),3)</f>
        <v>12</v>
      </c>
      <c r="S6" s="7">
        <f>LARGE(CHOOSE({1;2;3;4},G6,J6,M6,P6),1)+LARGE(CHOOSE({1;2;3;4},G6,J6,M6,P6),2)+LARGE(CHOOSE({1;2;3;4},G6,J6,M6,P6),3)</f>
        <v>27.15</v>
      </c>
      <c r="T6" s="7">
        <f>LARGE(CHOOSE({1;2;3;4},H6,K6,N6,Q6),1)+LARGE(CHOOSE({1;2;3;4},H6,K6,N6,Q6),2)+LARGE(CHOOSE({1;2;3;4},H6,K6,N6,Q6),3)</f>
        <v>39.15</v>
      </c>
      <c r="U6" s="4" cm="1">
        <f t="array" ref="U6">IF(VT[[#This Row],[Number_of_competition]:[Number_of_competition]]&gt;=3,(LARGE(CHOOSE({1;2;3;4},F6,I6,L6,O6),1)+LARGE(CHOOSE({1;2;3;4},F6,I6,L6,O6),2)+LARGE(CHOOSE({1;2;3;4},F6,I6,L6,O6),3))/3,0)</f>
        <v>4</v>
      </c>
      <c r="V6" s="7" cm="1">
        <f t="array" ref="V6">IF(VT[[#This Row],[Number_of_competition]:[Number_of_competition]]&gt;=3,(LARGE(CHOOSE({1;2;3;4},G6,J6,M6,P6),1)+LARGE(CHOOSE({1;2;3;4},G6,J6,M6,P6),2)+LARGE(CHOOSE({1;2;3;4},G6,J6,M6,P6),3))/3,0)</f>
        <v>9.0499999999999989</v>
      </c>
      <c r="W6" s="7" cm="1">
        <f t="array" ref="W6">IF(VT[[#This Row],[Number_of_competition]:[Number_of_competition]]&gt;=3,(LARGE(CHOOSE({1;2;3;4},H6,K6,N6,Q6),1)+LARGE(CHOOSE({1;2;3;4},H6,K6,N6,Q6),2)+LARGE(CHOOSE({1;2;3;4},H6,K6,N6,Q6),3))/3,0)</f>
        <v>13.049999999999999</v>
      </c>
    </row>
    <row r="7" spans="1:23" x14ac:dyDescent="0.25">
      <c r="A7" t="s">
        <v>90</v>
      </c>
      <c r="B7" s="2" t="s">
        <v>60</v>
      </c>
      <c r="C7" s="2" t="s">
        <v>91</v>
      </c>
      <c r="D7" t="s">
        <v>36</v>
      </c>
      <c r="E7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7" s="4">
        <v>0</v>
      </c>
      <c r="G7" s="7">
        <v>0</v>
      </c>
      <c r="H7" s="7">
        <v>0</v>
      </c>
      <c r="I7" s="4">
        <v>4</v>
      </c>
      <c r="J7" s="7">
        <v>8.4</v>
      </c>
      <c r="K7" s="7">
        <v>12.4</v>
      </c>
      <c r="L7" s="4">
        <v>4</v>
      </c>
      <c r="M7" s="7">
        <v>9.25</v>
      </c>
      <c r="N7" s="7">
        <v>13.25</v>
      </c>
      <c r="O7" s="4">
        <v>4</v>
      </c>
      <c r="P7" s="7">
        <v>8.9</v>
      </c>
      <c r="Q7" s="7">
        <v>12.9</v>
      </c>
      <c r="R7" s="4">
        <f>LARGE(CHOOSE({1;2;3;4},F7,I7,L7,O7),1)+LARGE(CHOOSE({1;2;3;4},F7,I7,L7,O7),2)+LARGE(CHOOSE({1;2;3;4},F7,I7,L7,O7),3)</f>
        <v>12</v>
      </c>
      <c r="S7" s="7">
        <f>LARGE(CHOOSE({1;2;3;4},G7,J7,M7,P7),1)+LARGE(CHOOSE({1;2;3;4},G7,J7,M7,P7),2)+LARGE(CHOOSE({1;2;3;4},G7,J7,M7,P7),3)</f>
        <v>26.549999999999997</v>
      </c>
      <c r="T7" s="7">
        <f>LARGE(CHOOSE({1;2;3;4},H7,K7,N7,Q7),1)+LARGE(CHOOSE({1;2;3;4},H7,K7,N7,Q7),2)+LARGE(CHOOSE({1;2;3;4},H7,K7,N7,Q7),3)</f>
        <v>38.549999999999997</v>
      </c>
      <c r="U7" s="4" cm="1">
        <f t="array" ref="U7">IF(VT[[#This Row],[Number_of_competition]:[Number_of_competition]]&gt;=3,(LARGE(CHOOSE({1;2;3;4},F7,I7,L7,O7),1)+LARGE(CHOOSE({1;2;3;4},F7,I7,L7,O7),2)+LARGE(CHOOSE({1;2;3;4},F7,I7,L7,O7),3))/3,0)</f>
        <v>4</v>
      </c>
      <c r="V7" s="7" cm="1">
        <f t="array" ref="V7">IF(VT[[#This Row],[Number_of_competition]:[Number_of_competition]]&gt;=3,(LARGE(CHOOSE({1;2;3;4},G7,J7,M7,P7),1)+LARGE(CHOOSE({1;2;3;4},G7,J7,M7,P7),2)+LARGE(CHOOSE({1;2;3;4},G7,J7,M7,P7),3))/3,0)</f>
        <v>8.85</v>
      </c>
      <c r="W7" s="7" cm="1">
        <f t="array" ref="W7">IF(VT[[#This Row],[Number_of_competition]:[Number_of_competition]]&gt;=3,(LARGE(CHOOSE({1;2;3;4},H7,K7,N7,Q7),1)+LARGE(CHOOSE({1;2;3;4},H7,K7,N7,Q7),2)+LARGE(CHOOSE({1;2;3;4},H7,K7,N7,Q7),3))/3,0)</f>
        <v>12.85</v>
      </c>
    </row>
    <row r="8" spans="1:23" x14ac:dyDescent="0.25">
      <c r="A8" t="s">
        <v>32</v>
      </c>
      <c r="B8" s="2" t="s">
        <v>26</v>
      </c>
      <c r="C8" s="2" t="s">
        <v>33</v>
      </c>
      <c r="D8" t="s">
        <v>31</v>
      </c>
      <c r="E8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8" s="4">
        <v>3.2</v>
      </c>
      <c r="G8" s="7">
        <v>9</v>
      </c>
      <c r="H8" s="7">
        <v>12.2</v>
      </c>
      <c r="I8" s="4">
        <v>3.2</v>
      </c>
      <c r="J8" s="7">
        <v>9.4499999999999993</v>
      </c>
      <c r="K8" s="7">
        <v>12.65</v>
      </c>
      <c r="L8" s="4">
        <v>3.2</v>
      </c>
      <c r="M8" s="7">
        <v>9.1999999999999993</v>
      </c>
      <c r="N8" s="7">
        <v>12.4</v>
      </c>
      <c r="O8" s="4">
        <v>2.8</v>
      </c>
      <c r="P8" s="7">
        <v>8.8000000000000007</v>
      </c>
      <c r="Q8" s="7">
        <v>11.6</v>
      </c>
      <c r="R8" s="4">
        <f>LARGE(CHOOSE({1;2;3;4},F8,I8,L8,O8),1)+LARGE(CHOOSE({1;2;3;4},F8,I8,L8,O8),2)+LARGE(CHOOSE({1;2;3;4},F8,I8,L8,O8),3)</f>
        <v>9.6000000000000014</v>
      </c>
      <c r="S8" s="7">
        <f>LARGE(CHOOSE({1;2;3;4},G8,J8,M8,P8),1)+LARGE(CHOOSE({1;2;3;4},G8,J8,M8,P8),2)+LARGE(CHOOSE({1;2;3;4},G8,J8,M8,P8),3)</f>
        <v>27.65</v>
      </c>
      <c r="T8" s="7">
        <f>LARGE(CHOOSE({1;2;3;4},H8,K8,N8,Q8),1)+LARGE(CHOOSE({1;2;3;4},H8,K8,N8,Q8),2)+LARGE(CHOOSE({1;2;3;4},H8,K8,N8,Q8),3)</f>
        <v>37.25</v>
      </c>
      <c r="U8" s="4" cm="1">
        <f t="array" ref="U8">IF(VT[[#This Row],[Number_of_competition]:[Number_of_competition]]&gt;=3,(LARGE(CHOOSE({1;2;3;4},F8,I8,L8,O8),1)+LARGE(CHOOSE({1;2;3;4},F8,I8,L8,O8),2)+LARGE(CHOOSE({1;2;3;4},F8,I8,L8,O8),3))/3,0)</f>
        <v>3.2000000000000006</v>
      </c>
      <c r="V8" s="7" cm="1">
        <f t="array" ref="V8">IF(VT[[#This Row],[Number_of_competition]:[Number_of_competition]]&gt;=3,(LARGE(CHOOSE({1;2;3;4},G8,J8,M8,P8),1)+LARGE(CHOOSE({1;2;3;4},G8,J8,M8,P8),2)+LARGE(CHOOSE({1;2;3;4},G8,J8,M8,P8),3))/3,0)</f>
        <v>9.2166666666666668</v>
      </c>
      <c r="W8" s="7" cm="1">
        <f t="array" ref="W8">IF(VT[[#This Row],[Number_of_competition]:[Number_of_competition]]&gt;=3,(LARGE(CHOOSE({1;2;3;4},H8,K8,N8,Q8),1)+LARGE(CHOOSE({1;2;3;4},H8,K8,N8,Q8),2)+LARGE(CHOOSE({1;2;3;4},H8,K8,N8,Q8),3))/3,0)</f>
        <v>12.416666666666666</v>
      </c>
    </row>
    <row r="9" spans="1:23" x14ac:dyDescent="0.25">
      <c r="A9" t="s">
        <v>84</v>
      </c>
      <c r="B9" s="2" t="s">
        <v>60</v>
      </c>
      <c r="C9" s="2" t="s">
        <v>85</v>
      </c>
      <c r="D9" t="s">
        <v>39</v>
      </c>
      <c r="E9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9" s="4">
        <v>3</v>
      </c>
      <c r="G9" s="7">
        <v>9.3000000000000007</v>
      </c>
      <c r="H9" s="7">
        <v>12.3</v>
      </c>
      <c r="I9" s="4">
        <v>3.2</v>
      </c>
      <c r="J9" s="7">
        <v>9.25</v>
      </c>
      <c r="K9" s="7">
        <v>12.45</v>
      </c>
      <c r="L9" s="4">
        <v>3.2</v>
      </c>
      <c r="M9" s="7">
        <v>9.3000000000000007</v>
      </c>
      <c r="N9" s="7">
        <v>12.5</v>
      </c>
      <c r="O9" s="4">
        <v>3.2</v>
      </c>
      <c r="P9" s="7">
        <v>8.3000000000000007</v>
      </c>
      <c r="Q9" s="7">
        <v>11.5</v>
      </c>
      <c r="R9" s="4">
        <f>LARGE(CHOOSE({1;2;3;4},F9,I9,L9,O9),1)+LARGE(CHOOSE({1;2;3;4},F9,I9,L9,O9),2)+LARGE(CHOOSE({1;2;3;4},F9,I9,L9,O9),3)</f>
        <v>9.6000000000000014</v>
      </c>
      <c r="S9" s="7">
        <f>LARGE(CHOOSE({1;2;3;4},G9,J9,M9,P9),1)+LARGE(CHOOSE({1;2;3;4},G9,J9,M9,P9),2)+LARGE(CHOOSE({1;2;3;4},G9,J9,M9,P9),3)</f>
        <v>27.85</v>
      </c>
      <c r="T9" s="7">
        <f>LARGE(CHOOSE({1;2;3;4},H9,K9,N9,Q9),1)+LARGE(CHOOSE({1;2;3;4},H9,K9,N9,Q9),2)+LARGE(CHOOSE({1;2;3;4},H9,K9,N9,Q9),3)</f>
        <v>37.25</v>
      </c>
      <c r="U9" s="4" cm="1">
        <f t="array" ref="U9">IF(VT[[#This Row],[Number_of_competition]:[Number_of_competition]]&gt;=3,(LARGE(CHOOSE({1;2;3;4},F9,I9,L9,O9),1)+LARGE(CHOOSE({1;2;3;4},F9,I9,L9,O9),2)+LARGE(CHOOSE({1;2;3;4},F9,I9,L9,O9),3))/3,0)</f>
        <v>3.2000000000000006</v>
      </c>
      <c r="V9" s="7" cm="1">
        <f t="array" ref="V9">IF(VT[[#This Row],[Number_of_competition]:[Number_of_competition]]&gt;=3,(LARGE(CHOOSE({1;2;3;4},G9,J9,M9,P9),1)+LARGE(CHOOSE({1;2;3;4},G9,J9,M9,P9),2)+LARGE(CHOOSE({1;2;3;4},G9,J9,M9,P9),3))/3,0)</f>
        <v>9.2833333333333332</v>
      </c>
      <c r="W9" s="7" cm="1">
        <f t="array" ref="W9">IF(VT[[#This Row],[Number_of_competition]:[Number_of_competition]]&gt;=3,(LARGE(CHOOSE({1;2;3;4},H9,K9,N9,Q9),1)+LARGE(CHOOSE({1;2;3;4},H9,K9,N9,Q9),2)+LARGE(CHOOSE({1;2;3;4},H9,K9,N9,Q9),3))/3,0)</f>
        <v>12.416666666666666</v>
      </c>
    </row>
    <row r="10" spans="1:23" x14ac:dyDescent="0.25">
      <c r="A10" t="s">
        <v>29</v>
      </c>
      <c r="B10" s="2" t="s">
        <v>26</v>
      </c>
      <c r="C10" s="2" t="s">
        <v>30</v>
      </c>
      <c r="D10" t="s">
        <v>31</v>
      </c>
      <c r="E10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10" s="4">
        <v>2.8</v>
      </c>
      <c r="G10" s="7">
        <v>8.6</v>
      </c>
      <c r="H10" s="7">
        <v>11.4</v>
      </c>
      <c r="I10" s="4">
        <v>4</v>
      </c>
      <c r="J10" s="7">
        <v>8.9499999999999993</v>
      </c>
      <c r="K10" s="7">
        <v>12.95</v>
      </c>
      <c r="L10" s="4">
        <v>0</v>
      </c>
      <c r="M10" s="7">
        <v>0</v>
      </c>
      <c r="N10" s="7">
        <v>0</v>
      </c>
      <c r="O10" s="4">
        <v>4</v>
      </c>
      <c r="P10" s="7">
        <v>8.6</v>
      </c>
      <c r="Q10" s="7">
        <v>12.6</v>
      </c>
      <c r="R10" s="4">
        <f>LARGE(CHOOSE({1;2;3;4},F10,I10,L10,O10),1)+LARGE(CHOOSE({1;2;3;4},F10,I10,L10,O10),2)+LARGE(CHOOSE({1;2;3;4},F10,I10,L10,O10),3)</f>
        <v>10.8</v>
      </c>
      <c r="S10" s="7">
        <f>LARGE(CHOOSE({1;2;3;4},G10,J10,M10,P10),1)+LARGE(CHOOSE({1;2;3;4},G10,J10,M10,P10),2)+LARGE(CHOOSE({1;2;3;4},G10,J10,M10,P10),3)</f>
        <v>26.15</v>
      </c>
      <c r="T10" s="7">
        <f>LARGE(CHOOSE({1;2;3;4},H10,K10,N10,Q10),1)+LARGE(CHOOSE({1;2;3;4},H10,K10,N10,Q10),2)+LARGE(CHOOSE({1;2;3;4},H10,K10,N10,Q10),3)</f>
        <v>36.949999999999996</v>
      </c>
      <c r="U10" s="4" cm="1">
        <f t="array" ref="U10">IF(VT[[#This Row],[Number_of_competition]:[Number_of_competition]]&gt;=3,(LARGE(CHOOSE({1;2;3;4},F10,I10,L10,O10),1)+LARGE(CHOOSE({1;2;3;4},F10,I10,L10,O10),2)+LARGE(CHOOSE({1;2;3;4},F10,I10,L10,O10),3))/3,0)</f>
        <v>3.6</v>
      </c>
      <c r="V10" s="7" cm="1">
        <f t="array" ref="V10">IF(VT[[#This Row],[Number_of_competition]:[Number_of_competition]]&gt;=3,(LARGE(CHOOSE({1;2;3;4},G10,J10,M10,P10),1)+LARGE(CHOOSE({1;2;3;4},G10,J10,M10,P10),2)+LARGE(CHOOSE({1;2;3;4},G10,J10,M10,P10),3))/3,0)</f>
        <v>8.7166666666666668</v>
      </c>
      <c r="W10" s="7" cm="1">
        <f t="array" ref="W10">IF(VT[[#This Row],[Number_of_competition]:[Number_of_competition]]&gt;=3,(LARGE(CHOOSE({1;2;3;4},H10,K10,N10,Q10),1)+LARGE(CHOOSE({1;2;3;4},H10,K10,N10,Q10),2)+LARGE(CHOOSE({1;2;3;4},H10,K10,N10,Q10),3))/3,0)</f>
        <v>12.316666666666665</v>
      </c>
    </row>
    <row r="11" spans="1:23" x14ac:dyDescent="0.25">
      <c r="A11" t="s">
        <v>80</v>
      </c>
      <c r="B11" s="2" t="s">
        <v>60</v>
      </c>
      <c r="C11" s="2" t="s">
        <v>81</v>
      </c>
      <c r="D11" t="s">
        <v>62</v>
      </c>
      <c r="E11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1" s="4">
        <v>3.6</v>
      </c>
      <c r="G11" s="7">
        <v>8.4</v>
      </c>
      <c r="H11" s="7">
        <v>12</v>
      </c>
      <c r="I11" s="4">
        <v>3.6</v>
      </c>
      <c r="J11" s="7">
        <v>8.15</v>
      </c>
      <c r="K11" s="7">
        <v>11.75</v>
      </c>
      <c r="L11" s="4">
        <v>4</v>
      </c>
      <c r="M11" s="7">
        <v>8.65</v>
      </c>
      <c r="N11" s="7">
        <v>12.65</v>
      </c>
      <c r="O11" s="4">
        <v>2.4</v>
      </c>
      <c r="P11" s="7">
        <v>8.3000000000000007</v>
      </c>
      <c r="Q11" s="7">
        <v>10.7</v>
      </c>
      <c r="R11" s="4">
        <f>LARGE(CHOOSE({1;2;3;4},F11,I11,L11,O11),1)+LARGE(CHOOSE({1;2;3;4},F11,I11,L11,O11),2)+LARGE(CHOOSE({1;2;3;4},F11,I11,L11,O11),3)</f>
        <v>11.2</v>
      </c>
      <c r="S11" s="7">
        <f>LARGE(CHOOSE({1;2;3;4},G11,J11,M11,P11),1)+LARGE(CHOOSE({1;2;3;4},G11,J11,M11,P11),2)+LARGE(CHOOSE({1;2;3;4},G11,J11,M11,P11),3)</f>
        <v>25.35</v>
      </c>
      <c r="T11" s="7">
        <f>LARGE(CHOOSE({1;2;3;4},H11,K11,N11,Q11),1)+LARGE(CHOOSE({1;2;3;4},H11,K11,N11,Q11),2)+LARGE(CHOOSE({1;2;3;4},H11,K11,N11,Q11),3)</f>
        <v>36.4</v>
      </c>
      <c r="U11" s="4" cm="1">
        <f t="array" ref="U11">IF(VT[[#This Row],[Number_of_competition]:[Number_of_competition]]&gt;=3,(LARGE(CHOOSE({1;2;3;4},F11,I11,L11,O11),1)+LARGE(CHOOSE({1;2;3;4},F11,I11,L11,O11),2)+LARGE(CHOOSE({1;2;3;4},F11,I11,L11,O11),3))/3,0)</f>
        <v>3.7333333333333329</v>
      </c>
      <c r="V11" s="7" cm="1">
        <f t="array" ref="V11">IF(VT[[#This Row],[Number_of_competition]:[Number_of_competition]]&gt;=3,(LARGE(CHOOSE({1;2;3;4},G11,J11,M11,P11),1)+LARGE(CHOOSE({1;2;3;4},G11,J11,M11,P11),2)+LARGE(CHOOSE({1;2;3;4},G11,J11,M11,P11),3))/3,0)</f>
        <v>8.4500000000000011</v>
      </c>
      <c r="W11" s="7" cm="1">
        <f t="array" ref="W11">IF(VT[[#This Row],[Number_of_competition]:[Number_of_competition]]&gt;=3,(LARGE(CHOOSE({1;2;3;4},H11,K11,N11,Q11),1)+LARGE(CHOOSE({1;2;3;4},H11,K11,N11,Q11),2)+LARGE(CHOOSE({1;2;3;4},H11,K11,N11,Q11),3))/3,0)</f>
        <v>12.133333333333333</v>
      </c>
    </row>
    <row r="12" spans="1:23" x14ac:dyDescent="0.25">
      <c r="A12" t="s">
        <v>40</v>
      </c>
      <c r="B12" s="2" t="s">
        <v>26</v>
      </c>
      <c r="C12" s="2" t="s">
        <v>41</v>
      </c>
      <c r="D12" t="s">
        <v>39</v>
      </c>
      <c r="E12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12" s="4">
        <v>0</v>
      </c>
      <c r="G12" s="7">
        <v>0</v>
      </c>
      <c r="H12" s="7">
        <v>0</v>
      </c>
      <c r="I12" s="4">
        <v>4</v>
      </c>
      <c r="J12" s="7">
        <v>7.95</v>
      </c>
      <c r="K12" s="7">
        <v>11.95</v>
      </c>
      <c r="L12" s="4">
        <v>4</v>
      </c>
      <c r="M12" s="7">
        <v>8.8000000000000007</v>
      </c>
      <c r="N12" s="7">
        <v>12.8</v>
      </c>
      <c r="O12" s="4">
        <v>2.8</v>
      </c>
      <c r="P12" s="7">
        <v>8.6</v>
      </c>
      <c r="Q12" s="7">
        <v>11.4</v>
      </c>
      <c r="R12" s="4">
        <f>LARGE(CHOOSE({1;2;3;4},F12,I12,L12,O12),1)+LARGE(CHOOSE({1;2;3;4},F12,I12,L12,O12),2)+LARGE(CHOOSE({1;2;3;4},F12,I12,L12,O12),3)</f>
        <v>10.8</v>
      </c>
      <c r="S12" s="7">
        <f>LARGE(CHOOSE({1;2;3;4},G12,J12,M12,P12),1)+LARGE(CHOOSE({1;2;3;4},G12,J12,M12,P12),2)+LARGE(CHOOSE({1;2;3;4},G12,J12,M12,P12),3)</f>
        <v>25.349999999999998</v>
      </c>
      <c r="T12" s="7">
        <f>LARGE(CHOOSE({1;2;3;4},H12,K12,N12,Q12),1)+LARGE(CHOOSE({1;2;3;4},H12,K12,N12,Q12),2)+LARGE(CHOOSE({1;2;3;4},H12,K12,N12,Q12),3)</f>
        <v>36.15</v>
      </c>
      <c r="U12" s="4" cm="1">
        <f t="array" ref="U12">IF(VT[[#This Row],[Number_of_competition]:[Number_of_competition]]&gt;=3,(LARGE(CHOOSE({1;2;3;4},F12,I12,L12,O12),1)+LARGE(CHOOSE({1;2;3;4},F12,I12,L12,O12),2)+LARGE(CHOOSE({1;2;3;4},F12,I12,L12,O12),3))/3,0)</f>
        <v>3.6</v>
      </c>
      <c r="V12" s="7" cm="1">
        <f t="array" ref="V12">IF(VT[[#This Row],[Number_of_competition]:[Number_of_competition]]&gt;=3,(LARGE(CHOOSE({1;2;3;4},G12,J12,M12,P12),1)+LARGE(CHOOSE({1;2;3;4},G12,J12,M12,P12),2)+LARGE(CHOOSE({1;2;3;4},G12,J12,M12,P12),3))/3,0)</f>
        <v>8.4499999999999993</v>
      </c>
      <c r="W12" s="7" cm="1">
        <f t="array" ref="W12">IF(VT[[#This Row],[Number_of_competition]:[Number_of_competition]]&gt;=3,(LARGE(CHOOSE({1;2;3;4},H12,K12,N12,Q12),1)+LARGE(CHOOSE({1;2;3;4},H12,K12,N12,Q12),2)+LARGE(CHOOSE({1;2;3;4},H12,K12,N12,Q12),3))/3,0)</f>
        <v>12.049999999999999</v>
      </c>
    </row>
    <row r="13" spans="1:23" x14ac:dyDescent="0.25">
      <c r="A13" t="s">
        <v>77</v>
      </c>
      <c r="B13" s="2" t="s">
        <v>60</v>
      </c>
      <c r="C13" s="2" t="s">
        <v>78</v>
      </c>
      <c r="D13" t="s">
        <v>79</v>
      </c>
      <c r="E13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3" s="4">
        <v>3.6</v>
      </c>
      <c r="G13" s="7">
        <v>7.8</v>
      </c>
      <c r="H13" s="7">
        <v>11.4</v>
      </c>
      <c r="I13" s="4">
        <v>3.2</v>
      </c>
      <c r="J13" s="7">
        <v>9.15</v>
      </c>
      <c r="K13" s="7">
        <v>12.35</v>
      </c>
      <c r="L13" s="4">
        <v>3.2</v>
      </c>
      <c r="M13" s="7">
        <v>9.0500000000000007</v>
      </c>
      <c r="N13" s="7">
        <v>12.25</v>
      </c>
      <c r="O13" s="4">
        <v>3.2</v>
      </c>
      <c r="P13" s="7">
        <v>8.3000000000000007</v>
      </c>
      <c r="Q13" s="7">
        <v>11.5</v>
      </c>
      <c r="R13" s="4">
        <f>LARGE(CHOOSE({1;2;3;4},F13,I13,L13,O13),1)+LARGE(CHOOSE({1;2;3;4},F13,I13,L13,O13),2)+LARGE(CHOOSE({1;2;3;4},F13,I13,L13,O13),3)</f>
        <v>10</v>
      </c>
      <c r="S13" s="7">
        <f>LARGE(CHOOSE({1;2;3;4},G13,J13,M13,P13),1)+LARGE(CHOOSE({1;2;3;4},G13,J13,M13,P13),2)+LARGE(CHOOSE({1;2;3;4},G13,J13,M13,P13),3)</f>
        <v>26.500000000000004</v>
      </c>
      <c r="T13" s="7">
        <f>LARGE(CHOOSE({1;2;3;4},H13,K13,N13,Q13),1)+LARGE(CHOOSE({1;2;3;4},H13,K13,N13,Q13),2)+LARGE(CHOOSE({1;2;3;4},H13,K13,N13,Q13),3)</f>
        <v>36.1</v>
      </c>
      <c r="U13" s="4" cm="1">
        <f t="array" ref="U13">IF(VT[[#This Row],[Number_of_competition]:[Number_of_competition]]&gt;=3,(LARGE(CHOOSE({1;2;3;4},F13,I13,L13,O13),1)+LARGE(CHOOSE({1;2;3;4},F13,I13,L13,O13),2)+LARGE(CHOOSE({1;2;3;4},F13,I13,L13,O13),3))/3,0)</f>
        <v>3.3333333333333335</v>
      </c>
      <c r="V13" s="7" cm="1">
        <f t="array" ref="V13">IF(VT[[#This Row],[Number_of_competition]:[Number_of_competition]]&gt;=3,(LARGE(CHOOSE({1;2;3;4},G13,J13,M13,P13),1)+LARGE(CHOOSE({1;2;3;4},G13,J13,M13,P13),2)+LARGE(CHOOSE({1;2;3;4},G13,J13,M13,P13),3))/3,0)</f>
        <v>8.8333333333333339</v>
      </c>
      <c r="W13" s="7" cm="1">
        <f t="array" ref="W13">IF(VT[[#This Row],[Number_of_competition]:[Number_of_competition]]&gt;=3,(LARGE(CHOOSE({1;2;3;4},H13,K13,N13,Q13),1)+LARGE(CHOOSE({1;2;3;4},H13,K13,N13,Q13),2)+LARGE(CHOOSE({1;2;3;4},H13,K13,N13,Q13),3))/3,0)</f>
        <v>12.033333333333333</v>
      </c>
    </row>
    <row r="14" spans="1:23" x14ac:dyDescent="0.25">
      <c r="A14" t="s">
        <v>42</v>
      </c>
      <c r="B14" s="2" t="s">
        <v>26</v>
      </c>
      <c r="C14" s="2" t="s">
        <v>43</v>
      </c>
      <c r="D14" t="s">
        <v>36</v>
      </c>
      <c r="E14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4" s="4">
        <v>4</v>
      </c>
      <c r="G14" s="7">
        <v>7.9</v>
      </c>
      <c r="H14" s="7">
        <v>11.9</v>
      </c>
      <c r="I14" s="4">
        <v>2.8</v>
      </c>
      <c r="J14" s="7">
        <v>9.0500000000000007</v>
      </c>
      <c r="K14" s="7">
        <v>11.85</v>
      </c>
      <c r="L14" s="4">
        <v>2.8</v>
      </c>
      <c r="M14" s="7">
        <v>9.1999999999999993</v>
      </c>
      <c r="N14" s="7">
        <v>12</v>
      </c>
      <c r="O14" s="4">
        <v>2.8</v>
      </c>
      <c r="P14" s="7">
        <v>8.4</v>
      </c>
      <c r="Q14" s="7">
        <v>11.2</v>
      </c>
      <c r="R14" s="4">
        <f>LARGE(CHOOSE({1;2;3;4},F14,I14,L14,O14),1)+LARGE(CHOOSE({1;2;3;4},F14,I14,L14,O14),2)+LARGE(CHOOSE({1;2;3;4},F14,I14,L14,O14),3)</f>
        <v>9.6</v>
      </c>
      <c r="S14" s="7">
        <f>LARGE(CHOOSE({1;2;3;4},G14,J14,M14,P14),1)+LARGE(CHOOSE({1;2;3;4},G14,J14,M14,P14),2)+LARGE(CHOOSE({1;2;3;4},G14,J14,M14,P14),3)</f>
        <v>26.65</v>
      </c>
      <c r="T14" s="7">
        <f>LARGE(CHOOSE({1;2;3;4},H14,K14,N14,Q14),1)+LARGE(CHOOSE({1;2;3;4},H14,K14,N14,Q14),2)+LARGE(CHOOSE({1;2;3;4},H14,K14,N14,Q14),3)</f>
        <v>35.75</v>
      </c>
      <c r="U14" s="4" cm="1">
        <f t="array" ref="U14">IF(VT[[#This Row],[Number_of_competition]:[Number_of_competition]]&gt;=3,(LARGE(CHOOSE({1;2;3;4},F14,I14,L14,O14),1)+LARGE(CHOOSE({1;2;3;4},F14,I14,L14,O14),2)+LARGE(CHOOSE({1;2;3;4},F14,I14,L14,O14),3))/3,0)</f>
        <v>3.1999999999999997</v>
      </c>
      <c r="V14" s="7" cm="1">
        <f t="array" ref="V14">IF(VT[[#This Row],[Number_of_competition]:[Number_of_competition]]&gt;=3,(LARGE(CHOOSE({1;2;3;4},G14,J14,M14,P14),1)+LARGE(CHOOSE({1;2;3;4},G14,J14,M14,P14),2)+LARGE(CHOOSE({1;2;3;4},G14,J14,M14,P14),3))/3,0)</f>
        <v>8.8833333333333329</v>
      </c>
      <c r="W14" s="7" cm="1">
        <f t="array" ref="W14">IF(VT[[#This Row],[Number_of_competition]:[Number_of_competition]]&gt;=3,(LARGE(CHOOSE({1;2;3;4},H14,K14,N14,Q14),1)+LARGE(CHOOSE({1;2;3;4},H14,K14,N14,Q14),2)+LARGE(CHOOSE({1;2;3;4},H14,K14,N14,Q14),3))/3,0)</f>
        <v>11.916666666666666</v>
      </c>
    </row>
    <row r="15" spans="1:23" x14ac:dyDescent="0.25">
      <c r="A15" t="s">
        <v>44</v>
      </c>
      <c r="B15" s="2" t="s">
        <v>26</v>
      </c>
      <c r="C15" s="2" t="s">
        <v>45</v>
      </c>
      <c r="D15" t="s">
        <v>39</v>
      </c>
      <c r="E15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5" s="4">
        <v>2.8</v>
      </c>
      <c r="G15" s="7">
        <v>8.5</v>
      </c>
      <c r="H15" s="7">
        <v>11.3</v>
      </c>
      <c r="I15" s="4">
        <v>2.4</v>
      </c>
      <c r="J15" s="7">
        <v>8.9</v>
      </c>
      <c r="K15" s="7">
        <v>11.3</v>
      </c>
      <c r="L15" s="4">
        <v>2.8</v>
      </c>
      <c r="M15" s="7">
        <v>8.75</v>
      </c>
      <c r="N15" s="7">
        <v>11.55</v>
      </c>
      <c r="O15" s="4">
        <v>2.4</v>
      </c>
      <c r="P15" s="7">
        <v>8.4</v>
      </c>
      <c r="Q15" s="7">
        <v>10.8</v>
      </c>
      <c r="R15" s="4">
        <f>LARGE(CHOOSE({1;2;3;4},F15,I15,L15,O15),1)+LARGE(CHOOSE({1;2;3;4},F15,I15,L15,O15),2)+LARGE(CHOOSE({1;2;3;4},F15,I15,L15,O15),3)</f>
        <v>8</v>
      </c>
      <c r="S15" s="7">
        <f>LARGE(CHOOSE({1;2;3;4},G15,J15,M15,P15),1)+LARGE(CHOOSE({1;2;3;4},G15,J15,M15,P15),2)+LARGE(CHOOSE({1;2;3;4},G15,J15,M15,P15),3)</f>
        <v>26.15</v>
      </c>
      <c r="T15" s="7">
        <f>LARGE(CHOOSE({1;2;3;4},H15,K15,N15,Q15),1)+LARGE(CHOOSE({1;2;3;4},H15,K15,N15,Q15),2)+LARGE(CHOOSE({1;2;3;4},H15,K15,N15,Q15),3)</f>
        <v>34.150000000000006</v>
      </c>
      <c r="U15" s="4" cm="1">
        <f t="array" ref="U15">IF(VT[[#This Row],[Number_of_competition]:[Number_of_competition]]&gt;=3,(LARGE(CHOOSE({1;2;3;4},F15,I15,L15,O15),1)+LARGE(CHOOSE({1;2;3;4},F15,I15,L15,O15),2)+LARGE(CHOOSE({1;2;3;4},F15,I15,L15,O15),3))/3,0)</f>
        <v>2.6666666666666665</v>
      </c>
      <c r="V15" s="7" cm="1">
        <f t="array" ref="V15">IF(VT[[#This Row],[Number_of_competition]:[Number_of_competition]]&gt;=3,(LARGE(CHOOSE({1;2;3;4},G15,J15,M15,P15),1)+LARGE(CHOOSE({1;2;3;4},G15,J15,M15,P15),2)+LARGE(CHOOSE({1;2;3;4},G15,J15,M15,P15),3))/3,0)</f>
        <v>8.7166666666666668</v>
      </c>
      <c r="W15" s="7" cm="1">
        <f t="array" ref="W15">IF(VT[[#This Row],[Number_of_competition]:[Number_of_competition]]&gt;=3,(LARGE(CHOOSE({1;2;3;4},H15,K15,N15,Q15),1)+LARGE(CHOOSE({1;2;3;4},H15,K15,N15,Q15),2)+LARGE(CHOOSE({1;2;3;4},H15,K15,N15,Q15),3))/3,0)</f>
        <v>11.383333333333335</v>
      </c>
    </row>
    <row r="16" spans="1:23" x14ac:dyDescent="0.25">
      <c r="A16" t="s">
        <v>25</v>
      </c>
      <c r="B16" s="2" t="s">
        <v>26</v>
      </c>
      <c r="C16" s="2" t="s">
        <v>27</v>
      </c>
      <c r="D16" t="s">
        <v>28</v>
      </c>
      <c r="E16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6" s="4">
        <v>2.2000000000000002</v>
      </c>
      <c r="G16" s="7">
        <v>9.4</v>
      </c>
      <c r="H16" s="7">
        <v>11.6</v>
      </c>
      <c r="I16" s="4">
        <v>2.2000000000000002</v>
      </c>
      <c r="J16" s="7">
        <v>9.0500000000000007</v>
      </c>
      <c r="K16" s="7">
        <v>11.25</v>
      </c>
      <c r="L16" s="4">
        <v>2.2000000000000002</v>
      </c>
      <c r="M16" s="7">
        <v>9.0500000000000007</v>
      </c>
      <c r="N16" s="7">
        <v>11.25</v>
      </c>
      <c r="O16" s="4">
        <v>2.2000000000000002</v>
      </c>
      <c r="P16" s="7">
        <v>8.3000000000000007</v>
      </c>
      <c r="Q16" s="7">
        <v>10.5</v>
      </c>
      <c r="R16" s="4">
        <f>LARGE(CHOOSE({1;2;3;4},F16,I16,L16,O16),1)+LARGE(CHOOSE({1;2;3;4},F16,I16,L16,O16),2)+LARGE(CHOOSE({1;2;3;4},F16,I16,L16,O16),3)</f>
        <v>6.6000000000000005</v>
      </c>
      <c r="S16" s="7">
        <f>LARGE(CHOOSE({1;2;3;4},G16,J16,M16,P16),1)+LARGE(CHOOSE({1;2;3;4},G16,J16,M16,P16),2)+LARGE(CHOOSE({1;2;3;4},G16,J16,M16,P16),3)</f>
        <v>27.500000000000004</v>
      </c>
      <c r="T16" s="7">
        <f>LARGE(CHOOSE({1;2;3;4},H16,K16,N16,Q16),1)+LARGE(CHOOSE({1;2;3;4},H16,K16,N16,Q16),2)+LARGE(CHOOSE({1;2;3;4},H16,K16,N16,Q16),3)</f>
        <v>34.1</v>
      </c>
      <c r="U16" s="4" cm="1">
        <f t="array" ref="U16">IF(VT[[#This Row],[Number_of_competition]:[Number_of_competition]]&gt;=3,(LARGE(CHOOSE({1;2;3;4},F16,I16,L16,O16),1)+LARGE(CHOOSE({1;2;3;4},F16,I16,L16,O16),2)+LARGE(CHOOSE({1;2;3;4},F16,I16,L16,O16),3))/3,0)</f>
        <v>2.2000000000000002</v>
      </c>
      <c r="V16" s="7" cm="1">
        <f t="array" ref="V16">IF(VT[[#This Row],[Number_of_competition]:[Number_of_competition]]&gt;=3,(LARGE(CHOOSE({1;2;3;4},G16,J16,M16,P16),1)+LARGE(CHOOSE({1;2;3;4},G16,J16,M16,P16),2)+LARGE(CHOOSE({1;2;3;4},G16,J16,M16,P16),3))/3,0)</f>
        <v>9.1666666666666679</v>
      </c>
      <c r="W16" s="7" cm="1">
        <f t="array" ref="W16">IF(VT[[#This Row],[Number_of_competition]:[Number_of_competition]]&gt;=3,(LARGE(CHOOSE({1;2;3;4},H16,K16,N16,Q16),1)+LARGE(CHOOSE({1;2;3;4},H16,K16,N16,Q16),2)+LARGE(CHOOSE({1;2;3;4},H16,K16,N16,Q16),3))/3,0)</f>
        <v>11.366666666666667</v>
      </c>
    </row>
    <row r="17" spans="1:23" x14ac:dyDescent="0.25">
      <c r="A17" t="s">
        <v>37</v>
      </c>
      <c r="B17" s="2" t="s">
        <v>26</v>
      </c>
      <c r="C17" s="2" t="s">
        <v>38</v>
      </c>
      <c r="D17" t="s">
        <v>39</v>
      </c>
      <c r="E17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7" s="4">
        <v>2.4</v>
      </c>
      <c r="G17" s="7">
        <v>8.85</v>
      </c>
      <c r="H17" s="7">
        <v>11.25</v>
      </c>
      <c r="I17" s="4">
        <v>3.2</v>
      </c>
      <c r="J17" s="7">
        <v>8.6</v>
      </c>
      <c r="K17" s="7">
        <v>11.8</v>
      </c>
      <c r="L17" s="4">
        <v>2.4</v>
      </c>
      <c r="M17" s="7">
        <v>8.3000000000000007</v>
      </c>
      <c r="N17" s="7">
        <v>10.7</v>
      </c>
      <c r="O17" s="4">
        <v>2.4</v>
      </c>
      <c r="P17" s="7">
        <v>8.1999999999999993</v>
      </c>
      <c r="Q17" s="7">
        <v>10.6</v>
      </c>
      <c r="R17" s="4">
        <f>LARGE(CHOOSE({1;2;3;4},F17,I17,L17,O17),1)+LARGE(CHOOSE({1;2;3;4},F17,I17,L17,O17),2)+LARGE(CHOOSE({1;2;3;4},F17,I17,L17,O17),3)</f>
        <v>8</v>
      </c>
      <c r="S17" s="7">
        <f>LARGE(CHOOSE({1;2;3;4},G17,J17,M17,P17),1)+LARGE(CHOOSE({1;2;3;4},G17,J17,M17,P17),2)+LARGE(CHOOSE({1;2;3;4},G17,J17,M17,P17),3)</f>
        <v>25.75</v>
      </c>
      <c r="T17" s="7">
        <f>LARGE(CHOOSE({1;2;3;4},H17,K17,N17,Q17),1)+LARGE(CHOOSE({1;2;3;4},H17,K17,N17,Q17),2)+LARGE(CHOOSE({1;2;3;4},H17,K17,N17,Q17),3)</f>
        <v>33.75</v>
      </c>
      <c r="U17" s="4" cm="1">
        <f t="array" ref="U17">IF(VT[[#This Row],[Number_of_competition]:[Number_of_competition]]&gt;=3,(LARGE(CHOOSE({1;2;3;4},F17,I17,L17,O17),1)+LARGE(CHOOSE({1;2;3;4},F17,I17,L17,O17),2)+LARGE(CHOOSE({1;2;3;4},F17,I17,L17,O17),3))/3,0)</f>
        <v>2.6666666666666665</v>
      </c>
      <c r="V17" s="7" cm="1">
        <f t="array" ref="V17">IF(VT[[#This Row],[Number_of_competition]:[Number_of_competition]]&gt;=3,(LARGE(CHOOSE({1;2;3;4},G17,J17,M17,P17),1)+LARGE(CHOOSE({1;2;3;4},G17,J17,M17,P17),2)+LARGE(CHOOSE({1;2;3;4},G17,J17,M17,P17),3))/3,0)</f>
        <v>8.5833333333333339</v>
      </c>
      <c r="W17" s="7" cm="1">
        <f t="array" ref="W17">IF(VT[[#This Row],[Number_of_competition]:[Number_of_competition]]&gt;=3,(LARGE(CHOOSE({1;2;3;4},H17,K17,N17,Q17),1)+LARGE(CHOOSE({1;2;3;4},H17,K17,N17,Q17),2)+LARGE(CHOOSE({1;2;3;4},H17,K17,N17,Q17),3))/3,0)</f>
        <v>11.25</v>
      </c>
    </row>
    <row r="18" spans="1:23" x14ac:dyDescent="0.25">
      <c r="A18" t="s">
        <v>34</v>
      </c>
      <c r="B18" s="2" t="s">
        <v>26</v>
      </c>
      <c r="C18" s="2" t="s">
        <v>35</v>
      </c>
      <c r="D18" t="s">
        <v>36</v>
      </c>
      <c r="E18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8" s="4">
        <v>1.6</v>
      </c>
      <c r="G18" s="7">
        <v>8.8000000000000007</v>
      </c>
      <c r="H18" s="7">
        <v>10.4</v>
      </c>
      <c r="I18" s="4">
        <v>2.4</v>
      </c>
      <c r="J18" s="7">
        <v>8.9</v>
      </c>
      <c r="K18" s="7">
        <v>11.3</v>
      </c>
      <c r="L18" s="4">
        <v>3.2</v>
      </c>
      <c r="M18" s="7">
        <v>8.6999999999999993</v>
      </c>
      <c r="N18" s="7">
        <v>11.9</v>
      </c>
      <c r="O18" s="4">
        <v>2.4</v>
      </c>
      <c r="P18" s="7">
        <v>7.2</v>
      </c>
      <c r="Q18" s="7">
        <v>9.6</v>
      </c>
      <c r="R18" s="4">
        <f>LARGE(CHOOSE({1;2;3;4},F18,I18,L18,O18),1)+LARGE(CHOOSE({1;2;3;4},F18,I18,L18,O18),2)+LARGE(CHOOSE({1;2;3;4},F18,I18,L18,O18),3)</f>
        <v>8</v>
      </c>
      <c r="S18" s="7">
        <f>LARGE(CHOOSE({1;2;3;4},G18,J18,M18,P18),1)+LARGE(CHOOSE({1;2;3;4},G18,J18,M18,P18),2)+LARGE(CHOOSE({1;2;3;4},G18,J18,M18,P18),3)</f>
        <v>26.400000000000002</v>
      </c>
      <c r="T18" s="7">
        <f>LARGE(CHOOSE({1;2;3;4},H18,K18,N18,Q18),1)+LARGE(CHOOSE({1;2;3;4},H18,K18,N18,Q18),2)+LARGE(CHOOSE({1;2;3;4},H18,K18,N18,Q18),3)</f>
        <v>33.6</v>
      </c>
      <c r="U18" s="4" cm="1">
        <f t="array" ref="U18">IF(VT[[#This Row],[Number_of_competition]:[Number_of_competition]]&gt;=3,(LARGE(CHOOSE({1;2;3;4},F18,I18,L18,O18),1)+LARGE(CHOOSE({1;2;3;4},F18,I18,L18,O18),2)+LARGE(CHOOSE({1;2;3;4},F18,I18,L18,O18),3))/3,0)</f>
        <v>2.6666666666666665</v>
      </c>
      <c r="V18" s="7" cm="1">
        <f t="array" ref="V18">IF(VT[[#This Row],[Number_of_competition]:[Number_of_competition]]&gt;=3,(LARGE(CHOOSE({1;2;3;4},G18,J18,M18,P18),1)+LARGE(CHOOSE({1;2;3;4},G18,J18,M18,P18),2)+LARGE(CHOOSE({1;2;3;4},G18,J18,M18,P18),3))/3,0)</f>
        <v>8.8000000000000007</v>
      </c>
      <c r="W18" s="7" cm="1">
        <f t="array" ref="W18">IF(VT[[#This Row],[Number_of_competition]:[Number_of_competition]]&gt;=3,(LARGE(CHOOSE({1;2;3;4},H18,K18,N18,Q18),1)+LARGE(CHOOSE({1;2;3;4},H18,K18,N18,Q18),2)+LARGE(CHOOSE({1;2;3;4},H18,K18,N18,Q18),3))/3,0)</f>
        <v>11.200000000000001</v>
      </c>
    </row>
    <row r="19" spans="1:23" x14ac:dyDescent="0.25">
      <c r="A19" t="s">
        <v>48</v>
      </c>
      <c r="B19" s="2" t="s">
        <v>26</v>
      </c>
      <c r="C19" s="2" t="s">
        <v>49</v>
      </c>
      <c r="D19" t="s">
        <v>36</v>
      </c>
      <c r="E19" s="6">
        <f>COUNTIF(VT[[#This Row],[bydgoszcz_VT_Total_Score]],"&gt;0")+COUNTIF(VT[[#This Row],[zabrze_VT_Total_Score]],"&gt;0")+COUNTIF(VT[[#This Row],[cracow_VT_Total_Score]],"&gt;0")+COUNTIF(VT[[#This Row],[gdansk_VT_Total_Score]],"&gt;0")</f>
        <v>4</v>
      </c>
      <c r="F19" s="4">
        <v>2.4</v>
      </c>
      <c r="G19" s="7">
        <v>7.8</v>
      </c>
      <c r="H19" s="7">
        <v>10.199999999999999</v>
      </c>
      <c r="I19" s="4">
        <v>1.6</v>
      </c>
      <c r="J19" s="7">
        <v>9.5</v>
      </c>
      <c r="K19" s="7">
        <v>11.1</v>
      </c>
      <c r="L19" s="4">
        <v>2.4</v>
      </c>
      <c r="M19" s="7">
        <v>8.85</v>
      </c>
      <c r="N19" s="7">
        <v>11.25</v>
      </c>
      <c r="O19" s="4">
        <v>1.6</v>
      </c>
      <c r="P19" s="7">
        <v>8.5</v>
      </c>
      <c r="Q19" s="7">
        <v>10.1</v>
      </c>
      <c r="R19" s="4">
        <f>LARGE(CHOOSE({1;2;3;4},F19,I19,L19,O19),1)+LARGE(CHOOSE({1;2;3;4},F19,I19,L19,O19),2)+LARGE(CHOOSE({1;2;3;4},F19,I19,L19,O19),3)</f>
        <v>6.4</v>
      </c>
      <c r="S19" s="7">
        <f>LARGE(CHOOSE({1;2;3;4},G19,J19,M19,P19),1)+LARGE(CHOOSE({1;2;3;4},G19,J19,M19,P19),2)+LARGE(CHOOSE({1;2;3;4},G19,J19,M19,P19),3)</f>
        <v>26.85</v>
      </c>
      <c r="T19" s="7">
        <f>LARGE(CHOOSE({1;2;3;4},H19,K19,N19,Q19),1)+LARGE(CHOOSE({1;2;3;4},H19,K19,N19,Q19),2)+LARGE(CHOOSE({1;2;3;4},H19,K19,N19,Q19),3)</f>
        <v>32.549999999999997</v>
      </c>
      <c r="U19" s="4" cm="1">
        <f t="array" ref="U19">IF(VT[[#This Row],[Number_of_competition]:[Number_of_competition]]&gt;=3,(LARGE(CHOOSE({1;2;3;4},F19,I19,L19,O19),1)+LARGE(CHOOSE({1;2;3;4},F19,I19,L19,O19),2)+LARGE(CHOOSE({1;2;3;4},F19,I19,L19,O19),3))/3,0)</f>
        <v>2.1333333333333333</v>
      </c>
      <c r="V19" s="7" cm="1">
        <f t="array" ref="V19">IF(VT[[#This Row],[Number_of_competition]:[Number_of_competition]]&gt;=3,(LARGE(CHOOSE({1;2;3;4},G19,J19,M19,P19),1)+LARGE(CHOOSE({1;2;3;4},G19,J19,M19,P19),2)+LARGE(CHOOSE({1;2;3;4},G19,J19,M19,P19),3))/3,0)</f>
        <v>8.9500000000000011</v>
      </c>
      <c r="W19" s="7" cm="1">
        <f t="array" ref="W19">IF(VT[[#This Row],[Number_of_competition]:[Number_of_competition]]&gt;=3,(LARGE(CHOOSE({1;2;3;4},H19,K19,N19,Q19),1)+LARGE(CHOOSE({1;2;3;4},H19,K19,N19,Q19),2)+LARGE(CHOOSE({1;2;3;4},H19,K19,N19,Q19),3))/3,0)</f>
        <v>10.85</v>
      </c>
    </row>
    <row r="20" spans="1:23" x14ac:dyDescent="0.25">
      <c r="A20" t="s">
        <v>114</v>
      </c>
      <c r="B20" s="2" t="s">
        <v>26</v>
      </c>
      <c r="C20" s="2" t="s">
        <v>115</v>
      </c>
      <c r="D20" t="s">
        <v>36</v>
      </c>
      <c r="E20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20" s="4">
        <v>2.4</v>
      </c>
      <c r="G20" s="7">
        <v>8.8000000000000007</v>
      </c>
      <c r="H20" s="7">
        <v>11.2</v>
      </c>
      <c r="I20" s="4">
        <v>0</v>
      </c>
      <c r="J20" s="7">
        <v>0</v>
      </c>
      <c r="K20" s="7">
        <v>0</v>
      </c>
      <c r="L20" s="4">
        <v>1.6</v>
      </c>
      <c r="M20" s="7">
        <v>8.8000000000000007</v>
      </c>
      <c r="N20" s="7">
        <v>10.4</v>
      </c>
      <c r="O20" s="4">
        <v>1.6</v>
      </c>
      <c r="P20" s="7">
        <v>8.8000000000000007</v>
      </c>
      <c r="Q20" s="7">
        <v>10.4</v>
      </c>
      <c r="R20" s="4">
        <f>LARGE(CHOOSE({1;2;3;4},F20,I20,L20,O20),1)+LARGE(CHOOSE({1;2;3;4},F20,I20,L20,O20),2)+LARGE(CHOOSE({1;2;3;4},F20,I20,L20,O20),3)</f>
        <v>5.6</v>
      </c>
      <c r="S20" s="7">
        <f>LARGE(CHOOSE({1;2;3;4},G20,J20,M20,P20),1)+LARGE(CHOOSE({1;2;3;4},G20,J20,M20,P20),2)+LARGE(CHOOSE({1;2;3;4},G20,J20,M20,P20),3)</f>
        <v>26.400000000000002</v>
      </c>
      <c r="T20" s="7">
        <f>LARGE(CHOOSE({1;2;3;4},H20,K20,N20,Q20),1)+LARGE(CHOOSE({1;2;3;4},H20,K20,N20,Q20),2)+LARGE(CHOOSE({1;2;3;4},H20,K20,N20,Q20),3)</f>
        <v>32</v>
      </c>
      <c r="U20" s="4" cm="1">
        <f t="array" ref="U20">IF(VT[[#This Row],[Number_of_competition]:[Number_of_competition]]&gt;=3,(LARGE(CHOOSE({1;2;3;4},F20,I20,L20,O20),1)+LARGE(CHOOSE({1;2;3;4},F20,I20,L20,O20),2)+LARGE(CHOOSE({1;2;3;4},F20,I20,L20,O20),3))/3,0)</f>
        <v>1.8666666666666665</v>
      </c>
      <c r="V20" s="7" cm="1">
        <f t="array" ref="V20">IF(VT[[#This Row],[Number_of_competition]:[Number_of_competition]]&gt;=3,(LARGE(CHOOSE({1;2;3;4},G20,J20,M20,P20),1)+LARGE(CHOOSE({1;2;3;4},G20,J20,M20,P20),2)+LARGE(CHOOSE({1;2;3;4},G20,J20,M20,P20),3))/3,0)</f>
        <v>8.8000000000000007</v>
      </c>
      <c r="W20" s="7" cm="1">
        <f t="array" ref="W20">IF(VT[[#This Row],[Number_of_competition]:[Number_of_competition]]&gt;=3,(LARGE(CHOOSE({1;2;3;4},H20,K20,N20,Q20),1)+LARGE(CHOOSE({1;2;3;4},H20,K20,N20,Q20),2)+LARGE(CHOOSE({1;2;3;4},H20,K20,N20,Q20),3))/3,0)</f>
        <v>10.666666666666666</v>
      </c>
    </row>
    <row r="21" spans="1:23" x14ac:dyDescent="0.25">
      <c r="A21" t="s">
        <v>52</v>
      </c>
      <c r="B21" s="2" t="s">
        <v>26</v>
      </c>
      <c r="C21" s="2" t="s">
        <v>53</v>
      </c>
      <c r="D21" t="s">
        <v>36</v>
      </c>
      <c r="E21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21" s="4">
        <v>2.4</v>
      </c>
      <c r="G21" s="7">
        <v>7.7</v>
      </c>
      <c r="H21" s="7">
        <v>10.1</v>
      </c>
      <c r="I21" s="4">
        <v>0</v>
      </c>
      <c r="J21" s="7">
        <v>0</v>
      </c>
      <c r="K21" s="7">
        <v>0</v>
      </c>
      <c r="L21" s="4">
        <v>1.6</v>
      </c>
      <c r="M21" s="7">
        <v>9.4499999999999993</v>
      </c>
      <c r="N21" s="7">
        <v>11.05</v>
      </c>
      <c r="O21" s="4">
        <v>2.4</v>
      </c>
      <c r="P21" s="7">
        <v>8.1999999999999993</v>
      </c>
      <c r="Q21" s="7">
        <v>10.6</v>
      </c>
      <c r="R21" s="4">
        <f>LARGE(CHOOSE({1;2;3;4},F21,I21,L21,O21),1)+LARGE(CHOOSE({1;2;3;4},F21,I21,L21,O21),2)+LARGE(CHOOSE({1;2;3;4},F21,I21,L21,O21),3)</f>
        <v>6.4</v>
      </c>
      <c r="S21" s="7">
        <f>LARGE(CHOOSE({1;2;3;4},G21,J21,M21,P21),1)+LARGE(CHOOSE({1;2;3;4},G21,J21,M21,P21),2)+LARGE(CHOOSE({1;2;3;4},G21,J21,M21,P21),3)</f>
        <v>25.349999999999998</v>
      </c>
      <c r="T21" s="7">
        <f>LARGE(CHOOSE({1;2;3;4},H21,K21,N21,Q21),1)+LARGE(CHOOSE({1;2;3;4},H21,K21,N21,Q21),2)+LARGE(CHOOSE({1;2;3;4},H21,K21,N21,Q21),3)</f>
        <v>31.75</v>
      </c>
      <c r="U21" s="4" cm="1">
        <f t="array" ref="U21">IF(VT[[#This Row],[Number_of_competition]:[Number_of_competition]]&gt;=3,(LARGE(CHOOSE({1;2;3;4},F21,I21,L21,O21),1)+LARGE(CHOOSE({1;2;3;4},F21,I21,L21,O21),2)+LARGE(CHOOSE({1;2;3;4},F21,I21,L21,O21),3))/3,0)</f>
        <v>2.1333333333333333</v>
      </c>
      <c r="V21" s="7" cm="1">
        <f t="array" ref="V21">IF(VT[[#This Row],[Number_of_competition]:[Number_of_competition]]&gt;=3,(LARGE(CHOOSE({1;2;3;4},G21,J21,M21,P21),1)+LARGE(CHOOSE({1;2;3;4},G21,J21,M21,P21),2)+LARGE(CHOOSE({1;2;3;4},G21,J21,M21,P21),3))/3,0)</f>
        <v>8.4499999999999993</v>
      </c>
      <c r="W21" s="7" cm="1">
        <f t="array" ref="W21">IF(VT[[#This Row],[Number_of_competition]:[Number_of_competition]]&gt;=3,(LARGE(CHOOSE({1;2;3;4},H21,K21,N21,Q21),1)+LARGE(CHOOSE({1;2;3;4},H21,K21,N21,Q21),2)+LARGE(CHOOSE({1;2;3;4},H21,K21,N21,Q21),3))/3,0)</f>
        <v>10.583333333333334</v>
      </c>
    </row>
    <row r="22" spans="1:23" x14ac:dyDescent="0.25">
      <c r="A22" t="s">
        <v>46</v>
      </c>
      <c r="B22" s="2" t="s">
        <v>26</v>
      </c>
      <c r="C22" s="2" t="s">
        <v>47</v>
      </c>
      <c r="D22" t="s">
        <v>36</v>
      </c>
      <c r="E22" s="6">
        <f>COUNTIF(VT[[#This Row],[bydgoszcz_VT_Total_Score]],"&gt;0")+COUNTIF(VT[[#This Row],[zabrze_VT_Total_Score]],"&gt;0")+COUNTIF(VT[[#This Row],[cracow_VT_Total_Score]],"&gt;0")+COUNTIF(VT[[#This Row],[gdansk_VT_Total_Score]],"&gt;0")</f>
        <v>3</v>
      </c>
      <c r="F22" s="4">
        <v>0</v>
      </c>
      <c r="G22" s="7">
        <v>0</v>
      </c>
      <c r="H22" s="7">
        <v>0</v>
      </c>
      <c r="I22" s="4">
        <v>1.6</v>
      </c>
      <c r="J22" s="7">
        <v>9</v>
      </c>
      <c r="K22" s="7">
        <v>10.6</v>
      </c>
      <c r="L22" s="4">
        <v>1.6</v>
      </c>
      <c r="M22" s="7">
        <v>9</v>
      </c>
      <c r="N22" s="7">
        <v>10.6</v>
      </c>
      <c r="O22" s="4">
        <v>1.6</v>
      </c>
      <c r="P22" s="7">
        <v>8.8000000000000007</v>
      </c>
      <c r="Q22" s="7">
        <v>10.4</v>
      </c>
      <c r="R22" s="4">
        <f>LARGE(CHOOSE({1;2;3;4},F22,I22,L22,O22),1)+LARGE(CHOOSE({1;2;3;4},F22,I22,L22,O22),2)+LARGE(CHOOSE({1;2;3;4},F22,I22,L22,O22),3)</f>
        <v>4.8000000000000007</v>
      </c>
      <c r="S22" s="7">
        <f>LARGE(CHOOSE({1;2;3;4},G22,J22,M22,P22),1)+LARGE(CHOOSE({1;2;3;4},G22,J22,M22,P22),2)+LARGE(CHOOSE({1;2;3;4},G22,J22,M22,P22),3)</f>
        <v>26.8</v>
      </c>
      <c r="T22" s="7">
        <f>LARGE(CHOOSE({1;2;3;4},H22,K22,N22,Q22),1)+LARGE(CHOOSE({1;2;3;4},H22,K22,N22,Q22),2)+LARGE(CHOOSE({1;2;3;4},H22,K22,N22,Q22),3)</f>
        <v>31.6</v>
      </c>
      <c r="U22" s="4" cm="1">
        <f t="array" ref="U22">IF(VT[[#This Row],[Number_of_competition]:[Number_of_competition]]&gt;=3,(LARGE(CHOOSE({1;2;3;4},F22,I22,L22,O22),1)+LARGE(CHOOSE({1;2;3;4},F22,I22,L22,O22),2)+LARGE(CHOOSE({1;2;3;4},F22,I22,L22,O22),3))/3,0)</f>
        <v>1.6000000000000003</v>
      </c>
      <c r="V22" s="7" cm="1">
        <f t="array" ref="V22">IF(VT[[#This Row],[Number_of_competition]:[Number_of_competition]]&gt;=3,(LARGE(CHOOSE({1;2;3;4},G22,J22,M22,P22),1)+LARGE(CHOOSE({1;2;3;4},G22,J22,M22,P22),2)+LARGE(CHOOSE({1;2;3;4},G22,J22,M22,P22),3))/3,0)</f>
        <v>8.9333333333333336</v>
      </c>
      <c r="W22" s="7" cm="1">
        <f t="array" ref="W22">IF(VT[[#This Row],[Number_of_competition]:[Number_of_competition]]&gt;=3,(LARGE(CHOOSE({1;2;3;4},H22,K22,N22,Q22),1)+LARGE(CHOOSE({1;2;3;4},H22,K22,N22,Q22),2)+LARGE(CHOOSE({1;2;3;4},H22,K22,N22,Q22),3))/3,0)</f>
        <v>10.533333333333333</v>
      </c>
    </row>
    <row r="23" spans="1:23" x14ac:dyDescent="0.25">
      <c r="A23" t="s">
        <v>92</v>
      </c>
      <c r="B23" s="2" t="s">
        <v>60</v>
      </c>
      <c r="C23" s="2" t="s">
        <v>93</v>
      </c>
      <c r="D23" t="s">
        <v>39</v>
      </c>
      <c r="E23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3" s="4">
        <v>0</v>
      </c>
      <c r="G23" s="7">
        <v>0</v>
      </c>
      <c r="H23" s="7">
        <v>0</v>
      </c>
      <c r="I23" s="4">
        <v>4</v>
      </c>
      <c r="J23" s="7">
        <v>8.9</v>
      </c>
      <c r="K23" s="7">
        <v>12.9</v>
      </c>
      <c r="L23" s="4">
        <v>4.4000000000000004</v>
      </c>
      <c r="M23" s="7">
        <v>9.35</v>
      </c>
      <c r="N23" s="7">
        <v>13.75</v>
      </c>
      <c r="O23" s="4">
        <v>0</v>
      </c>
      <c r="P23" s="7">
        <v>0</v>
      </c>
      <c r="Q23" s="7">
        <v>0</v>
      </c>
      <c r="R23" s="4">
        <f>LARGE(CHOOSE({1;2;3;4},F23,I23,L23,O23),1)+LARGE(CHOOSE({1;2;3;4},F23,I23,L23,O23),2)+LARGE(CHOOSE({1;2;3;4},F23,I23,L23,O23),3)</f>
        <v>8.4</v>
      </c>
      <c r="S23" s="7">
        <f>LARGE(CHOOSE({1;2;3;4},G23,J23,M23,P23),1)+LARGE(CHOOSE({1;2;3;4},G23,J23,M23,P23),2)+LARGE(CHOOSE({1;2;3;4},G23,J23,M23,P23),3)</f>
        <v>18.25</v>
      </c>
      <c r="T23" s="7">
        <f>LARGE(CHOOSE({1;2;3;4},H23,K23,N23,Q23),1)+LARGE(CHOOSE({1;2;3;4},H23,K23,N23,Q23),2)+LARGE(CHOOSE({1;2;3;4},H23,K23,N23,Q23),3)</f>
        <v>26.65</v>
      </c>
      <c r="U23" s="4" cm="1">
        <f t="array" ref="U23">IF(VT[[#This Row],[Number_of_competition]:[Number_of_competition]]&gt;=3,(LARGE(CHOOSE({1;2;3;4},F23,I23,L23,O23),1)+LARGE(CHOOSE({1;2;3;4},F23,I23,L23,O23),2)+LARGE(CHOOSE({1;2;3;4},F23,I23,L23,O23),3))/3,0)</f>
        <v>0</v>
      </c>
      <c r="V23" s="7" cm="1">
        <f t="array" ref="V23">IF(VT[[#This Row],[Number_of_competition]:[Number_of_competition]]&gt;=3,(LARGE(CHOOSE({1;2;3;4},G23,J23,M23,P23),1)+LARGE(CHOOSE({1;2;3;4},G23,J23,M23,P23),2)+LARGE(CHOOSE({1;2;3;4},G23,J23,M23,P23),3))/3,0)</f>
        <v>0</v>
      </c>
      <c r="W23" s="7" cm="1">
        <f t="array" ref="W23">IF(VT[[#This Row],[Number_of_competition]:[Number_of_competition]]&gt;=3,(LARGE(CHOOSE({1;2;3;4},H23,K23,N23,Q23),1)+LARGE(CHOOSE({1;2;3;4},H23,K23,N23,Q23),2)+LARGE(CHOOSE({1;2;3;4},H23,K23,N23,Q23),3))/3,0)</f>
        <v>0</v>
      </c>
    </row>
    <row r="24" spans="1:23" x14ac:dyDescent="0.25">
      <c r="A24" t="s">
        <v>116</v>
      </c>
      <c r="B24" s="2" t="s">
        <v>60</v>
      </c>
      <c r="C24" s="2" t="s">
        <v>117</v>
      </c>
      <c r="D24" t="s">
        <v>62</v>
      </c>
      <c r="E24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4" s="4">
        <v>0</v>
      </c>
      <c r="G24" s="7">
        <v>0</v>
      </c>
      <c r="H24" s="7">
        <v>0</v>
      </c>
      <c r="I24" s="4">
        <v>0</v>
      </c>
      <c r="J24" s="7">
        <v>0</v>
      </c>
      <c r="K24" s="7">
        <v>0</v>
      </c>
      <c r="L24" s="4">
        <v>5.2</v>
      </c>
      <c r="M24" s="7">
        <v>8.1</v>
      </c>
      <c r="N24" s="7">
        <v>13.3</v>
      </c>
      <c r="O24" s="4">
        <v>5.2</v>
      </c>
      <c r="P24" s="7">
        <v>8</v>
      </c>
      <c r="Q24" s="7">
        <v>13.2</v>
      </c>
      <c r="R24" s="4">
        <f>LARGE(CHOOSE({1;2;3;4},F24,I24,L24,O24),1)+LARGE(CHOOSE({1;2;3;4},F24,I24,L24,O24),2)+LARGE(CHOOSE({1;2;3;4},F24,I24,L24,O24),3)</f>
        <v>10.4</v>
      </c>
      <c r="S24" s="7">
        <f>LARGE(CHOOSE({1;2;3;4},G24,J24,M24,P24),1)+LARGE(CHOOSE({1;2;3;4},G24,J24,M24,P24),2)+LARGE(CHOOSE({1;2;3;4},G24,J24,M24,P24),3)</f>
        <v>16.100000000000001</v>
      </c>
      <c r="T24" s="7">
        <f>LARGE(CHOOSE({1;2;3;4},H24,K24,N24,Q24),1)+LARGE(CHOOSE({1;2;3;4},H24,K24,N24,Q24),2)+LARGE(CHOOSE({1;2;3;4},H24,K24,N24,Q24),3)</f>
        <v>26.5</v>
      </c>
      <c r="U24" s="4" cm="1">
        <f t="array" ref="U24">IF(VT[[#This Row],[Number_of_competition]:[Number_of_competition]]&gt;=3,(LARGE(CHOOSE({1;2;3;4},F24,I24,L24,O24),1)+LARGE(CHOOSE({1;2;3;4},F24,I24,L24,O24),2)+LARGE(CHOOSE({1;2;3;4},F24,I24,L24,O24),3))/3,0)</f>
        <v>0</v>
      </c>
      <c r="V24" s="7" cm="1">
        <f t="array" ref="V24">IF(VT[[#This Row],[Number_of_competition]:[Number_of_competition]]&gt;=3,(LARGE(CHOOSE({1;2;3;4},G24,J24,M24,P24),1)+LARGE(CHOOSE({1;2;3;4},G24,J24,M24,P24),2)+LARGE(CHOOSE({1;2;3;4},G24,J24,M24,P24),3))/3,0)</f>
        <v>0</v>
      </c>
      <c r="W24" s="7" cm="1">
        <f t="array" ref="W24">IF(VT[[#This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70</v>
      </c>
      <c r="B25" s="2" t="s">
        <v>60</v>
      </c>
      <c r="C25" s="2" t="s">
        <v>71</v>
      </c>
      <c r="D25" t="s">
        <v>72</v>
      </c>
      <c r="E25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5" s="4">
        <v>0</v>
      </c>
      <c r="G25" s="7">
        <v>0</v>
      </c>
      <c r="H25" s="7">
        <v>0</v>
      </c>
      <c r="I25" s="4">
        <v>5.2</v>
      </c>
      <c r="J25" s="7">
        <v>8.25</v>
      </c>
      <c r="K25" s="7">
        <v>13.45</v>
      </c>
      <c r="L25" s="4">
        <v>5.2</v>
      </c>
      <c r="M25" s="7">
        <v>7.65</v>
      </c>
      <c r="N25" s="7">
        <v>12.85</v>
      </c>
      <c r="O25" s="4">
        <v>0</v>
      </c>
      <c r="P25" s="7">
        <v>0</v>
      </c>
      <c r="Q25" s="7">
        <v>0</v>
      </c>
      <c r="R25" s="4">
        <f>LARGE(CHOOSE({1;2;3;4},F25,I25,L25,O25),1)+LARGE(CHOOSE({1;2;3;4},F25,I25,L25,O25),2)+LARGE(CHOOSE({1;2;3;4},F25,I25,L25,O25),3)</f>
        <v>10.4</v>
      </c>
      <c r="S25" s="7">
        <f>LARGE(CHOOSE({1;2;3;4},G25,J25,M25,P25),1)+LARGE(CHOOSE({1;2;3;4},G25,J25,M25,P25),2)+LARGE(CHOOSE({1;2;3;4},G25,J25,M25,P25),3)</f>
        <v>15.9</v>
      </c>
      <c r="T25" s="7">
        <f>LARGE(CHOOSE({1;2;3;4},H25,K25,N25,Q25),1)+LARGE(CHOOSE({1;2;3;4},H25,K25,N25,Q25),2)+LARGE(CHOOSE({1;2;3;4},H25,K25,N25,Q25),3)</f>
        <v>26.299999999999997</v>
      </c>
      <c r="U25" s="4" cm="1">
        <f t="array" ref="U25">IF(VT[[#This Row],[Number_of_competition]:[Number_of_competition]]&gt;=3,(LARGE(CHOOSE({1;2;3;4},F25,I25,L25,O25),1)+LARGE(CHOOSE({1;2;3;4},F25,I25,L25,O25),2)+LARGE(CHOOSE({1;2;3;4},F25,I25,L25,O25),3))/3,0)</f>
        <v>0</v>
      </c>
      <c r="V25" s="7" cm="1">
        <f t="array" ref="V25">IF(VT[[#This Row],[Number_of_competition]:[Number_of_competition]]&gt;=3,(LARGE(CHOOSE({1;2;3;4},G25,J25,M25,P25),1)+LARGE(CHOOSE({1;2;3;4},G25,J25,M25,P25),2)+LARGE(CHOOSE({1;2;3;4},G25,J25,M25,P25),3))/3,0)</f>
        <v>0</v>
      </c>
      <c r="W25" s="7" cm="1">
        <f t="array" ref="W25">IF(VT[[#This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127</v>
      </c>
      <c r="B26" s="2" t="s">
        <v>60</v>
      </c>
      <c r="C26" s="2" t="s">
        <v>128</v>
      </c>
      <c r="D26" t="s">
        <v>72</v>
      </c>
      <c r="E26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6" s="4">
        <v>4</v>
      </c>
      <c r="G26" s="7">
        <v>9</v>
      </c>
      <c r="H26" s="7">
        <v>13</v>
      </c>
      <c r="I26" s="4">
        <v>0</v>
      </c>
      <c r="J26" s="7">
        <v>0</v>
      </c>
      <c r="K26" s="7">
        <v>0</v>
      </c>
      <c r="L26" s="4">
        <v>4</v>
      </c>
      <c r="M26" s="7">
        <v>9.15</v>
      </c>
      <c r="N26" s="7">
        <v>13.15</v>
      </c>
      <c r="O26" s="4">
        <v>0</v>
      </c>
      <c r="P26" s="7">
        <v>0</v>
      </c>
      <c r="Q26" s="7">
        <v>0</v>
      </c>
      <c r="R26" s="4">
        <f>LARGE(CHOOSE({1;2;3;4},F26,I26,L26,O26),1)+LARGE(CHOOSE({1;2;3;4},F26,I26,L26,O26),2)+LARGE(CHOOSE({1;2;3;4},F26,I26,L26,O26),3)</f>
        <v>8</v>
      </c>
      <c r="S26" s="7">
        <f>LARGE(CHOOSE({1;2;3;4},G26,J26,M26,P26),1)+LARGE(CHOOSE({1;2;3;4},G26,J26,M26,P26),2)+LARGE(CHOOSE({1;2;3;4},G26,J26,M26,P26),3)</f>
        <v>18.149999999999999</v>
      </c>
      <c r="T26" s="7">
        <f>LARGE(CHOOSE({1;2;3;4},H26,K26,N26,Q26),1)+LARGE(CHOOSE({1;2;3;4},H26,K26,N26,Q26),2)+LARGE(CHOOSE({1;2;3;4},H26,K26,N26,Q26),3)</f>
        <v>26.15</v>
      </c>
      <c r="U26" s="4" cm="1">
        <f t="array" ref="U26">IF(VT[[#This Row],[Number_of_competition]:[Number_of_competition]]&gt;=3,(LARGE(CHOOSE({1;2;3;4},F26,I26,L26,O26),1)+LARGE(CHOOSE({1;2;3;4},F26,I26,L26,O26),2)+LARGE(CHOOSE({1;2;3;4},F26,I26,L26,O26),3))/3,0)</f>
        <v>0</v>
      </c>
      <c r="V26" s="7" cm="1">
        <f t="array" ref="V26">IF(VT[[#This Row],[Number_of_competition]:[Number_of_competition]]&gt;=3,(LARGE(CHOOSE({1;2;3;4},G26,J26,M26,P26),1)+LARGE(CHOOSE({1;2;3;4},G26,J26,M26,P26),2)+LARGE(CHOOSE({1;2;3;4},G26,J26,M26,P26),3))/3,0)</f>
        <v>0</v>
      </c>
      <c r="W26" s="7" cm="1">
        <f t="array" ref="W26">IF(VT[[#This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65</v>
      </c>
      <c r="B27" s="2" t="s">
        <v>60</v>
      </c>
      <c r="C27" s="2" t="s">
        <v>66</v>
      </c>
      <c r="D27" t="s">
        <v>67</v>
      </c>
      <c r="E27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7" s="4">
        <v>0</v>
      </c>
      <c r="G27" s="7">
        <v>0</v>
      </c>
      <c r="H27" s="7">
        <v>0</v>
      </c>
      <c r="I27" s="4">
        <v>4</v>
      </c>
      <c r="J27" s="7">
        <v>9.1</v>
      </c>
      <c r="K27" s="7">
        <v>13.1</v>
      </c>
      <c r="L27" s="4">
        <v>0</v>
      </c>
      <c r="M27" s="7">
        <v>0</v>
      </c>
      <c r="N27" s="7">
        <v>0</v>
      </c>
      <c r="O27" s="4">
        <v>4</v>
      </c>
      <c r="P27" s="7">
        <v>8.6999999999999993</v>
      </c>
      <c r="Q27" s="7">
        <v>12.7</v>
      </c>
      <c r="R27" s="4">
        <f>LARGE(CHOOSE({1;2;3;4},F27,I27,L27,O27),1)+LARGE(CHOOSE({1;2;3;4},F27,I27,L27,O27),2)+LARGE(CHOOSE({1;2;3;4},F27,I27,L27,O27),3)</f>
        <v>8</v>
      </c>
      <c r="S27" s="7">
        <f>LARGE(CHOOSE({1;2;3;4},G27,J27,M27,P27),1)+LARGE(CHOOSE({1;2;3;4},G27,J27,M27,P27),2)+LARGE(CHOOSE({1;2;3;4},G27,J27,M27,P27),3)</f>
        <v>17.799999999999997</v>
      </c>
      <c r="T27" s="7">
        <f>LARGE(CHOOSE({1;2;3;4},H27,K27,N27,Q27),1)+LARGE(CHOOSE({1;2;3;4},H27,K27,N27,Q27),2)+LARGE(CHOOSE({1;2;3;4},H27,K27,N27,Q27),3)</f>
        <v>25.799999999999997</v>
      </c>
      <c r="U27" s="4" cm="1">
        <f t="array" ref="U27">IF(VT[[#This Row],[Number_of_competition]:[Number_of_competition]]&gt;=3,(LARGE(CHOOSE({1;2;3;4},F27,I27,L27,O27),1)+LARGE(CHOOSE({1;2;3;4},F27,I27,L27,O27),2)+LARGE(CHOOSE({1;2;3;4},F27,I27,L27,O27),3))/3,0)</f>
        <v>0</v>
      </c>
      <c r="V27" s="7" cm="1">
        <f t="array" ref="V27">IF(VT[[#This Row],[Number_of_competition]:[Number_of_competition]]&gt;=3,(LARGE(CHOOSE({1;2;3;4},G27,J27,M27,P27),1)+LARGE(CHOOSE({1;2;3;4},G27,J27,M27,P27),2)+LARGE(CHOOSE({1;2;3;4},G27,J27,M27,P27),3))/3,0)</f>
        <v>0</v>
      </c>
      <c r="W27" s="7" cm="1">
        <f t="array" ref="W27">IF(VT[[#This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112</v>
      </c>
      <c r="B28" s="2" t="s">
        <v>26</v>
      </c>
      <c r="C28" s="2" t="s">
        <v>113</v>
      </c>
      <c r="D28" t="s">
        <v>31</v>
      </c>
      <c r="E28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8" s="4">
        <v>4</v>
      </c>
      <c r="G28" s="7">
        <v>8.5</v>
      </c>
      <c r="H28" s="7">
        <v>12.5</v>
      </c>
      <c r="I28" s="4">
        <v>0</v>
      </c>
      <c r="J28" s="7">
        <v>0</v>
      </c>
      <c r="K28" s="7">
        <v>0</v>
      </c>
      <c r="L28" s="4">
        <v>0</v>
      </c>
      <c r="M28" s="7">
        <v>0</v>
      </c>
      <c r="N28" s="7">
        <v>0</v>
      </c>
      <c r="O28" s="4">
        <v>4</v>
      </c>
      <c r="P28" s="7">
        <v>8.9</v>
      </c>
      <c r="Q28" s="7">
        <v>12.9</v>
      </c>
      <c r="R28" s="4">
        <f>LARGE(CHOOSE({1;2;3;4},F28,I28,L28,O28),1)+LARGE(CHOOSE({1;2;3;4},F28,I28,L28,O28),2)+LARGE(CHOOSE({1;2;3;4},F28,I28,L28,O28),3)</f>
        <v>8</v>
      </c>
      <c r="S28" s="7">
        <f>LARGE(CHOOSE({1;2;3;4},G28,J28,M28,P28),1)+LARGE(CHOOSE({1;2;3;4},G28,J28,M28,P28),2)+LARGE(CHOOSE({1;2;3;4},G28,J28,M28,P28),3)</f>
        <v>17.399999999999999</v>
      </c>
      <c r="T28" s="7">
        <f>LARGE(CHOOSE({1;2;3;4},H28,K28,N28,Q28),1)+LARGE(CHOOSE({1;2;3;4},H28,K28,N28,Q28),2)+LARGE(CHOOSE({1;2;3;4},H28,K28,N28,Q28),3)</f>
        <v>25.4</v>
      </c>
      <c r="U28" s="4" cm="1">
        <f t="array" ref="U28">IF(VT[[#This Row],[Number_of_competition]:[Number_of_competition]]&gt;=3,(LARGE(CHOOSE({1;2;3;4},F28,I28,L28,O28),1)+LARGE(CHOOSE({1;2;3;4},F28,I28,L28,O28),2)+LARGE(CHOOSE({1;2;3;4},F28,I28,L28,O28),3))/3,0)</f>
        <v>0</v>
      </c>
      <c r="V28" s="7" cm="1">
        <f t="array" ref="V28">IF(VT[[#This Row],[Number_of_competition]:[Number_of_competition]]&gt;=3,(LARGE(CHOOSE({1;2;3;4},G28,J28,M28,P28),1)+LARGE(CHOOSE({1;2;3;4},G28,J28,M28,P28),2)+LARGE(CHOOSE({1;2;3;4},G28,J28,M28,P28),3))/3,0)</f>
        <v>0</v>
      </c>
      <c r="W28" s="7" cm="1">
        <f t="array" ref="W28">IF(VT[[#This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75</v>
      </c>
      <c r="B29" s="2" t="s">
        <v>60</v>
      </c>
      <c r="C29" s="2" t="s">
        <v>76</v>
      </c>
      <c r="D29" t="s">
        <v>28</v>
      </c>
      <c r="E29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29" s="4">
        <v>0</v>
      </c>
      <c r="G29" s="7">
        <v>0</v>
      </c>
      <c r="H29" s="7">
        <v>0</v>
      </c>
      <c r="I29" s="4">
        <v>3.2</v>
      </c>
      <c r="J29" s="7">
        <v>9.4499999999999993</v>
      </c>
      <c r="K29" s="7">
        <v>12.65</v>
      </c>
      <c r="L29" s="4">
        <v>3.2</v>
      </c>
      <c r="M29" s="7">
        <v>9.0500000000000007</v>
      </c>
      <c r="N29" s="7">
        <v>12.25</v>
      </c>
      <c r="O29" s="4">
        <v>0</v>
      </c>
      <c r="P29" s="7">
        <v>0</v>
      </c>
      <c r="Q29" s="7">
        <v>0</v>
      </c>
      <c r="R29" s="4">
        <f>LARGE(CHOOSE({1;2;3;4},F29,I29,L29,O29),1)+LARGE(CHOOSE({1;2;3;4},F29,I29,L29,O29),2)+LARGE(CHOOSE({1;2;3;4},F29,I29,L29,O29),3)</f>
        <v>6.4</v>
      </c>
      <c r="S29" s="7">
        <f>LARGE(CHOOSE({1;2;3;4},G29,J29,M29,P29),1)+LARGE(CHOOSE({1;2;3;4},G29,J29,M29,P29),2)+LARGE(CHOOSE({1;2;3;4},G29,J29,M29,P29),3)</f>
        <v>18.5</v>
      </c>
      <c r="T29" s="7">
        <f>LARGE(CHOOSE({1;2;3;4},H29,K29,N29,Q29),1)+LARGE(CHOOSE({1;2;3;4},H29,K29,N29,Q29),2)+LARGE(CHOOSE({1;2;3;4},H29,K29,N29,Q29),3)</f>
        <v>24.9</v>
      </c>
      <c r="U29" s="4" cm="1">
        <f t="array" ref="U29">IF(VT[[#This Row],[Number_of_competition]:[Number_of_competition]]&gt;=3,(LARGE(CHOOSE({1;2;3;4},F29,I29,L29,O29),1)+LARGE(CHOOSE({1;2;3;4},F29,I29,L29,O29),2)+LARGE(CHOOSE({1;2;3;4},F29,I29,L29,O29),3))/3,0)</f>
        <v>0</v>
      </c>
      <c r="V29" s="7" cm="1">
        <f t="array" ref="V29">IF(VT[[#This Row],[Number_of_competition]:[Number_of_competition]]&gt;=3,(LARGE(CHOOSE({1;2;3;4},G29,J29,M29,P29),1)+LARGE(CHOOSE({1;2;3;4},G29,J29,M29,P29),2)+LARGE(CHOOSE({1;2;3;4},G29,J29,M29,P29),3))/3,0)</f>
        <v>0</v>
      </c>
      <c r="W29" s="7" cm="1">
        <f t="array" ref="W29">IF(VT[[#This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94</v>
      </c>
      <c r="B30" s="2" t="s">
        <v>60</v>
      </c>
      <c r="C30" s="2" t="s">
        <v>95</v>
      </c>
      <c r="D30" t="s">
        <v>72</v>
      </c>
      <c r="E30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30" s="4">
        <v>0</v>
      </c>
      <c r="G30" s="7">
        <v>0</v>
      </c>
      <c r="H30" s="7">
        <v>0</v>
      </c>
      <c r="I30" s="4">
        <v>2.8</v>
      </c>
      <c r="J30" s="7">
        <v>9.4</v>
      </c>
      <c r="K30" s="7">
        <v>12.2</v>
      </c>
      <c r="L30" s="4">
        <v>2.8</v>
      </c>
      <c r="M30" s="7">
        <v>9.1</v>
      </c>
      <c r="N30" s="7">
        <v>11.9</v>
      </c>
      <c r="O30" s="4">
        <v>0</v>
      </c>
      <c r="P30" s="7">
        <v>0</v>
      </c>
      <c r="Q30" s="7">
        <v>0</v>
      </c>
      <c r="R30" s="4">
        <f>LARGE(CHOOSE({1;2;3;4},F30,I30,L30,O30),1)+LARGE(CHOOSE({1;2;3;4},F30,I30,L30,O30),2)+LARGE(CHOOSE({1;2;3;4},F30,I30,L30,O30),3)</f>
        <v>5.6</v>
      </c>
      <c r="S30" s="7">
        <f>LARGE(CHOOSE({1;2;3;4},G30,J30,M30,P30),1)+LARGE(CHOOSE({1;2;3;4},G30,J30,M30,P30),2)+LARGE(CHOOSE({1;2;3;4},G30,J30,M30,P30),3)</f>
        <v>18.5</v>
      </c>
      <c r="T30" s="7">
        <f>LARGE(CHOOSE({1;2;3;4},H30,K30,N30,Q30),1)+LARGE(CHOOSE({1;2;3;4},H30,K30,N30,Q30),2)+LARGE(CHOOSE({1;2;3;4},H30,K30,N30,Q30),3)</f>
        <v>24.1</v>
      </c>
      <c r="U30" s="4" cm="1">
        <f t="array" ref="U30">IF(VT[[#This Row],[Number_of_competition]:[Number_of_competition]]&gt;=3,(LARGE(CHOOSE({1;2;3;4},F30,I30,L30,O30),1)+LARGE(CHOOSE({1;2;3;4},F30,I30,L30,O30),2)+LARGE(CHOOSE({1;2;3;4},F30,I30,L30,O30),3))/3,0)</f>
        <v>0</v>
      </c>
      <c r="V30" s="7" cm="1">
        <f t="array" ref="V30">IF(VT[[#This Row],[Number_of_competition]:[Number_of_competition]]&gt;=3,(LARGE(CHOOSE({1;2;3;4},G30,J30,M30,P30),1)+LARGE(CHOOSE({1;2;3;4},G30,J30,M30,P30),2)+LARGE(CHOOSE({1;2;3;4},G30,J30,M30,P30),3))/3,0)</f>
        <v>0</v>
      </c>
      <c r="W30" s="7" cm="1">
        <f t="array" ref="W30">IF(VT[[#This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86</v>
      </c>
      <c r="B31" s="2" t="s">
        <v>60</v>
      </c>
      <c r="C31" s="2" t="s">
        <v>87</v>
      </c>
      <c r="D31" t="s">
        <v>72</v>
      </c>
      <c r="E31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31" s="4">
        <v>2.8</v>
      </c>
      <c r="G31" s="7">
        <v>9.1999999999999993</v>
      </c>
      <c r="H31" s="7">
        <v>12</v>
      </c>
      <c r="I31" s="4">
        <v>0</v>
      </c>
      <c r="J31" s="7">
        <v>0</v>
      </c>
      <c r="K31" s="7">
        <v>0</v>
      </c>
      <c r="L31" s="4">
        <v>0</v>
      </c>
      <c r="M31" s="7">
        <v>0</v>
      </c>
      <c r="N31" s="7">
        <v>0</v>
      </c>
      <c r="O31" s="4">
        <v>2.8</v>
      </c>
      <c r="P31" s="7">
        <v>8.3000000000000007</v>
      </c>
      <c r="Q31" s="7">
        <v>11.1</v>
      </c>
      <c r="R31" s="4">
        <f>LARGE(CHOOSE({1;2;3;4},F31,I31,L31,O31),1)+LARGE(CHOOSE({1;2;3;4},F31,I31,L31,O31),2)+LARGE(CHOOSE({1;2;3;4},F31,I31,L31,O31),3)</f>
        <v>5.6</v>
      </c>
      <c r="S31" s="7">
        <f>LARGE(CHOOSE({1;2;3;4},G31,J31,M31,P31),1)+LARGE(CHOOSE({1;2;3;4},G31,J31,M31,P31),2)+LARGE(CHOOSE({1;2;3;4},G31,J31,M31,P31),3)</f>
        <v>17.5</v>
      </c>
      <c r="T31" s="7">
        <f>LARGE(CHOOSE({1;2;3;4},H31,K31,N31,Q31),1)+LARGE(CHOOSE({1;2;3;4},H31,K31,N31,Q31),2)+LARGE(CHOOSE({1;2;3;4},H31,K31,N31,Q31),3)</f>
        <v>23.1</v>
      </c>
      <c r="U31" s="4" cm="1">
        <f t="array" ref="U31">IF(VT[[#This Row],[Number_of_competition]:[Number_of_competition]]&gt;=3,(LARGE(CHOOSE({1;2;3;4},F31,I31,L31,O31),1)+LARGE(CHOOSE({1;2;3;4},F31,I31,L31,O31),2)+LARGE(CHOOSE({1;2;3;4},F31,I31,L31,O31),3))/3,0)</f>
        <v>0</v>
      </c>
      <c r="V31" s="7" cm="1">
        <f t="array" ref="V31">IF(VT[[#This Row],[Number_of_competition]:[Number_of_competition]]&gt;=3,(LARGE(CHOOSE({1;2;3;4},G31,J31,M31,P31),1)+LARGE(CHOOSE({1;2;3;4},G31,J31,M31,P31),2)+LARGE(CHOOSE({1;2;3;4},G31,J31,M31,P31),3))/3,0)</f>
        <v>0</v>
      </c>
      <c r="W31" s="7" cm="1">
        <f t="array" ref="W31">IF(VT[[#This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106</v>
      </c>
      <c r="B32" s="2" t="s">
        <v>60</v>
      </c>
      <c r="C32" s="2" t="s">
        <v>107</v>
      </c>
      <c r="D32" t="s">
        <v>31</v>
      </c>
      <c r="E32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32" s="4">
        <v>0</v>
      </c>
      <c r="G32" s="7">
        <v>0</v>
      </c>
      <c r="H32" s="7">
        <v>0</v>
      </c>
      <c r="I32" s="4">
        <v>3.2</v>
      </c>
      <c r="J32" s="7">
        <v>9.0500000000000007</v>
      </c>
      <c r="K32" s="7">
        <v>12.25</v>
      </c>
      <c r="L32" s="4">
        <v>3.2</v>
      </c>
      <c r="M32" s="7">
        <v>7.4</v>
      </c>
      <c r="N32" s="7">
        <v>10.6</v>
      </c>
      <c r="O32" s="4">
        <v>0</v>
      </c>
      <c r="P32" s="7">
        <v>0</v>
      </c>
      <c r="Q32" s="7">
        <v>0</v>
      </c>
      <c r="R32" s="4">
        <f>LARGE(CHOOSE({1;2;3;4},F32,I32,L32,O32),1)+LARGE(CHOOSE({1;2;3;4},F32,I32,L32,O32),2)+LARGE(CHOOSE({1;2;3;4},F32,I32,L32,O32),3)</f>
        <v>6.4</v>
      </c>
      <c r="S32" s="7">
        <f>LARGE(CHOOSE({1;2;3;4},G32,J32,M32,P32),1)+LARGE(CHOOSE({1;2;3;4},G32,J32,M32,P32),2)+LARGE(CHOOSE({1;2;3;4},G32,J32,M32,P32),3)</f>
        <v>16.450000000000003</v>
      </c>
      <c r="T32" s="7">
        <f>LARGE(CHOOSE({1;2;3;4},H32,K32,N32,Q32),1)+LARGE(CHOOSE({1;2;3;4},H32,K32,N32,Q32),2)+LARGE(CHOOSE({1;2;3;4},H32,K32,N32,Q32),3)</f>
        <v>22.85</v>
      </c>
      <c r="U32" s="4" cm="1">
        <f t="array" ref="U32">IF(VT[[#This Row],[Number_of_competition]:[Number_of_competition]]&gt;=3,(LARGE(CHOOSE({1;2;3;4},F32,I32,L32,O32),1)+LARGE(CHOOSE({1;2;3;4},F32,I32,L32,O32),2)+LARGE(CHOOSE({1;2;3;4},F32,I32,L32,O32),3))/3,0)</f>
        <v>0</v>
      </c>
      <c r="V32" s="7" cm="1">
        <f t="array" ref="V32">IF(VT[[#This Row],[Number_of_competition]:[Number_of_competition]]&gt;=3,(LARGE(CHOOSE({1;2;3;4},G32,J32,M32,P32),1)+LARGE(CHOOSE({1;2;3;4},G32,J32,M32,P32),2)+LARGE(CHOOSE({1;2;3;4},G32,J32,M32,P32),3))/3,0)</f>
        <v>0</v>
      </c>
      <c r="W32" s="7" cm="1">
        <f t="array" ref="W32">IF(VT[[#This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120</v>
      </c>
      <c r="B33" s="2" t="s">
        <v>26</v>
      </c>
      <c r="C33" s="2" t="s">
        <v>121</v>
      </c>
      <c r="D33" t="s">
        <v>39</v>
      </c>
      <c r="E33" s="6">
        <f>COUNTIF(VT[[#This Row],[bydgoszcz_VT_Total_Score]],"&gt;0")+COUNTIF(VT[[#This Row],[zabrze_VT_Total_Score]],"&gt;0")+COUNTIF(VT[[#This Row],[cracow_VT_Total_Score]],"&gt;0")+COUNTIF(VT[[#This Row],[gdansk_VT_Total_Score]],"&gt;0")</f>
        <v>2</v>
      </c>
      <c r="F33" s="4">
        <v>3.2</v>
      </c>
      <c r="G33" s="7">
        <v>9</v>
      </c>
      <c r="H33" s="7">
        <v>12.2</v>
      </c>
      <c r="I33" s="4">
        <v>0</v>
      </c>
      <c r="J33" s="7">
        <v>0</v>
      </c>
      <c r="K33" s="7">
        <v>0</v>
      </c>
      <c r="L33" s="4">
        <v>2.4</v>
      </c>
      <c r="M33" s="7">
        <v>7.8</v>
      </c>
      <c r="N33" s="7">
        <v>10.199999999999999</v>
      </c>
      <c r="O33" s="4">
        <v>0</v>
      </c>
      <c r="P33" s="7">
        <v>0</v>
      </c>
      <c r="Q33" s="7">
        <v>0</v>
      </c>
      <c r="R33" s="4">
        <f>LARGE(CHOOSE({1;2;3;4},F33,I33,L33,O33),1)+LARGE(CHOOSE({1;2;3;4},F33,I33,L33,O33),2)+LARGE(CHOOSE({1;2;3;4},F33,I33,L33,O33),3)</f>
        <v>5.6</v>
      </c>
      <c r="S33" s="7">
        <f>LARGE(CHOOSE({1;2;3;4},G33,J33,M33,P33),1)+LARGE(CHOOSE({1;2;3;4},G33,J33,M33,P33),2)+LARGE(CHOOSE({1;2;3;4},G33,J33,M33,P33),3)</f>
        <v>16.8</v>
      </c>
      <c r="T33" s="7">
        <f>LARGE(CHOOSE({1;2;3;4},H33,K33,N33,Q33),1)+LARGE(CHOOSE({1;2;3;4},H33,K33,N33,Q33),2)+LARGE(CHOOSE({1;2;3;4},H33,K33,N33,Q33),3)</f>
        <v>22.4</v>
      </c>
      <c r="U33" s="4" cm="1">
        <f t="array" ref="U33">IF(VT[[#This Row],[Number_of_competition]:[Number_of_competition]]&gt;=3,(LARGE(CHOOSE({1;2;3;4},F33,I33,L33,O33),1)+LARGE(CHOOSE({1;2;3;4},F33,I33,L33,O33),2)+LARGE(CHOOSE({1;2;3;4},F33,I33,L33,O33),3))/3,0)</f>
        <v>0</v>
      </c>
      <c r="V33" s="7" cm="1">
        <f t="array" ref="V33">IF(VT[[#This Row],[Number_of_competition]:[Number_of_competition]]&gt;=3,(LARGE(CHOOSE({1;2;3;4},G33,J33,M33,P33),1)+LARGE(CHOOSE({1;2;3;4},G33,J33,M33,P33),2)+LARGE(CHOOSE({1;2;3;4},G33,J33,M33,P33),3))/3,0)</f>
        <v>0</v>
      </c>
      <c r="W33" s="7" cm="1">
        <f t="array" ref="W33">IF(VT[[#This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118</v>
      </c>
      <c r="B34" s="2" t="s">
        <v>60</v>
      </c>
      <c r="C34" s="2" t="s">
        <v>119</v>
      </c>
      <c r="D34" t="s">
        <v>31</v>
      </c>
      <c r="E34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4" s="4">
        <v>0</v>
      </c>
      <c r="G34" s="7">
        <v>0</v>
      </c>
      <c r="H34" s="7">
        <v>0</v>
      </c>
      <c r="I34" s="4">
        <v>0</v>
      </c>
      <c r="J34" s="7">
        <v>0</v>
      </c>
      <c r="K34" s="7">
        <v>0</v>
      </c>
      <c r="L34" s="4">
        <v>4</v>
      </c>
      <c r="M34" s="7">
        <v>9.3000000000000007</v>
      </c>
      <c r="N34" s="7">
        <v>13.3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4</v>
      </c>
      <c r="S34" s="7">
        <f>LARGE(CHOOSE({1;2;3;4},G34,J34,M34,P34),1)+LARGE(CHOOSE({1;2;3;4},G34,J34,M34,P34),2)+LARGE(CHOOSE({1;2;3;4},G34,J34,M34,P34),3)</f>
        <v>9.3000000000000007</v>
      </c>
      <c r="T34" s="7">
        <f>LARGE(CHOOSE({1;2;3;4},H34,K34,N34,Q34),1)+LARGE(CHOOSE({1;2;3;4},H34,K34,N34,Q34),2)+LARGE(CHOOSE({1;2;3;4},H34,K34,N34,Q34),3)</f>
        <v>13.3</v>
      </c>
      <c r="U34" s="4" cm="1">
        <f t="array" ref="U34">IF(VT[[#This Row],[Number_of_competition]:[Number_of_competition]]&gt;=3,(LARGE(CHOOSE({1;2;3;4},F34,I34,L34,O34),1)+LARGE(CHOOSE({1;2;3;4},F34,I34,L34,O34),2)+LARGE(CHOOSE({1;2;3;4},F34,I34,L34,O34),3))/3,0)</f>
        <v>0</v>
      </c>
      <c r="V34" s="7" cm="1">
        <f t="array" ref="V34">IF(VT[[#This Row],[Number_of_competition]:[Number_of_competition]]&gt;=3,(LARGE(CHOOSE({1;2;3;4},G34,J34,M34,P34),1)+LARGE(CHOOSE({1;2;3;4},G34,J34,M34,P34),2)+LARGE(CHOOSE({1;2;3;4},G34,J34,M34,P34),3))/3,0)</f>
        <v>0</v>
      </c>
      <c r="W34" s="7" cm="1">
        <f t="array" ref="W34">IF(VT[[#This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102</v>
      </c>
      <c r="B35" s="2" t="s">
        <v>60</v>
      </c>
      <c r="C35" s="2" t="s">
        <v>103</v>
      </c>
      <c r="D35" t="s">
        <v>31</v>
      </c>
      <c r="E35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5" s="4">
        <v>0</v>
      </c>
      <c r="G35" s="7">
        <v>0</v>
      </c>
      <c r="H35" s="7">
        <v>0</v>
      </c>
      <c r="I35" s="4">
        <v>4</v>
      </c>
      <c r="J35" s="7">
        <v>8.85</v>
      </c>
      <c r="K35" s="7">
        <v>12.85</v>
      </c>
      <c r="L35" s="4">
        <v>0</v>
      </c>
      <c r="M35" s="7">
        <v>0</v>
      </c>
      <c r="N35" s="7">
        <v>0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4</v>
      </c>
      <c r="S35" s="7">
        <f>LARGE(CHOOSE({1;2;3;4},G35,J35,M35,P35),1)+LARGE(CHOOSE({1;2;3;4},G35,J35,M35,P35),2)+LARGE(CHOOSE({1;2;3;4},G35,J35,M35,P35),3)</f>
        <v>8.85</v>
      </c>
      <c r="T35" s="7">
        <f>LARGE(CHOOSE({1;2;3;4},H35,K35,N35,Q35),1)+LARGE(CHOOSE({1;2;3;4},H35,K35,N35,Q35),2)+LARGE(CHOOSE({1;2;3;4},H35,K35,N35,Q35),3)</f>
        <v>12.85</v>
      </c>
      <c r="U35" s="4" cm="1">
        <f t="array" ref="U35">IF(VT[[#This Row],[Number_of_competition]:[Number_of_competition]]&gt;=3,(LARGE(CHOOSE({1;2;3;4},F35,I35,L35,O35),1)+LARGE(CHOOSE({1;2;3;4},F35,I35,L35,O35),2)+LARGE(CHOOSE({1;2;3;4},F35,I35,L35,O35),3))/3,0)</f>
        <v>0</v>
      </c>
      <c r="V35" s="7" cm="1">
        <f t="array" ref="V35">IF(VT[[#This Row],[Number_of_competition]:[Number_of_competition]]&gt;=3,(LARGE(CHOOSE({1;2;3;4},G35,J35,M35,P35),1)+LARGE(CHOOSE({1;2;3;4},G35,J35,M35,P35),2)+LARGE(CHOOSE({1;2;3;4},G35,J35,M35,P35),3))/3,0)</f>
        <v>0</v>
      </c>
      <c r="W35" s="7" cm="1">
        <f t="array" ref="W35">IF(VT[[#This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142</v>
      </c>
      <c r="B36" s="2" t="s">
        <v>60</v>
      </c>
      <c r="C36" s="2" t="s">
        <v>143</v>
      </c>
      <c r="D36" t="s">
        <v>62</v>
      </c>
      <c r="E36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6" s="4">
        <v>3.2</v>
      </c>
      <c r="G36" s="7">
        <v>9.5</v>
      </c>
      <c r="H36" s="7">
        <v>12.7</v>
      </c>
      <c r="I36" s="4">
        <v>0</v>
      </c>
      <c r="J36" s="7">
        <v>0</v>
      </c>
      <c r="K36" s="7">
        <v>0</v>
      </c>
      <c r="L36" s="4">
        <v>0</v>
      </c>
      <c r="M36" s="7">
        <v>0</v>
      </c>
      <c r="N36" s="7">
        <v>0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3.2</v>
      </c>
      <c r="S36" s="7">
        <f>LARGE(CHOOSE({1;2;3;4},G36,J36,M36,P36),1)+LARGE(CHOOSE({1;2;3;4},G36,J36,M36,P36),2)+LARGE(CHOOSE({1;2;3;4},G36,J36,M36,P36),3)</f>
        <v>9.5</v>
      </c>
      <c r="T36" s="7">
        <f>LARGE(CHOOSE({1;2;3;4},H36,K36,N36,Q36),1)+LARGE(CHOOSE({1;2;3;4},H36,K36,N36,Q36),2)+LARGE(CHOOSE({1;2;3;4},H36,K36,N36,Q36),3)</f>
        <v>12.7</v>
      </c>
      <c r="U36" s="4" cm="1">
        <f t="array" ref="U36">IF(VT[[#This Row],[Number_of_competition]:[Number_of_competition]]&gt;=3,(LARGE(CHOOSE({1;2;3;4},F36,I36,L36,O36),1)+LARGE(CHOOSE({1;2;3;4},F36,I36,L36,O36),2)+LARGE(CHOOSE({1;2;3;4},F36,I36,L36,O36),3))/3,0)</f>
        <v>0</v>
      </c>
      <c r="V36" s="7" cm="1">
        <f t="array" ref="V36">IF(VT[[#This Row],[Number_of_competition]:[Number_of_competition]]&gt;=3,(LARGE(CHOOSE({1;2;3;4},G36,J36,M36,P36),1)+LARGE(CHOOSE({1;2;3;4},G36,J36,M36,P36),2)+LARGE(CHOOSE({1;2;3;4},G36,J36,M36,P36),3))/3,0)</f>
        <v>0</v>
      </c>
      <c r="W36" s="7" cm="1">
        <f t="array" ref="W36">IF(VT[[#This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104</v>
      </c>
      <c r="B37" s="2" t="s">
        <v>60</v>
      </c>
      <c r="C37" s="2" t="s">
        <v>105</v>
      </c>
      <c r="D37" t="s">
        <v>28</v>
      </c>
      <c r="E37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7" s="4">
        <v>0</v>
      </c>
      <c r="G37" s="7">
        <v>0</v>
      </c>
      <c r="H37" s="7">
        <v>0</v>
      </c>
      <c r="I37" s="4">
        <v>3.2</v>
      </c>
      <c r="J37" s="7">
        <v>8.8000000000000007</v>
      </c>
      <c r="K37" s="7">
        <v>12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3.2</v>
      </c>
      <c r="S37" s="7">
        <f>LARGE(CHOOSE({1;2;3;4},G37,J37,M37,P37),1)+LARGE(CHOOSE({1;2;3;4},G37,J37,M37,P37),2)+LARGE(CHOOSE({1;2;3;4},G37,J37,M37,P37),3)</f>
        <v>8.8000000000000007</v>
      </c>
      <c r="T37" s="7">
        <f>LARGE(CHOOSE({1;2;3;4},H37,K37,N37,Q37),1)+LARGE(CHOOSE({1;2;3;4},H37,K37,N37,Q37),2)+LARGE(CHOOSE({1;2;3;4},H37,K37,N37,Q37),3)</f>
        <v>12</v>
      </c>
      <c r="U37" s="4" cm="1">
        <f t="array" ref="U37">IF(VT[[#This Row],[Number_of_competition]:[Number_of_competition]]&gt;=3,(LARGE(CHOOSE({1;2;3;4},F37,I37,L37,O37),1)+LARGE(CHOOSE({1;2;3;4},F37,I37,L37,O37),2)+LARGE(CHOOSE({1;2;3;4},F37,I37,L37,O37),3))/3,0)</f>
        <v>0</v>
      </c>
      <c r="V37" s="7" cm="1">
        <f t="array" ref="V37">IF(VT[[#This Row],[Number_of_competition]:[Number_of_competition]]&gt;=3,(LARGE(CHOOSE({1;2;3;4},G37,J37,M37,P37),1)+LARGE(CHOOSE({1;2;3;4},G37,J37,M37,P37),2)+LARGE(CHOOSE({1;2;3;4},G37,J37,M37,P37),3))/3,0)</f>
        <v>0</v>
      </c>
      <c r="W37" s="7" cm="1">
        <f t="array" ref="W37">IF(VT[[#This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125</v>
      </c>
      <c r="B38" s="2" t="s">
        <v>26</v>
      </c>
      <c r="C38" s="2" t="s">
        <v>126</v>
      </c>
      <c r="D38" t="s">
        <v>67</v>
      </c>
      <c r="E38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8" s="4">
        <v>0</v>
      </c>
      <c r="G38" s="7">
        <v>0</v>
      </c>
      <c r="H38" s="7">
        <v>0</v>
      </c>
      <c r="I38" s="4">
        <v>0</v>
      </c>
      <c r="J38" s="7">
        <v>0</v>
      </c>
      <c r="K38" s="7">
        <v>0</v>
      </c>
      <c r="L38" s="4">
        <v>3.2</v>
      </c>
      <c r="M38" s="7">
        <v>8.1999999999999993</v>
      </c>
      <c r="N38" s="7">
        <v>11.4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3.2</v>
      </c>
      <c r="S38" s="7">
        <f>LARGE(CHOOSE({1;2;3;4},G38,J38,M38,P38),1)+LARGE(CHOOSE({1;2;3;4},G38,J38,M38,P38),2)+LARGE(CHOOSE({1;2;3;4},G38,J38,M38,P38),3)</f>
        <v>8.1999999999999993</v>
      </c>
      <c r="T38" s="7">
        <f>LARGE(CHOOSE({1;2;3;4},H38,K38,N38,Q38),1)+LARGE(CHOOSE({1;2;3;4},H38,K38,N38,Q38),2)+LARGE(CHOOSE({1;2;3;4},H38,K38,N38,Q38),3)</f>
        <v>11.4</v>
      </c>
      <c r="U38" s="4" cm="1">
        <f t="array" ref="U38">IF(VT[[#This Row],[Number_of_competition]:[Number_of_competition]]&gt;=3,(LARGE(CHOOSE({1;2;3;4},F38,I38,L38,O38),1)+LARGE(CHOOSE({1;2;3;4},F38,I38,L38,O38),2)+LARGE(CHOOSE({1;2;3;4},F38,I38,L38,O38),3))/3,0)</f>
        <v>0</v>
      </c>
      <c r="V38" s="7" cm="1">
        <f t="array" ref="V38">IF(VT[[#This Row],[Number_of_competition]:[Number_of_competition]]&gt;=3,(LARGE(CHOOSE({1;2;3;4},G38,J38,M38,P38),1)+LARGE(CHOOSE({1;2;3;4},G38,J38,M38,P38),2)+LARGE(CHOOSE({1;2;3;4},G38,J38,M38,P38),3))/3,0)</f>
        <v>0</v>
      </c>
      <c r="W38" s="7" cm="1">
        <f t="array" ref="W38">IF(VT[[#This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129</v>
      </c>
      <c r="B39" s="2" t="s">
        <v>60</v>
      </c>
      <c r="C39" s="2" t="s">
        <v>130</v>
      </c>
      <c r="D39" t="s">
        <v>72</v>
      </c>
      <c r="E39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39" s="4">
        <v>0</v>
      </c>
      <c r="G39" s="7">
        <v>0</v>
      </c>
      <c r="H39" s="7">
        <v>0</v>
      </c>
      <c r="I39" s="4">
        <v>0</v>
      </c>
      <c r="J39" s="7">
        <v>0</v>
      </c>
      <c r="K39" s="7">
        <v>0</v>
      </c>
      <c r="L39" s="4">
        <v>2.8</v>
      </c>
      <c r="M39" s="7">
        <v>8.5500000000000007</v>
      </c>
      <c r="N39" s="7">
        <v>11.35</v>
      </c>
      <c r="O39" s="4">
        <v>0</v>
      </c>
      <c r="P39" s="7">
        <v>0</v>
      </c>
      <c r="Q39" s="7">
        <v>0</v>
      </c>
      <c r="R39" s="4">
        <f>LARGE(CHOOSE({1;2;3;4},F39,I39,L39,O39),1)+LARGE(CHOOSE({1;2;3;4},F39,I39,L39,O39),2)+LARGE(CHOOSE({1;2;3;4},F39,I39,L39,O39),3)</f>
        <v>2.8</v>
      </c>
      <c r="S39" s="7">
        <f>LARGE(CHOOSE({1;2;3;4},G39,J39,M39,P39),1)+LARGE(CHOOSE({1;2;3;4},G39,J39,M39,P39),2)+LARGE(CHOOSE({1;2;3;4},G39,J39,M39,P39),3)</f>
        <v>8.5500000000000007</v>
      </c>
      <c r="T39" s="7">
        <f>LARGE(CHOOSE({1;2;3;4},H39,K39,N39,Q39),1)+LARGE(CHOOSE({1;2;3;4},H39,K39,N39,Q39),2)+LARGE(CHOOSE({1;2;3;4},H39,K39,N39,Q39),3)</f>
        <v>11.35</v>
      </c>
      <c r="U39" s="4" cm="1">
        <f t="array" ref="U39">IF(VT[[#This Row],[Number_of_competition]:[Number_of_competition]]&gt;=3,(LARGE(CHOOSE({1;2;3;4},F39,I39,L39,O39),1)+LARGE(CHOOSE({1;2;3;4},F39,I39,L39,O39),2)+LARGE(CHOOSE({1;2;3;4},F39,I39,L39,O39),3))/3,0)</f>
        <v>0</v>
      </c>
      <c r="V39" s="7" cm="1">
        <f t="array" ref="V39">IF(VT[[#This Row],[Number_of_competition]:[Number_of_competition]]&gt;=3,(LARGE(CHOOSE({1;2;3;4},G39,J39,M39,P39),1)+LARGE(CHOOSE({1;2;3;4},G39,J39,M39,P39),2)+LARGE(CHOOSE({1;2;3;4},G39,J39,M39,P39),3))/3,0)</f>
        <v>0</v>
      </c>
      <c r="W39" s="7" cm="1">
        <f t="array" ref="W39">IF(VT[[#This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132</v>
      </c>
      <c r="B40" s="2" t="s">
        <v>26</v>
      </c>
      <c r="C40" s="2" t="s">
        <v>133</v>
      </c>
      <c r="D40" t="s">
        <v>39</v>
      </c>
      <c r="E40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0" s="4">
        <v>2.2000000000000002</v>
      </c>
      <c r="G40" s="7">
        <v>9.1</v>
      </c>
      <c r="H40" s="7">
        <v>11.3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f>LARGE(CHOOSE({1;2;3;4},F40,I40,L40,O40),1)+LARGE(CHOOSE({1;2;3;4},F40,I40,L40,O40),2)+LARGE(CHOOSE({1;2;3;4},F40,I40,L40,O40),3)</f>
        <v>2.2000000000000002</v>
      </c>
      <c r="S40" s="7">
        <f>LARGE(CHOOSE({1;2;3;4},G40,J40,M40,P40),1)+LARGE(CHOOSE({1;2;3;4},G40,J40,M40,P40),2)+LARGE(CHOOSE({1;2;3;4},G40,J40,M40,P40),3)</f>
        <v>9.1</v>
      </c>
      <c r="T40" s="7">
        <f>LARGE(CHOOSE({1;2;3;4},H40,K40,N40,Q40),1)+LARGE(CHOOSE({1;2;3;4},H40,K40,N40,Q40),2)+LARGE(CHOOSE({1;2;3;4},H40,K40,N40,Q40),3)</f>
        <v>11.3</v>
      </c>
      <c r="U40" s="4" cm="1">
        <f t="array" ref="U40">IF(VT[[#This Row],[Number_of_competition]:[Number_of_competition]]&gt;=3,(LARGE(CHOOSE({1;2;3;4},F40,I40,L40,O40),1)+LARGE(CHOOSE({1;2;3;4},F40,I40,L40,O40),2)+LARGE(CHOOSE({1;2;3;4},F40,I40,L40,O40),3))/3,0)</f>
        <v>0</v>
      </c>
      <c r="V40" s="7" cm="1">
        <f t="array" ref="V40">IF(VT[[#This Row],[Number_of_competition]:[Number_of_competition]]&gt;=3,(LARGE(CHOOSE({1;2;3;4},G40,J40,M40,P40),1)+LARGE(CHOOSE({1;2;3;4},G40,J40,M40,P40),2)+LARGE(CHOOSE({1;2;3;4},G40,J40,M40,P40),3))/3,0)</f>
        <v>0</v>
      </c>
      <c r="W40" s="7" cm="1">
        <f t="array" ref="W40">IF(VT[[#This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100</v>
      </c>
      <c r="B41" s="2" t="s">
        <v>60</v>
      </c>
      <c r="C41" s="2" t="s">
        <v>101</v>
      </c>
      <c r="D41" t="s">
        <v>31</v>
      </c>
      <c r="E41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1" s="4">
        <v>3.2</v>
      </c>
      <c r="G41" s="7">
        <v>7.8</v>
      </c>
      <c r="H41" s="7">
        <v>11</v>
      </c>
      <c r="I41" s="4">
        <v>0</v>
      </c>
      <c r="J41" s="7">
        <v>0</v>
      </c>
      <c r="K41" s="7">
        <v>0</v>
      </c>
      <c r="L41" s="4">
        <v>0</v>
      </c>
      <c r="M41" s="7">
        <v>0</v>
      </c>
      <c r="N41" s="7">
        <v>0</v>
      </c>
      <c r="O41" s="4">
        <v>0</v>
      </c>
      <c r="P41" s="7">
        <v>0</v>
      </c>
      <c r="Q41" s="7">
        <v>0</v>
      </c>
      <c r="R41" s="4">
        <f>LARGE(CHOOSE({1;2;3;4},F41,I41,L41,O41),1)+LARGE(CHOOSE({1;2;3;4},F41,I41,L41,O41),2)+LARGE(CHOOSE({1;2;3;4},F41,I41,L41,O41),3)</f>
        <v>3.2</v>
      </c>
      <c r="S41" s="7">
        <f>LARGE(CHOOSE({1;2;3;4},G41,J41,M41,P41),1)+LARGE(CHOOSE({1;2;3;4},G41,J41,M41,P41),2)+LARGE(CHOOSE({1;2;3;4},G41,J41,M41,P41),3)</f>
        <v>7.8</v>
      </c>
      <c r="T41" s="7">
        <f>LARGE(CHOOSE({1;2;3;4},H41,K41,N41,Q41),1)+LARGE(CHOOSE({1;2;3;4},H41,K41,N41,Q41),2)+LARGE(CHOOSE({1;2;3;4},H41,K41,N41,Q41),3)</f>
        <v>11</v>
      </c>
      <c r="U41" s="4" cm="1">
        <f t="array" ref="U41">IF(VT[[#This Row],[Number_of_competition]:[Number_of_competition]]&gt;=3,(LARGE(CHOOSE({1;2;3;4},F41,I41,L41,O41),1)+LARGE(CHOOSE({1;2;3;4},F41,I41,L41,O41),2)+LARGE(CHOOSE({1;2;3;4},F41,I41,L41,O41),3))/3,0)</f>
        <v>0</v>
      </c>
      <c r="V41" s="7" cm="1">
        <f t="array" ref="V41">IF(VT[[#This Row],[Number_of_competition]:[Number_of_competition]]&gt;=3,(LARGE(CHOOSE({1;2;3;4},G41,J41,M41,P41),1)+LARGE(CHOOSE({1;2;3;4},G41,J41,M41,P41),2)+LARGE(CHOOSE({1;2;3;4},G41,J41,M41,P41),3))/3,0)</f>
        <v>0</v>
      </c>
      <c r="W41" s="7" cm="1">
        <f t="array" ref="W41">IF(VT[[#This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122</v>
      </c>
      <c r="B42" s="2" t="s">
        <v>26</v>
      </c>
      <c r="C42" s="2" t="s">
        <v>123</v>
      </c>
      <c r="D42" t="s">
        <v>124</v>
      </c>
      <c r="E42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2" s="4">
        <v>0</v>
      </c>
      <c r="G42" s="7">
        <v>0</v>
      </c>
      <c r="H42" s="7">
        <v>0</v>
      </c>
      <c r="I42" s="4">
        <v>0</v>
      </c>
      <c r="J42" s="7">
        <v>0</v>
      </c>
      <c r="K42" s="7">
        <v>0</v>
      </c>
      <c r="L42" s="4">
        <v>2.2000000000000002</v>
      </c>
      <c r="M42" s="7">
        <v>8.8000000000000007</v>
      </c>
      <c r="N42" s="7">
        <v>11</v>
      </c>
      <c r="O42" s="4">
        <v>0</v>
      </c>
      <c r="P42" s="7">
        <v>0</v>
      </c>
      <c r="Q42" s="7">
        <v>0</v>
      </c>
      <c r="R42" s="4">
        <f>LARGE(CHOOSE({1;2;3;4},F42,I42,L42,O42),1)+LARGE(CHOOSE({1;2;3;4},F42,I42,L42,O42),2)+LARGE(CHOOSE({1;2;3;4},F42,I42,L42,O42),3)</f>
        <v>2.2000000000000002</v>
      </c>
      <c r="S42" s="7">
        <f>LARGE(CHOOSE({1;2;3;4},G42,J42,M42,P42),1)+LARGE(CHOOSE({1;2;3;4},G42,J42,M42,P42),2)+LARGE(CHOOSE({1;2;3;4},G42,J42,M42,P42),3)</f>
        <v>8.8000000000000007</v>
      </c>
      <c r="T42" s="7">
        <f>LARGE(CHOOSE({1;2;3;4},H42,K42,N42,Q42),1)+LARGE(CHOOSE({1;2;3;4},H42,K42,N42,Q42),2)+LARGE(CHOOSE({1;2;3;4},H42,K42,N42,Q42),3)</f>
        <v>11</v>
      </c>
      <c r="U42" s="4" cm="1">
        <f t="array" ref="U42">IF(VT[[#This Row],[Number_of_competition]:[Number_of_competition]]&gt;=3,(LARGE(CHOOSE({1;2;3;4},F42,I42,L42,O42),1)+LARGE(CHOOSE({1;2;3;4},F42,I42,L42,O42),2)+LARGE(CHOOSE({1;2;3;4},F42,I42,L42,O42),3))/3,0)</f>
        <v>0</v>
      </c>
      <c r="V42" s="7" cm="1">
        <f t="array" ref="V42">IF(VT[[#This Row],[Number_of_competition]:[Number_of_competition]]&gt;=3,(LARGE(CHOOSE({1;2;3;4},G42,J42,M42,P42),1)+LARGE(CHOOSE({1;2;3;4},G42,J42,M42,P42),2)+LARGE(CHOOSE({1;2;3;4},G42,J42,M42,P42),3))/3,0)</f>
        <v>0</v>
      </c>
      <c r="W42" s="7" cm="1">
        <f t="array" ref="W42">IF(VT[[#This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137</v>
      </c>
      <c r="B43" s="2" t="s">
        <v>26</v>
      </c>
      <c r="C43" s="2" t="s">
        <v>138</v>
      </c>
      <c r="D43" t="s">
        <v>124</v>
      </c>
      <c r="E43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3" s="4">
        <v>1.6</v>
      </c>
      <c r="G43" s="7">
        <v>9</v>
      </c>
      <c r="H43" s="7">
        <v>10.6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0</v>
      </c>
      <c r="P43" s="7">
        <v>0</v>
      </c>
      <c r="Q43" s="7">
        <v>0</v>
      </c>
      <c r="R43" s="4">
        <f>LARGE(CHOOSE({1;2;3;4},F43,I43,L43,O43),1)+LARGE(CHOOSE({1;2;3;4},F43,I43,L43,O43),2)+LARGE(CHOOSE({1;2;3;4},F43,I43,L43,O43),3)</f>
        <v>1.6</v>
      </c>
      <c r="S43" s="7">
        <f>LARGE(CHOOSE({1;2;3;4},G43,J43,M43,P43),1)+LARGE(CHOOSE({1;2;3;4},G43,J43,M43,P43),2)+LARGE(CHOOSE({1;2;3;4},G43,J43,M43,P43),3)</f>
        <v>9</v>
      </c>
      <c r="T43" s="7">
        <f>LARGE(CHOOSE({1;2;3;4},H43,K43,N43,Q43),1)+LARGE(CHOOSE({1;2;3;4},H43,K43,N43,Q43),2)+LARGE(CHOOSE({1;2;3;4},H43,K43,N43,Q43),3)</f>
        <v>10.6</v>
      </c>
      <c r="U43" s="4" cm="1">
        <f t="array" ref="U43">IF(VT[[#This Row],[Number_of_competition]:[Number_of_competition]]&gt;=3,(LARGE(CHOOSE({1;2;3;4},F43,I43,L43,O43),1)+LARGE(CHOOSE({1;2;3;4},F43,I43,L43,O43),2)+LARGE(CHOOSE({1;2;3;4},F43,I43,L43,O43),3))/3,0)</f>
        <v>0</v>
      </c>
      <c r="V43" s="7" cm="1">
        <f t="array" ref="V43">IF(VT[[#This Row],[Number_of_competition]:[Number_of_competition]]&gt;=3,(LARGE(CHOOSE({1;2;3;4},G43,J43,M43,P43),1)+LARGE(CHOOSE({1;2;3;4},G43,J43,M43,P43),2)+LARGE(CHOOSE({1;2;3;4},G43,J43,M43,P43),3))/3,0)</f>
        <v>0</v>
      </c>
      <c r="W43" s="7" cm="1">
        <f t="array" ref="W43">IF(VT[[#This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88</v>
      </c>
      <c r="B44" s="2" t="s">
        <v>60</v>
      </c>
      <c r="C44" s="2" t="s">
        <v>89</v>
      </c>
      <c r="D44" t="s">
        <v>36</v>
      </c>
      <c r="E44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4" s="4">
        <v>0</v>
      </c>
      <c r="G44" s="7">
        <v>0</v>
      </c>
      <c r="H44" s="7">
        <v>0</v>
      </c>
      <c r="I44" s="4">
        <v>0</v>
      </c>
      <c r="J44" s="7">
        <v>0</v>
      </c>
      <c r="K44" s="7">
        <v>0</v>
      </c>
      <c r="L44" s="4">
        <v>0</v>
      </c>
      <c r="M44" s="7">
        <v>0</v>
      </c>
      <c r="N44" s="7">
        <v>0</v>
      </c>
      <c r="O44" s="4">
        <v>2.4</v>
      </c>
      <c r="P44" s="7">
        <v>8</v>
      </c>
      <c r="Q44" s="7">
        <v>10.4</v>
      </c>
      <c r="R44" s="4">
        <f>LARGE(CHOOSE({1;2;3;4},F44,I44,L44,O44),1)+LARGE(CHOOSE({1;2;3;4},F44,I44,L44,O44),2)+LARGE(CHOOSE({1;2;3;4},F44,I44,L44,O44),3)</f>
        <v>2.4</v>
      </c>
      <c r="S44" s="7">
        <f>LARGE(CHOOSE({1;2;3;4},G44,J44,M44,P44),1)+LARGE(CHOOSE({1;2;3;4},G44,J44,M44,P44),2)+LARGE(CHOOSE({1;2;3;4},G44,J44,M44,P44),3)</f>
        <v>8</v>
      </c>
      <c r="T44" s="7">
        <f>LARGE(CHOOSE({1;2;3;4},H44,K44,N44,Q44),1)+LARGE(CHOOSE({1;2;3;4},H44,K44,N44,Q44),2)+LARGE(CHOOSE({1;2;3;4},H44,K44,N44,Q44),3)</f>
        <v>10.4</v>
      </c>
      <c r="U44" s="4" cm="1">
        <f t="array" ref="U44">IF(VT[[#This Row],[Number_of_competition]:[Number_of_competition]]&gt;=3,(LARGE(CHOOSE({1;2;3;4},F44,I44,L44,O44),1)+LARGE(CHOOSE({1;2;3;4},F44,I44,L44,O44),2)+LARGE(CHOOSE({1;2;3;4},F44,I44,L44,O44),3))/3,0)</f>
        <v>0</v>
      </c>
      <c r="V44" s="7" cm="1">
        <f t="array" ref="V44">IF(VT[[#This Row],[Number_of_competition]:[Number_of_competition]]&gt;=3,(LARGE(CHOOSE({1;2;3;4},G44,J44,M44,P44),1)+LARGE(CHOOSE({1;2;3;4},G44,J44,M44,P44),2)+LARGE(CHOOSE({1;2;3;4},G44,J44,M44,P44),3))/3,0)</f>
        <v>0</v>
      </c>
      <c r="W44" s="7" cm="1">
        <f t="array" ref="W44">IF(VT[[#This Row],[Number_of_competition]:[Number_of_competition]]&gt;=3,(LARGE(CHOOSE({1;2;3;4},H44,K44,N44,Q44),1)+LARGE(CHOOSE({1;2;3;4},H44,K44,N44,Q44),2)+LARGE(CHOOSE({1;2;3;4},H44,K44,N44,Q44),3))/3,0)</f>
        <v>0</v>
      </c>
    </row>
    <row r="45" spans="1:23" x14ac:dyDescent="0.25">
      <c r="A45" t="s">
        <v>57</v>
      </c>
      <c r="B45" s="2" t="s">
        <v>26</v>
      </c>
      <c r="C45" s="2" t="s">
        <v>58</v>
      </c>
      <c r="D45" t="s">
        <v>36</v>
      </c>
      <c r="E45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5" s="4">
        <v>1.6</v>
      </c>
      <c r="G45" s="7">
        <v>8.6999999999999993</v>
      </c>
      <c r="H45" s="7">
        <v>10.3</v>
      </c>
      <c r="I45" s="4">
        <v>0</v>
      </c>
      <c r="J45" s="7">
        <v>0</v>
      </c>
      <c r="K45" s="7">
        <v>0</v>
      </c>
      <c r="L45" s="4">
        <v>0</v>
      </c>
      <c r="M45" s="7">
        <v>0</v>
      </c>
      <c r="N45" s="7">
        <v>0</v>
      </c>
      <c r="O45" s="4">
        <v>0</v>
      </c>
      <c r="P45" s="7">
        <v>0</v>
      </c>
      <c r="Q45" s="7">
        <v>0</v>
      </c>
      <c r="R45" s="4">
        <f>LARGE(CHOOSE({1;2;3;4},F45,I45,L45,O45),1)+LARGE(CHOOSE({1;2;3;4},F45,I45,L45,O45),2)+LARGE(CHOOSE({1;2;3;4},F45,I45,L45,O45),3)</f>
        <v>1.6</v>
      </c>
      <c r="S45" s="7">
        <f>LARGE(CHOOSE({1;2;3;4},G45,J45,M45,P45),1)+LARGE(CHOOSE({1;2;3;4},G45,J45,M45,P45),2)+LARGE(CHOOSE({1;2;3;4},G45,J45,M45,P45),3)</f>
        <v>8.6999999999999993</v>
      </c>
      <c r="T45" s="7">
        <f>LARGE(CHOOSE({1;2;3;4},H45,K45,N45,Q45),1)+LARGE(CHOOSE({1;2;3;4},H45,K45,N45,Q45),2)+LARGE(CHOOSE({1;2;3;4},H45,K45,N45,Q45),3)</f>
        <v>10.3</v>
      </c>
      <c r="U45" s="4" cm="1">
        <f t="array" ref="U45">IF(VT[[#This Row],[Number_of_competition]:[Number_of_competition]]&gt;=3,(LARGE(CHOOSE({1;2;3;4},F45,I45,L45,O45),1)+LARGE(CHOOSE({1;2;3;4},F45,I45,L45,O45),2)+LARGE(CHOOSE({1;2;3;4},F45,I45,L45,O45),3))/3,0)</f>
        <v>0</v>
      </c>
      <c r="V45" s="7" cm="1">
        <f t="array" ref="V45">IF(VT[[#This Row],[Number_of_competition]:[Number_of_competition]]&gt;=3,(LARGE(CHOOSE({1;2;3;4},G45,J45,M45,P45),1)+LARGE(CHOOSE({1;2;3;4},G45,J45,M45,P45),2)+LARGE(CHOOSE({1;2;3;4},G45,J45,M45,P45),3))/3,0)</f>
        <v>0</v>
      </c>
      <c r="W45" s="7" cm="1">
        <f t="array" ref="W45">IF(VT[[#This Row],[Number_of_competition]:[Number_of_competition]]&gt;=3,(LARGE(CHOOSE({1;2;3;4},H45,K45,N45,Q45),1)+LARGE(CHOOSE({1;2;3;4},H45,K45,N45,Q45),2)+LARGE(CHOOSE({1;2;3;4},H45,K45,N45,Q45),3))/3,0)</f>
        <v>0</v>
      </c>
    </row>
    <row r="46" spans="1:23" x14ac:dyDescent="0.25">
      <c r="A46" t="s">
        <v>135</v>
      </c>
      <c r="B46" s="2" t="s">
        <v>26</v>
      </c>
      <c r="C46" s="2" t="s">
        <v>136</v>
      </c>
      <c r="D46" t="s">
        <v>124</v>
      </c>
      <c r="E46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6" s="4">
        <v>2.4</v>
      </c>
      <c r="G46" s="7">
        <v>7.5</v>
      </c>
      <c r="H46" s="7">
        <v>9.9</v>
      </c>
      <c r="I46" s="4">
        <v>0</v>
      </c>
      <c r="J46" s="7">
        <v>0</v>
      </c>
      <c r="K46" s="7">
        <v>0</v>
      </c>
      <c r="L46" s="4">
        <v>0</v>
      </c>
      <c r="M46" s="7">
        <v>0</v>
      </c>
      <c r="N46" s="7">
        <v>0</v>
      </c>
      <c r="O46" s="4">
        <v>0</v>
      </c>
      <c r="P46" s="7">
        <v>0</v>
      </c>
      <c r="Q46" s="7">
        <v>0</v>
      </c>
      <c r="R46" s="4">
        <f>LARGE(CHOOSE({1;2;3;4},F46,I46,L46,O46),1)+LARGE(CHOOSE({1;2;3;4},F46,I46,L46,O46),2)+LARGE(CHOOSE({1;2;3;4},F46,I46,L46,O46),3)</f>
        <v>2.4</v>
      </c>
      <c r="S46" s="7">
        <f>LARGE(CHOOSE({1;2;3;4},G46,J46,M46,P46),1)+LARGE(CHOOSE({1;2;3;4},G46,J46,M46,P46),2)+LARGE(CHOOSE({1;2;3;4},G46,J46,M46,P46),3)</f>
        <v>7.5</v>
      </c>
      <c r="T46" s="7">
        <f>LARGE(CHOOSE({1;2;3;4},H46,K46,N46,Q46),1)+LARGE(CHOOSE({1;2;3;4},H46,K46,N46,Q46),2)+LARGE(CHOOSE({1;2;3;4},H46,K46,N46,Q46),3)</f>
        <v>9.9</v>
      </c>
      <c r="U46" s="4" cm="1">
        <f t="array" ref="U46">IF(VT[[#This Row],[Number_of_competition]:[Number_of_competition]]&gt;=3,(LARGE(CHOOSE({1;2;3;4},F46,I46,L46,O46),1)+LARGE(CHOOSE({1;2;3;4},F46,I46,L46,O46),2)+LARGE(CHOOSE({1;2;3;4},F46,I46,L46,O46),3))/3,0)</f>
        <v>0</v>
      </c>
      <c r="V46" s="7" cm="1">
        <f t="array" ref="V46">IF(VT[[#This Row],[Number_of_competition]:[Number_of_competition]]&gt;=3,(LARGE(CHOOSE({1;2;3;4},G46,J46,M46,P46),1)+LARGE(CHOOSE({1;2;3;4},G46,J46,M46,P46),2)+LARGE(CHOOSE({1;2;3;4},G46,J46,M46,P46),3))/3,0)</f>
        <v>0</v>
      </c>
      <c r="W46" s="7" cm="1">
        <f t="array" ref="W46">IF(VT[[#This Row],[Number_of_competition]:[Number_of_competition]]&gt;=3,(LARGE(CHOOSE({1;2;3;4},H46,K46,N46,Q46),1)+LARGE(CHOOSE({1;2;3;4},H46,K46,N46,Q46),2)+LARGE(CHOOSE({1;2;3;4},H46,K46,N46,Q46),3))/3,0)</f>
        <v>0</v>
      </c>
    </row>
    <row r="47" spans="1:23" x14ac:dyDescent="0.25">
      <c r="A47" t="s">
        <v>54</v>
      </c>
      <c r="B47" s="2" t="s">
        <v>26</v>
      </c>
      <c r="C47" s="2" t="s">
        <v>55</v>
      </c>
      <c r="D47" t="s">
        <v>56</v>
      </c>
      <c r="E47" s="6">
        <f>COUNTIF(VT[[#This Row],[bydgoszcz_VT_Total_Score]],"&gt;0")+COUNTIF(VT[[#This Row],[zabrze_VT_Total_Score]],"&gt;0")+COUNTIF(VT[[#This Row],[cracow_VT_Total_Score]],"&gt;0")+COUNTIF(VT[[#This Row],[gdansk_VT_Total_Score]],"&gt;0")</f>
        <v>1</v>
      </c>
      <c r="F47" s="4">
        <v>0</v>
      </c>
      <c r="G47" s="7">
        <v>0</v>
      </c>
      <c r="H47" s="7">
        <v>0</v>
      </c>
      <c r="I47" s="4">
        <v>1.6</v>
      </c>
      <c r="J47" s="7">
        <v>8.3000000000000007</v>
      </c>
      <c r="K47" s="7">
        <v>9.9</v>
      </c>
      <c r="L47" s="4">
        <v>0</v>
      </c>
      <c r="M47" s="7">
        <v>0</v>
      </c>
      <c r="N47" s="7">
        <v>0</v>
      </c>
      <c r="O47" s="4">
        <v>0</v>
      </c>
      <c r="P47" s="7">
        <v>0</v>
      </c>
      <c r="Q47" s="7">
        <v>0</v>
      </c>
      <c r="R47" s="4">
        <f>LARGE(CHOOSE({1;2;3;4},F47,I47,L47,O47),1)+LARGE(CHOOSE({1;2;3;4},F47,I47,L47,O47),2)+LARGE(CHOOSE({1;2;3;4},F47,I47,L47,O47),3)</f>
        <v>1.6</v>
      </c>
      <c r="S47" s="7">
        <f>LARGE(CHOOSE({1;2;3;4},G47,J47,M47,P47),1)+LARGE(CHOOSE({1;2;3;4},G47,J47,M47,P47),2)+LARGE(CHOOSE({1;2;3;4},G47,J47,M47,P47),3)</f>
        <v>8.3000000000000007</v>
      </c>
      <c r="T47" s="7">
        <f>LARGE(CHOOSE({1;2;3;4},H47,K47,N47,Q47),1)+LARGE(CHOOSE({1;2;3;4},H47,K47,N47,Q47),2)+LARGE(CHOOSE({1;2;3;4},H47,K47,N47,Q47),3)</f>
        <v>9.9</v>
      </c>
      <c r="U47" s="4" cm="1">
        <f t="array" ref="U47">IF(VT[[#This Row],[Number_of_competition]:[Number_of_competition]]&gt;=3,(LARGE(CHOOSE({1;2;3;4},F47,I47,L47,O47),1)+LARGE(CHOOSE({1;2;3;4},F47,I47,L47,O47),2)+LARGE(CHOOSE({1;2;3;4},F47,I47,L47,O47),3))/3,0)</f>
        <v>0</v>
      </c>
      <c r="V47" s="7" cm="1">
        <f t="array" ref="V47">IF(VT[[#This Row],[Number_of_competition]:[Number_of_competition]]&gt;=3,(LARGE(CHOOSE({1;2;3;4},G47,J47,M47,P47),1)+LARGE(CHOOSE({1;2;3;4},G47,J47,M47,P47),2)+LARGE(CHOOSE({1;2;3;4},G47,J47,M47,P47),3))/3,0)</f>
        <v>0</v>
      </c>
      <c r="W47" s="7" cm="1">
        <f t="array" ref="W47">IF(VT[[#This Row],[Number_of_competition]:[Number_of_competition]]&gt;=3,(LARGE(CHOOSE({1;2;3;4},H47,K47,N47,Q47),1)+LARGE(CHOOSE({1;2;3;4},H47,K47,N47,Q47),2)+LARGE(CHOOSE({1;2;3;4},H47,K47,N47,Q47),3))/3,0)</f>
        <v>0</v>
      </c>
    </row>
    <row r="51" spans="1:16" x14ac:dyDescent="0.25">
      <c r="A51" s="2" t="s">
        <v>244</v>
      </c>
      <c r="B51" s="7" t="s">
        <v>256</v>
      </c>
      <c r="C51" s="7" t="s">
        <v>260</v>
      </c>
      <c r="D51" s="2" t="s">
        <v>255</v>
      </c>
      <c r="M51" s="2"/>
      <c r="O51" s="7"/>
      <c r="P51" s="2"/>
    </row>
    <row r="52" spans="1:16" x14ac:dyDescent="0.25">
      <c r="A52" s="4" cm="1">
        <f t="array" ref="A52">SUM(_xlfn._xlws.FILTER(VT[bydgoszcz_VT_Dscore],VT[Category]="junior"),_xlfn._xlws.FILTER(VT[zabrze_VT_Dscore],VT[Category]="junior"),_xlfn._xlws.FILTER(VT[cracow_VT_Dscore],VT[Category]="junior"),_xlfn._xlws.FILTER(VT[gdansk_VT_Dscore],VT[Category]="junior"))/(COUNTIFS(VT[bydgoszcz_VT_Dscore],"&gt;0",VT[Category],"junior")+COUNTIFS(VT[zabrze_VT_Dscore],"&gt;0",VT[Category],"junior")+COUNTIFS(VT[cracow_VT_Dscore],"&gt;0",VT[Category],"junior")+COUNTIFS(VT[gdansk_VT_Dscore],"&gt;0",VT[Category],"junior"))</f>
        <v>2.5703703703703704</v>
      </c>
      <c r="B52" s="4" cm="1">
        <f t="array" ref="B52">_xlfn.STDEV.S(_xlfn._xlws.FILTER(VT[bydgoszcz_VT_Dscore],(VT[Category]="junior")*(VT[bydgoszcz_VT_Dscore])&gt;0),_xlfn._xlws.FILTER(VT[zabrze_VT_Dscore],(VT[Category]="junior")*(VT[zabrze_VT_Dscore])&gt;0),_xlfn._xlws.FILTER(VT[cracow_VT_Dscore],(VT[Category]="junior")*(VT[cracow_VT_Dscore])&gt;0),_xlfn._xlws.FILTER(VT[gdansk_VT_Dscore],(VT[Category]="junior")*(VT[gdansk_VT_Dscore])&gt;0))</f>
        <v>0.75276336947693678</v>
      </c>
      <c r="C52" s="4" cm="1">
        <f t="array" ref="C52">MAX(_xlfn._xlws.FILTER(VT[bydgoszcz_VT_Dscore],VT[Category]="junior"),_xlfn._xlws.FILTER(VT[zabrze_VT_Dscore],VT[Category]="junior"),_xlfn._xlws.FILTER(VT[cracow_VT_Dscore],VT[Category]="junior"),_xlfn._xlws.FILTER(VT[gdansk_VT_Dscore],VT[Category]="junior"))</f>
        <v>4</v>
      </c>
      <c r="D52" s="2" t="str" cm="1">
        <f t="array" ref="D52">_xlfn.XLOOKUP(C52,_xlfn._xlws.FILTER(VT[bydgoszcz_VT_Dscore],VT[Category]="junior"),_xlfn._xlws.FILTER(VT[Name],VT[Category]="junior"),_xlfn.XLOOKUP(C52,_xlfn._xlws.FILTER(VT[zabrze_VT_Dscore],VT[Category]="junior"),_xlfn._xlws.FILTER(VT[Name],VT[Category]="junior"),_xlfn.XLOOKUP(C52,_xlfn._xlws.FILTER(VT[cracow_VT_Dscore],VT[Category]="junior"),_xlfn._xlws.FILTER(VT[Name],VT[Category]="junior"),_xlfn.XLOOKUP(C52,_xlfn._xlws.FILTER(VT[gdansk_VT_Dscore],VT[Category]="junior"),_xlfn._xlws.FILTER(VT[Name],VT[Category]="junior")))))</f>
        <v>JANKOWSKI Dominik</v>
      </c>
      <c r="M52" s="4"/>
      <c r="N52" s="4"/>
      <c r="P52" s="2"/>
    </row>
    <row r="53" spans="1:16" x14ac:dyDescent="0.25">
      <c r="A53" s="4" cm="1">
        <f t="array" ref="A53">SUM(_xlfn._xlws.FILTER(VT[bydgoszcz_VT_Dscore],VT[Category]="senior"),_xlfn._xlws.FILTER(VT[zabrze_VT_Dscore],VT[Category]="senior"),_xlfn._xlws.FILTER(VT[cracow_VT_Dscore],VT[Category]="senior"),_xlfn._xlws.FILTER(VT[gdansk_VT_Dscore],VT[Category]="senior"))/(COUNTIFS(VT[bydgoszcz_VT_Dscore],"&gt;0",VT[Category],"senior")+COUNTIFS(VT[zabrze_VT_Dscore],"&gt;0",VT[Category],"senior")+COUNTIFS(VT[cracow_VT_Dscore],"&gt;0",VT[Category],"senior")+COUNTIFS(VT[gdansk_VT_Dscore],"&gt;0",VT[Category],"senior"))</f>
        <v>3.8000000000000003</v>
      </c>
      <c r="B53" s="4" cm="1">
        <f t="array" ref="B53">_xlfn.STDEV.S(_xlfn._xlws.FILTER(VT[bydgoszcz_VT_Dscore],(VT[Category]="senior")*(VT[bydgoszcz_VT_Dscore])&gt;0),_xlfn._xlws.FILTER(VT[zabrze_VT_Dscore],(VT[Category]="senior")*(VT[zabrze_VT_Dscore])&gt;0),_xlfn._xlws.FILTER(VT[cracow_VT_Dscore],(VT[Category]="senior")*(VT[cracow_VT_Dscore])&gt;0),_xlfn._xlws.FILTER(VT[gdansk_VT_Dscore],(VT[Category]="senior")*(VT[gdansk_VT_Dscore])&gt;0))</f>
        <v>0.73678839761300552</v>
      </c>
      <c r="C53" s="4" cm="1">
        <f t="array" ref="C53">MAX(_xlfn._xlws.FILTER(VT[bydgoszcz_VT_Dscore],VT[Category]="senior"),_xlfn._xlws.FILTER(VT[zabrze_VT_Dscore],VT[Category]="senior"),_xlfn._xlws.FILTER(VT[cracow_VT_Dscore],VT[Category]="senior"),_xlfn._xlws.FILTER(VT[gdansk_VT_Dscore],VT[Category]="senior"))</f>
        <v>5.2</v>
      </c>
      <c r="D53" s="2" t="str" cm="1">
        <f t="array" ref="D53">_xlfn.XLOOKUP(C53,_xlfn._xlws.FILTER(VT[bydgoszcz_VT_Dscore],VT[Category]="senior"),_xlfn._xlws.FILTER(VT[Name],VT[Category]="senior"),_xlfn.XLOOKUP(C53,_xlfn._xlws.FILTER(VT[zabrze_VT_Dscore],VT[Category]="senior"),_xlfn._xlws.FILTER(VT[Name],VT[Category]="senior"),_xlfn.XLOOKUP(C53,_xlfn._xlws.FILTER(VT[cracow_VT_Dscore],VT[Category]="senior"),_xlfn._xlws.FILTER(VT[Name],VT[Category]="senior"),_xlfn.XLOOKUP(C53,_xlfn._xlws.FILTER(VT[gdansk_VT_Dscore],VT[Category]="senior"),_xlfn._xlws.FILTER(VT[Name],VT[Category]="senior")))))</f>
        <v>SASNAL Filip</v>
      </c>
      <c r="M53" s="4"/>
      <c r="N53" s="4"/>
      <c r="P53" s="2"/>
    </row>
    <row r="54" spans="1:16" x14ac:dyDescent="0.25">
      <c r="A54" s="2"/>
      <c r="B54"/>
      <c r="C54" s="3"/>
      <c r="D54" s="5"/>
      <c r="M54" s="2"/>
      <c r="N54"/>
      <c r="O54" s="3"/>
      <c r="P54" s="5"/>
    </row>
    <row r="55" spans="1:16" x14ac:dyDescent="0.25">
      <c r="A55" s="2" t="s">
        <v>257</v>
      </c>
      <c r="B55" s="7" t="s">
        <v>258</v>
      </c>
      <c r="C55" s="7" t="s">
        <v>261</v>
      </c>
      <c r="D55" s="2" t="s">
        <v>255</v>
      </c>
      <c r="M55" s="2"/>
      <c r="O55" s="7"/>
      <c r="P55" s="2"/>
    </row>
    <row r="56" spans="1:16" x14ac:dyDescent="0.25">
      <c r="A56" s="7" cm="1">
        <f t="array" ref="A56">SUM(_xlfn._xlws.FILTER(VT[bydgoszcz_VT_Escore],VT[Category]="junior"),_xlfn._xlws.FILTER(VT[zabrze_VT_Escore],VT[Category]="junior"),_xlfn._xlws.FILTER(VT[cracow_VT_Escore],VT[Category]="junior"),_xlfn._xlws.FILTER(VT[gdansk_VT_Escore],VT[Category]="junior"))/(COUNTIFS(VT[bydgoszcz_VT_Escore],"&gt;0",VT[Category],"junior")+COUNTIFS(VT[zabrze_VT_Escore],"&gt;0",VT[Category],"junior")+COUNTIFS(VT[cracow_VT_Escore],"&gt;0",VT[Category],"junior")+COUNTIFS(VT[gdansk_VT_Escore],"&gt;0",VT[Category],"junior"))</f>
        <v>8.6555555555555568</v>
      </c>
      <c r="B56" s="7" cm="1">
        <f t="array" ref="B56">_xlfn.STDEV.S(_xlfn._xlws.FILTER(VT[bydgoszcz_VT_Escore],(VT[Category]="junior")*(VT[bydgoszcz_VT_Escore])&gt;0),_xlfn._xlws.FILTER(VT[zabrze_VT_Escore],(VT[Category]="junior")*(VT[zabrze_VT_Escore])&gt;0),_xlfn._xlws.FILTER(VT[cracow_VT_Escore],(VT[Category]="junior")*(VT[cracow_VT_Escore])&gt;0),_xlfn._xlws.FILTER(VT[gdansk_VT_Escore],(VT[Category]="junior")*(VT[gdansk_VT_Escore])&gt;0))</f>
        <v>0.49560965569448912</v>
      </c>
      <c r="C56" s="7" cm="1">
        <f t="array" ref="C56">MAX(_xlfn._xlws.FILTER(VT[bydgoszcz_VT_Escore],VT[Category]="junior"),_xlfn._xlws.FILTER(VT[zabrze_VT_Escore],VT[Category]="junior"),_xlfn._xlws.FILTER(VT[cracow_VT_Escore],VT[Category]="junior"),_xlfn._xlws.FILTER(VT[gdansk_VT_Escore],VT[Category]="junior"))</f>
        <v>9.5</v>
      </c>
      <c r="D56" s="2" t="str" cm="1">
        <f t="array" ref="D56">_xlfn.XLOOKUP(C56,_xlfn._xlws.FILTER(VT[bydgoszcz_VT_Escore],VT[Category]="junior"),_xlfn._xlws.FILTER(VT[Name],VT[Category]="junior"),_xlfn.XLOOKUP(C56,_xlfn._xlws.FILTER(VT[zabrze_VT_Escore],VT[Category]="junior"),_xlfn._xlws.FILTER(VT[Name],VT[Category]="junior"),_xlfn.XLOOKUP(C56,_xlfn._xlws.FILTER(VT[cracow_VT_Escore],VT[Category]="junior"),_xlfn._xlws.FILTER(VT[Name],VT[Category]="junior"),_xlfn.XLOOKUP(C56,_xlfn._xlws.FILTER(VT[gdansk_VT_Escore],VT[Category]="junior"),_xlfn._xlws.FILTER(VT[Name],VT[Category]="junior")))))</f>
        <v>MOSKAL Błażej</v>
      </c>
      <c r="O56" s="7"/>
      <c r="P56" s="2"/>
    </row>
    <row r="57" spans="1:16" x14ac:dyDescent="0.25">
      <c r="A57" s="7" cm="1">
        <f t="array" ref="A57">SUM(_xlfn._xlws.FILTER(VT[bydgoszcz_VT_Escore],VT[Category]="senior"),_xlfn._xlws.FILTER(VT[zabrze_VT_Escore],VT[Category]="senior"),_xlfn._xlws.FILTER(VT[cracow_VT_Escore],VT[Category]="senior"),_xlfn._xlws.FILTER(VT[gdansk_VT_Escore],VT[Category]="senior"))/(COUNTIFS(VT[bydgoszcz_VT_Escore],"&gt;0",VT[Category],"senior")+COUNTIFS(VT[zabrze_VT_Escore],"&gt;0",VT[Category],"senior")+COUNTIFS(VT[cracow_VT_Escore],"&gt;0",VT[Category],"senior")+COUNTIFS(VT[gdansk_VT_Escore],"&gt;0",VT[Category],"senior"))</f>
        <v>8.7815789473684234</v>
      </c>
      <c r="B57" s="7" cm="1">
        <f t="array" ref="B57">_xlfn.STDEV.S(_xlfn._xlws.FILTER(VT[bydgoszcz_VT_Escore],(VT[Category]="senior")*(VT[bydgoszcz_VT_Escore])&gt;0),_xlfn._xlws.FILTER(VT[zabrze_VT_Escore],(VT[Category]="senior")*(VT[zabrze_VT_Escore])&gt;0),_xlfn._xlws.FILTER(VT[cracow_VT_Escore],(VT[Category]="senior")*(VT[cracow_VT_Escore])&gt;0),_xlfn._xlws.FILTER(VT[gdansk_VT_Escore],(VT[Category]="senior")*(VT[gdansk_VT_Escore])&gt;0))</f>
        <v>0.54162714334310735</v>
      </c>
      <c r="C57" s="7" cm="1">
        <f t="array" ref="C57">MAX(_xlfn._xlws.FILTER(VT[bydgoszcz_VT_Escore],VT[Category]="senior"),_xlfn._xlws.FILTER(VT[zabrze_VT_Escore],VT[Category]="senior"),_xlfn._xlws.FILTER(VT[cracow_VT_Escore],VT[Category]="senior"),_xlfn._xlws.FILTER(VT[gdansk_VT_Escore],VT[Category]="senior"))</f>
        <v>9.6</v>
      </c>
      <c r="D57" s="2" t="str" cm="1">
        <f t="array" ref="D57">_xlfn.XLOOKUP(C57,_xlfn._xlws.FILTER(VT[bydgoszcz_VT_Escore],VT[Category]="senior"),_xlfn._xlws.FILTER(VT[Name],VT[Category]="senior"),_xlfn.XLOOKUP(C57,_xlfn._xlws.FILTER(VT[zabrze_VT_Escore],VT[Category]="senior"),_xlfn._xlws.FILTER(VT[Name],VT[Category]="senior"),_xlfn.XLOOKUP(C57,_xlfn._xlws.FILTER(VT[cracow_VT_Escore],VT[Category]="senior"),_xlfn._xlws.FILTER(VT[Name],VT[Category]="senior"),_xlfn.XLOOKUP(C57,_xlfn._xlws.FILTER(VT[gdansk_VT_Escore],VT[Category]="senior"),_xlfn._xlws.FILTER(VT[Name],VT[Category]="senior")))))</f>
        <v>SASNAL Filip</v>
      </c>
      <c r="O57" s="7"/>
      <c r="P57" s="2"/>
    </row>
    <row r="58" spans="1:16" x14ac:dyDescent="0.25">
      <c r="A58" s="2"/>
      <c r="B58"/>
      <c r="C58" s="3"/>
      <c r="D58" s="5"/>
      <c r="M58" s="2"/>
      <c r="N58"/>
      <c r="O58" s="3"/>
      <c r="P58" s="5"/>
    </row>
    <row r="59" spans="1:16" x14ac:dyDescent="0.25">
      <c r="A59" s="2" t="s">
        <v>246</v>
      </c>
      <c r="B59" s="2" t="s">
        <v>259</v>
      </c>
      <c r="C59" s="7" t="s">
        <v>262</v>
      </c>
      <c r="D59" s="2" t="s">
        <v>255</v>
      </c>
      <c r="M59" s="2"/>
      <c r="N59" s="2"/>
      <c r="O59" s="7"/>
      <c r="P59" s="2"/>
    </row>
    <row r="60" spans="1:16" x14ac:dyDescent="0.25">
      <c r="A60" s="7" cm="1">
        <f t="array" ref="A60">SUM(_xlfn._xlws.FILTER(VT[bydgoszcz_VT_Total_Score],VT[Category]="junior"),_xlfn._xlws.FILTER(VT[zabrze_VT_Total_Score],VT[Category]="junior"),_xlfn._xlws.FILTER(VT[cracow_VT_Total_Score],VT[Category]="junior"),_xlfn._xlws.FILTER(VT[gdansk_VT_Total_Score],VT[Category]="junior"))/(COUNTIFS(VT[bydgoszcz_VT_Total_Score],"&gt;0",VT[Category],"junior")+COUNTIFS(VT[zabrze_VT_Total_Score],"&gt;0",VT[Category],"junior")+COUNTIFS(VT[cracow_VT_Total_Score],"&gt;0",VT[Category],"junior")+COUNTIFS(VT[gdansk_VT_Total_Score],"&gt;0",VT[Category],"junior"))</f>
        <v>11.225925925925926</v>
      </c>
      <c r="B60" s="7" cm="1">
        <f t="array" ref="B60">_xlfn.STDEV.S(_xlfn._xlws.FILTER(VT[bydgoszcz_VT_Total_Score],(VT[Category]="junior")*(VT[bydgoszcz_VT_Total_Score])&gt;0),_xlfn._xlws.FILTER(VT[zabrze_VT_Total_Score],(VT[Category]="junior")*(VT[zabrze_VT_Total_Score])&gt;0),_xlfn._xlws.FILTER(VT[cracow_VT_Total_Score],(VT[Category]="junior")*(VT[cracow_VT_Total_Score])&gt;0),_xlfn._xlws.FILTER(VT[gdansk_VT_Total_Score],(VT[Category]="junior")*(VT[gdansk_VT_Total_Score])&gt;0))</f>
        <v>0.84394294387873836</v>
      </c>
      <c r="C60" s="7" cm="1">
        <f t="array" ref="C60">MAX(_xlfn._xlws.FILTER(VT[bydgoszcz_VT_Total_Score],VT[Category]="junior"),_xlfn._xlws.FILTER(VT[zabrze_VT_Total_Score],VT[Category]="junior"),_xlfn._xlws.FILTER(VT[cracow_VT_Total_Score],VT[Category]="junior"),_xlfn._xlws.FILTER(VT[gdansk_VT_Total_Score],VT[Category]="junior"))</f>
        <v>12.95</v>
      </c>
      <c r="D60" s="2" t="str" cm="1">
        <f t="array" ref="D60">_xlfn.XLOOKUP(C60,_xlfn._xlws.FILTER(VT[bydgoszcz_VT_Total_Score],VT[Category]="junior"),_xlfn._xlws.FILTER(VT[Name],VT[Category]="junior"),_xlfn.XLOOKUP(C60,_xlfn._xlws.FILTER(VT[zabrze_VT_Total_Score],VT[Category]="junior"),_xlfn._xlws.FILTER(VT[Name],VT[Category]="junior"),_xlfn.XLOOKUP(C60,_xlfn._xlws.FILTER(VT[cracow_VT_Total_Score],VT[Category]="junior"),_xlfn._xlws.FILTER(VT[Name],VT[Category]="junior"),_xlfn.XLOOKUP(C60,_xlfn._xlws.FILTER(VT[gdansk_VT_Total_Score],VT[Category]="junior"),_xlfn._xlws.FILTER(VT[Name],VT[Category]="junior")))))</f>
        <v>CZARNECKI Aleksander</v>
      </c>
      <c r="O60" s="7"/>
      <c r="P60" s="2"/>
    </row>
    <row r="61" spans="1:16" x14ac:dyDescent="0.25">
      <c r="A61" s="7" cm="1">
        <f t="array" ref="A61">SUM(_xlfn._xlws.FILTER(VT[bydgoszcz_VT_Total_Score],VT[Category]="senior"),_xlfn._xlws.FILTER(VT[zabrze_VT_Total_Score],VT[Category]="senior"),_xlfn._xlws.FILTER(VT[cracow_VT_Total_Score],VT[Category]="senior"),_xlfn._xlws.FILTER(VT[gdansk_VT_Total_Score],VT[Category]="senior"))/(COUNTIFS(VT[bydgoszcz_VT_Total_Score],"&gt;0",VT[Category],"senior")+COUNTIFS(VT[zabrze_VT_Total_Score],"&gt;0",VT[Category],"senior")+COUNTIFS(VT[cracow_VT_Total_Score],"&gt;0",VT[Category],"senior")+COUNTIFS(VT[gdansk_VT_Total_Score],"&gt;0",VT[Category],"senior"))</f>
        <v>12.581578947368424</v>
      </c>
      <c r="B61" s="7" cm="1">
        <f t="array" ref="B61">_xlfn.STDEV.S(_xlfn._xlws.FILTER(VT[bydgoszcz_VT_Total_Score],(VT[Category]="senior")*(VT[bydgoszcz_VT_Total_Score])&gt;0),_xlfn._xlws.FILTER(VT[zabrze_VT_Total_Score],(VT[Category]="senior")*(VT[zabrze_VT_Total_Score])&gt;0),_xlfn._xlws.FILTER(VT[cracow_VT_Total_Score],(VT[Category]="senior")*(VT[cracow_VT_Total_Score])&gt;0),_xlfn._xlws.FILTER(VT[gdansk_VT_Total_Score],(VT[Category]="senior")*(VT[gdansk_VT_Total_Score])&gt;0))</f>
        <v>0.86528440715360067</v>
      </c>
      <c r="C61" s="7" cm="1">
        <f t="array" ref="C61">MAX(_xlfn._xlws.FILTER(VT[bydgoszcz_VT_Total_Score],VT[Category]="senior"),_xlfn._xlws.FILTER(VT[zabrze_VT_Total_Score],VT[Category]="senior"),_xlfn._xlws.FILTER(VT[cracow_VT_Total_Score],VT[Category]="senior"),_xlfn._xlws.FILTER(VT[gdansk_VT_Total_Score],VT[Category]="senior"))</f>
        <v>14.8</v>
      </c>
      <c r="D61" s="2" t="str" cm="1">
        <f t="array" ref="D61">_xlfn.XLOOKUP(C61,_xlfn._xlws.FILTER(VT[bydgoszcz_VT_Total_Score],VT[Category]="senior"),_xlfn._xlws.FILTER(VT[Name],VT[Category]="senior"),_xlfn.XLOOKUP(C61,_xlfn._xlws.FILTER(VT[zabrze_VT_Total_Score],VT[Category]="senior"),_xlfn._xlws.FILTER(VT[Name],VT[Category]="senior"),_xlfn.XLOOKUP(C61,_xlfn._xlws.FILTER(VT[cracow_VT_Total_Score],VT[Category]="senior"),_xlfn._xlws.FILTER(VT[Name],VT[Category]="senior"),_xlfn.XLOOKUP(C61,_xlfn._xlws.FILTER(VT[gdansk_VT_Total_Score],VT[Category]="senior"),_xlfn._xlws.FILTER(VT[Name],VT[Category]="senior")))))</f>
        <v>SASNAL Filip</v>
      </c>
      <c r="O61" s="7"/>
      <c r="P61" s="2"/>
    </row>
  </sheetData>
  <conditionalFormatting sqref="F2:W47">
    <cfRule type="cellIs" dxfId="3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33EC-A124-5142-B101-5C47086843CB}">
  <sheetPr>
    <tabColor theme="5" tint="0.39997558519241921"/>
  </sheetPr>
  <dimension ref="A1:W57"/>
  <sheetViews>
    <sheetView zoomScale="75" zoomScaleNormal="75" workbookViewId="0">
      <selection sqref="A1:XFD1"/>
    </sheetView>
  </sheetViews>
  <sheetFormatPr defaultColWidth="11" defaultRowHeight="15.75" x14ac:dyDescent="0.25"/>
  <cols>
    <col min="1" max="1" width="21.125" bestFit="1" customWidth="1"/>
    <col min="2" max="2" width="18.5" style="2" bestFit="1" customWidth="1"/>
    <col min="3" max="3" width="17" style="2" bestFit="1" customWidth="1"/>
    <col min="4" max="4" width="25.125" bestFit="1" customWidth="1"/>
    <col min="5" max="5" width="8.25" style="2" customWidth="1"/>
    <col min="6" max="6" width="8.25" style="4" customWidth="1"/>
    <col min="7" max="8" width="8.25" style="7" customWidth="1"/>
    <col min="9" max="9" width="8.25" style="4" customWidth="1"/>
    <col min="10" max="11" width="8.25" style="7" customWidth="1"/>
    <col min="12" max="12" width="8.25" style="4" customWidth="1"/>
    <col min="13" max="14" width="8.25" style="7" customWidth="1"/>
    <col min="15" max="15" width="8.25" style="4" customWidth="1"/>
    <col min="16" max="17" width="8.25" style="7" customWidth="1"/>
    <col min="18" max="23" width="8.25" style="2" customWidth="1"/>
  </cols>
  <sheetData>
    <row r="1" spans="1:23" s="2" customFormat="1" x14ac:dyDescent="0.25">
      <c r="A1" s="7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193</v>
      </c>
      <c r="G1" s="2" t="s">
        <v>194</v>
      </c>
      <c r="H1" s="7" t="s">
        <v>195</v>
      </c>
      <c r="I1" s="2" t="s">
        <v>196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  <c r="O1" s="2" t="s">
        <v>202</v>
      </c>
      <c r="P1" s="2" t="s">
        <v>203</v>
      </c>
      <c r="Q1" s="2" t="s">
        <v>204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63</v>
      </c>
      <c r="B2" s="2" t="s">
        <v>60</v>
      </c>
      <c r="C2" s="2" t="s">
        <v>64</v>
      </c>
      <c r="D2" t="s">
        <v>39</v>
      </c>
      <c r="E2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2" s="4">
        <v>4.2</v>
      </c>
      <c r="G2" s="7">
        <v>8.6</v>
      </c>
      <c r="H2" s="7">
        <v>12.8</v>
      </c>
      <c r="I2" s="4">
        <v>4.2</v>
      </c>
      <c r="J2" s="7">
        <v>8.1999999999999993</v>
      </c>
      <c r="K2" s="7">
        <v>12.4</v>
      </c>
      <c r="L2" s="4">
        <v>4.2</v>
      </c>
      <c r="M2" s="7">
        <v>8.8000000000000007</v>
      </c>
      <c r="N2" s="7">
        <v>13</v>
      </c>
      <c r="O2" s="4">
        <v>4.2</v>
      </c>
      <c r="P2" s="7">
        <v>9.1999999999999993</v>
      </c>
      <c r="Q2" s="7">
        <v>13.4</v>
      </c>
      <c r="R2" s="4">
        <f>LARGE(CHOOSE({1;2;3;4},F2,I2,L2,O2),1)+LARGE(CHOOSE({1;2;3;4},F2,I2,L2,O2),2)+LARGE(CHOOSE({1;2;3;4},F2,I2,L2,O2),3)</f>
        <v>12.600000000000001</v>
      </c>
      <c r="S2" s="7">
        <f>LARGE(CHOOSE({1;2;3;4},G2,J2,M2,P2),1)+LARGE(CHOOSE({1;2;3;4},G2,J2,M2,P2),2)+LARGE(CHOOSE({1;2;3;4},G2,J2,M2,P2),3)</f>
        <v>26.6</v>
      </c>
      <c r="T2" s="7">
        <f>LARGE(CHOOSE({1;2;3;4},H2,K2,N2,Q2),1)+LARGE(CHOOSE({1;2;3;4},H2,K2,N2,Q2),2)+LARGE(CHOOSE({1;2;3;4},H2,K2,N2,Q2),3)</f>
        <v>39.200000000000003</v>
      </c>
      <c r="U2" s="4" cm="1">
        <f t="array" ref="U2">IF(PB[[#This Row],[Number_of_competition]:[Number_of_competition]]&gt;=3,(LARGE(CHOOSE({1;2;3;4},F2,I2,L2,O2),1)+LARGE(CHOOSE({1;2;3;4},F2,I2,L2,O2),2)+LARGE(CHOOSE({1;2;3;4},F2,I2,L2,O2),3))/3,0)</f>
        <v>4.2</v>
      </c>
      <c r="V2" s="7" cm="1">
        <f t="array" ref="V2">IF(PB[[#This Row],[Number_of_competition]:[Number_of_competition]]&gt;=3,(LARGE(CHOOSE({1;2;3;4},G2,J2,M2,P2),1)+LARGE(CHOOSE({1;2;3;4},G2,J2,M2,P2),2)+LARGE(CHOOSE({1;2;3;4},G2,J2,M2,P2),3))/3,0)</f>
        <v>8.8666666666666671</v>
      </c>
      <c r="W2" s="7" cm="1">
        <f t="array" ref="W2">IF(PB[[#This Row],[Number_of_competition]:[Number_of_competition]]&gt;=3,(LARGE(CHOOSE({1;2;3;4},H2,K2,N2,Q2),1)+LARGE(CHOOSE({1;2;3;4},H2,K2,N2,Q2),2)+LARGE(CHOOSE({1;2;3;4},H2,K2,N2,Q2),3))/3,0)</f>
        <v>13.066666666666668</v>
      </c>
    </row>
    <row r="3" spans="1:23" x14ac:dyDescent="0.25">
      <c r="A3" t="s">
        <v>25</v>
      </c>
      <c r="B3" s="2" t="s">
        <v>26</v>
      </c>
      <c r="C3" s="2" t="s">
        <v>27</v>
      </c>
      <c r="D3" t="s">
        <v>28</v>
      </c>
      <c r="E3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3" s="4">
        <v>4.0999999999999996</v>
      </c>
      <c r="G3" s="7">
        <v>8.5500000000000007</v>
      </c>
      <c r="H3" s="7">
        <v>12.65</v>
      </c>
      <c r="I3" s="4">
        <v>4.2</v>
      </c>
      <c r="J3" s="7">
        <v>9.1</v>
      </c>
      <c r="K3" s="7">
        <v>13.3</v>
      </c>
      <c r="L3" s="4">
        <v>4.2</v>
      </c>
      <c r="M3" s="7">
        <v>8.6</v>
      </c>
      <c r="N3" s="7">
        <v>12.8</v>
      </c>
      <c r="O3" s="4">
        <v>4.2</v>
      </c>
      <c r="P3" s="7">
        <v>7.7</v>
      </c>
      <c r="Q3" s="7">
        <v>11.9</v>
      </c>
      <c r="R3" s="4">
        <f>LARGE(CHOOSE({1;2;3;4},F3,I3,L3,O3),1)+LARGE(CHOOSE({1;2;3;4},F3,I3,L3,O3),2)+LARGE(CHOOSE({1;2;3;4},F3,I3,L3,O3),3)</f>
        <v>12.600000000000001</v>
      </c>
      <c r="S3" s="7">
        <f>LARGE(CHOOSE({1;2;3;4},G3,J3,M3,P3),1)+LARGE(CHOOSE({1;2;3;4},G3,J3,M3,P3),2)+LARGE(CHOOSE({1;2;3;4},G3,J3,M3,P3),3)</f>
        <v>26.25</v>
      </c>
      <c r="T3" s="7">
        <f>LARGE(CHOOSE({1;2;3;4},H3,K3,N3,Q3),1)+LARGE(CHOOSE({1;2;3;4},H3,K3,N3,Q3),2)+LARGE(CHOOSE({1;2;3;4},H3,K3,N3,Q3),3)</f>
        <v>38.75</v>
      </c>
      <c r="U3" s="4" cm="1">
        <f t="array" ref="U3">IF(PB[[#This Row],[Number_of_competition]:[Number_of_competition]]&gt;=3,(LARGE(CHOOSE({1;2;3;4},F3,I3,L3,O3),1)+LARGE(CHOOSE({1;2;3;4},F3,I3,L3,O3),2)+LARGE(CHOOSE({1;2;3;4},F3,I3,L3,O3),3))/3,0)</f>
        <v>4.2</v>
      </c>
      <c r="V3" s="7" cm="1">
        <f t="array" ref="V3">IF(PB[[#This Row],[Number_of_competition]:[Number_of_competition]]&gt;=3,(LARGE(CHOOSE({1;2;3;4},G3,J3,M3,P3),1)+LARGE(CHOOSE({1;2;3;4},G3,J3,M3,P3),2)+LARGE(CHOOSE({1;2;3;4},G3,J3,M3,P3),3))/3,0)</f>
        <v>8.75</v>
      </c>
      <c r="W3" s="7" cm="1">
        <f t="array" ref="W3">IF(PB[[#This Row],[Number_of_competition]:[Number_of_competition]]&gt;=3,(LARGE(CHOOSE({1;2;3;4},H3,K3,N3,Q3),1)+LARGE(CHOOSE({1;2;3;4},H3,K3,N3,Q3),2)+LARGE(CHOOSE({1;2;3;4},H3,K3,N3,Q3),3))/3,0)</f>
        <v>12.916666666666666</v>
      </c>
    </row>
    <row r="4" spans="1:23" x14ac:dyDescent="0.25">
      <c r="A4" t="s">
        <v>80</v>
      </c>
      <c r="B4" s="2" t="s">
        <v>60</v>
      </c>
      <c r="C4" s="2" t="s">
        <v>81</v>
      </c>
      <c r="D4" t="s">
        <v>62</v>
      </c>
      <c r="E4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4" s="4">
        <v>3.7</v>
      </c>
      <c r="G4" s="7">
        <v>8.4499999999999993</v>
      </c>
      <c r="H4" s="7">
        <v>12.15</v>
      </c>
      <c r="I4" s="4">
        <v>3.6</v>
      </c>
      <c r="J4" s="7">
        <v>8.65</v>
      </c>
      <c r="K4" s="7">
        <v>12.25</v>
      </c>
      <c r="L4" s="4">
        <v>4</v>
      </c>
      <c r="M4" s="7">
        <v>8.85</v>
      </c>
      <c r="N4" s="7">
        <v>12.85</v>
      </c>
      <c r="O4" s="4">
        <v>2.7</v>
      </c>
      <c r="P4" s="7">
        <v>6</v>
      </c>
      <c r="Q4" s="7">
        <v>8.6999999999999993</v>
      </c>
      <c r="R4" s="4">
        <f>LARGE(CHOOSE({1;2;3;4},F4,I4,L4,O4),1)+LARGE(CHOOSE({1;2;3;4},F4,I4,L4,O4),2)+LARGE(CHOOSE({1;2;3;4},F4,I4,L4,O4),3)</f>
        <v>11.3</v>
      </c>
      <c r="S4" s="7">
        <f>LARGE(CHOOSE({1;2;3;4},G4,J4,M4,P4),1)+LARGE(CHOOSE({1;2;3;4},G4,J4,M4,P4),2)+LARGE(CHOOSE({1;2;3;4},G4,J4,M4,P4),3)</f>
        <v>25.95</v>
      </c>
      <c r="T4" s="7">
        <f>LARGE(CHOOSE({1;2;3;4},H4,K4,N4,Q4),1)+LARGE(CHOOSE({1;2;3;4},H4,K4,N4,Q4),2)+LARGE(CHOOSE({1;2;3;4},H4,K4,N4,Q4),3)</f>
        <v>37.25</v>
      </c>
      <c r="U4" s="4" cm="1">
        <f t="array" ref="U4">IF(PB[[#This Row],[Number_of_competition]:[Number_of_competition]]&gt;=3,(LARGE(CHOOSE({1;2;3;4},F4,I4,L4,O4),1)+LARGE(CHOOSE({1;2;3;4},F4,I4,L4,O4),2)+LARGE(CHOOSE({1;2;3;4},F4,I4,L4,O4),3))/3,0)</f>
        <v>3.7666666666666671</v>
      </c>
      <c r="V4" s="7" cm="1">
        <f t="array" ref="V4">IF(PB[[#This Row],[Number_of_competition]:[Number_of_competition]]&gt;=3,(LARGE(CHOOSE({1;2;3;4},G4,J4,M4,P4),1)+LARGE(CHOOSE({1;2;3;4},G4,J4,M4,P4),2)+LARGE(CHOOSE({1;2;3;4},G4,J4,M4,P4),3))/3,0)</f>
        <v>8.65</v>
      </c>
      <c r="W4" s="7" cm="1">
        <f t="array" ref="W4">IF(PB[[#This Row],[Number_of_competition]:[Number_of_competition]]&gt;=3,(LARGE(CHOOSE({1;2;3;4},H4,K4,N4,Q4),1)+LARGE(CHOOSE({1;2;3;4},H4,K4,N4,Q4),2)+LARGE(CHOOSE({1;2;3;4},H4,K4,N4,Q4),3))/3,0)</f>
        <v>12.416666666666666</v>
      </c>
    </row>
    <row r="5" spans="1:23" x14ac:dyDescent="0.25">
      <c r="A5" t="s">
        <v>77</v>
      </c>
      <c r="B5" s="2" t="s">
        <v>60</v>
      </c>
      <c r="C5" s="2" t="s">
        <v>78</v>
      </c>
      <c r="D5" t="s">
        <v>79</v>
      </c>
      <c r="E5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5" s="4">
        <v>4</v>
      </c>
      <c r="G5" s="7">
        <v>8.15</v>
      </c>
      <c r="H5" s="7">
        <v>12.15</v>
      </c>
      <c r="I5" s="4">
        <v>3.8</v>
      </c>
      <c r="J5" s="7">
        <v>8.75</v>
      </c>
      <c r="K5" s="7">
        <v>12.55</v>
      </c>
      <c r="L5" s="4">
        <v>3.8</v>
      </c>
      <c r="M5" s="7">
        <v>8.5</v>
      </c>
      <c r="N5" s="7">
        <v>12.3</v>
      </c>
      <c r="O5" s="4">
        <v>3.1</v>
      </c>
      <c r="P5" s="7">
        <v>6.9</v>
      </c>
      <c r="Q5" s="7">
        <v>10</v>
      </c>
      <c r="R5" s="4">
        <f>LARGE(CHOOSE({1;2;3;4},F5,I5,L5,O5),1)+LARGE(CHOOSE({1;2;3;4},F5,I5,L5,O5),2)+LARGE(CHOOSE({1;2;3;4},F5,I5,L5,O5),3)</f>
        <v>11.6</v>
      </c>
      <c r="S5" s="7">
        <f>LARGE(CHOOSE({1;2;3;4},G5,J5,M5,P5),1)+LARGE(CHOOSE({1;2;3;4},G5,J5,M5,P5),2)+LARGE(CHOOSE({1;2;3;4},G5,J5,M5,P5),3)</f>
        <v>25.4</v>
      </c>
      <c r="T5" s="7">
        <f>LARGE(CHOOSE({1;2;3;4},H5,K5,N5,Q5),1)+LARGE(CHOOSE({1;2;3;4},H5,K5,N5,Q5),2)+LARGE(CHOOSE({1;2;3;4},H5,K5,N5,Q5),3)</f>
        <v>37</v>
      </c>
      <c r="U5" s="4" cm="1">
        <f t="array" ref="U5">IF(PB[[#This Row],[Number_of_competition]:[Number_of_competition]]&gt;=3,(LARGE(CHOOSE({1;2;3;4},F5,I5,L5,O5),1)+LARGE(CHOOSE({1;2;3;4},F5,I5,L5,O5),2)+LARGE(CHOOSE({1;2;3;4},F5,I5,L5,O5),3))/3,0)</f>
        <v>3.8666666666666667</v>
      </c>
      <c r="V5" s="7" cm="1">
        <f t="array" ref="V5">IF(PB[[#This Row],[Number_of_competition]:[Number_of_competition]]&gt;=3,(LARGE(CHOOSE({1;2;3;4},G5,J5,M5,P5),1)+LARGE(CHOOSE({1;2;3;4},G5,J5,M5,P5),2)+LARGE(CHOOSE({1;2;3;4},G5,J5,M5,P5),3))/3,0)</f>
        <v>8.4666666666666668</v>
      </c>
      <c r="W5" s="7" cm="1">
        <f t="array" ref="W5">IF(PB[[#This Row],[Number_of_competition]:[Number_of_competition]]&gt;=3,(LARGE(CHOOSE({1;2;3;4},H5,K5,N5,Q5),1)+LARGE(CHOOSE({1;2;3;4},H5,K5,N5,Q5),2)+LARGE(CHOOSE({1;2;3;4},H5,K5,N5,Q5),3))/3,0)</f>
        <v>12.333333333333334</v>
      </c>
    </row>
    <row r="6" spans="1:23" x14ac:dyDescent="0.25">
      <c r="A6" t="s">
        <v>59</v>
      </c>
      <c r="B6" s="2" t="s">
        <v>60</v>
      </c>
      <c r="C6" s="2" t="s">
        <v>61</v>
      </c>
      <c r="D6" t="s">
        <v>62</v>
      </c>
      <c r="E6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6" s="4">
        <v>0</v>
      </c>
      <c r="G6" s="7">
        <v>0</v>
      </c>
      <c r="H6" s="7">
        <v>0</v>
      </c>
      <c r="I6" s="4">
        <v>5</v>
      </c>
      <c r="J6" s="7">
        <v>7.45</v>
      </c>
      <c r="K6" s="7">
        <v>12.45</v>
      </c>
      <c r="L6" s="4">
        <v>5.3</v>
      </c>
      <c r="M6" s="7">
        <v>6.6</v>
      </c>
      <c r="N6" s="7">
        <v>11.9</v>
      </c>
      <c r="O6" s="4">
        <v>5.3</v>
      </c>
      <c r="P6" s="7">
        <v>7</v>
      </c>
      <c r="Q6" s="7">
        <v>12.3</v>
      </c>
      <c r="R6" s="4">
        <f>LARGE(CHOOSE({1;2;3;4},F6,I6,L6,O6),1)+LARGE(CHOOSE({1;2;3;4},F6,I6,L6,O6),2)+LARGE(CHOOSE({1;2;3;4},F6,I6,L6,O6),3)</f>
        <v>15.6</v>
      </c>
      <c r="S6" s="7">
        <f>LARGE(CHOOSE({1;2;3;4},G6,J6,M6,P6),1)+LARGE(CHOOSE({1;2;3;4},G6,J6,M6,P6),2)+LARGE(CHOOSE({1;2;3;4},G6,J6,M6,P6),3)</f>
        <v>21.049999999999997</v>
      </c>
      <c r="T6" s="7">
        <f>LARGE(CHOOSE({1;2;3;4},H6,K6,N6,Q6),1)+LARGE(CHOOSE({1;2;3;4},H6,K6,N6,Q6),2)+LARGE(CHOOSE({1;2;3;4},H6,K6,N6,Q6),3)</f>
        <v>36.65</v>
      </c>
      <c r="U6" s="4" cm="1">
        <f t="array" ref="U6">IF(PB[[#This Row],[Number_of_competition]:[Number_of_competition]]&gt;=3,(LARGE(CHOOSE({1;2;3;4},F6,I6,L6,O6),1)+LARGE(CHOOSE({1;2;3;4},F6,I6,L6,O6),2)+LARGE(CHOOSE({1;2;3;4},F6,I6,L6,O6),3))/3,0)</f>
        <v>5.2</v>
      </c>
      <c r="V6" s="7" cm="1">
        <f t="array" ref="V6">IF(PB[[#This Row],[Number_of_competition]:[Number_of_competition]]&gt;=3,(LARGE(CHOOSE({1;2;3;4},G6,J6,M6,P6),1)+LARGE(CHOOSE({1;2;3;4},G6,J6,M6,P6),2)+LARGE(CHOOSE({1;2;3;4},G6,J6,M6,P6),3))/3,0)</f>
        <v>7.0166666666666657</v>
      </c>
      <c r="W6" s="7" cm="1">
        <f t="array" ref="W6">IF(PB[[#This Row],[Number_of_competition]:[Number_of_competition]]&gt;=3,(LARGE(CHOOSE({1;2;3;4},H6,K6,N6,Q6),1)+LARGE(CHOOSE({1;2;3;4},H6,K6,N6,Q6),2)+LARGE(CHOOSE({1;2;3;4},H6,K6,N6,Q6),3))/3,0)</f>
        <v>12.216666666666667</v>
      </c>
    </row>
    <row r="7" spans="1:23" x14ac:dyDescent="0.25">
      <c r="A7" t="s">
        <v>44</v>
      </c>
      <c r="B7" s="2" t="s">
        <v>26</v>
      </c>
      <c r="C7" s="2" t="s">
        <v>45</v>
      </c>
      <c r="D7" t="s">
        <v>39</v>
      </c>
      <c r="E7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7" s="4">
        <v>3.1</v>
      </c>
      <c r="G7" s="7">
        <v>8.6999999999999993</v>
      </c>
      <c r="H7" s="7">
        <v>11.8</v>
      </c>
      <c r="I7" s="4">
        <v>3</v>
      </c>
      <c r="J7" s="7">
        <v>9</v>
      </c>
      <c r="K7" s="7">
        <v>12</v>
      </c>
      <c r="L7" s="4">
        <v>3</v>
      </c>
      <c r="M7" s="7">
        <v>8.9</v>
      </c>
      <c r="N7" s="7">
        <v>11.9</v>
      </c>
      <c r="O7" s="4">
        <v>2.6</v>
      </c>
      <c r="P7" s="7">
        <v>8.9</v>
      </c>
      <c r="Q7" s="7">
        <v>11.5</v>
      </c>
      <c r="R7" s="4">
        <f>LARGE(CHOOSE({1;2;3;4},F7,I7,L7,O7),1)+LARGE(CHOOSE({1;2;3;4},F7,I7,L7,O7),2)+LARGE(CHOOSE({1;2;3;4},F7,I7,L7,O7),3)</f>
        <v>9.1</v>
      </c>
      <c r="S7" s="7">
        <f>LARGE(CHOOSE({1;2;3;4},G7,J7,M7,P7),1)+LARGE(CHOOSE({1;2;3;4},G7,J7,M7,P7),2)+LARGE(CHOOSE({1;2;3;4},G7,J7,M7,P7),3)</f>
        <v>26.799999999999997</v>
      </c>
      <c r="T7" s="7">
        <f>LARGE(CHOOSE({1;2;3;4},H7,K7,N7,Q7),1)+LARGE(CHOOSE({1;2;3;4},H7,K7,N7,Q7),2)+LARGE(CHOOSE({1;2;3;4},H7,K7,N7,Q7),3)</f>
        <v>35.700000000000003</v>
      </c>
      <c r="U7" s="4" cm="1">
        <f t="array" ref="U7">IF(PB[[#This Row],[Number_of_competition]:[Number_of_competition]]&gt;=3,(LARGE(CHOOSE({1;2;3;4},F7,I7,L7,O7),1)+LARGE(CHOOSE({1;2;3;4},F7,I7,L7,O7),2)+LARGE(CHOOSE({1;2;3;4},F7,I7,L7,O7),3))/3,0)</f>
        <v>3.0333333333333332</v>
      </c>
      <c r="V7" s="7" cm="1">
        <f t="array" ref="V7">IF(PB[[#This Row],[Number_of_competition]:[Number_of_competition]]&gt;=3,(LARGE(CHOOSE({1;2;3;4},G7,J7,M7,P7),1)+LARGE(CHOOSE({1;2;3;4},G7,J7,M7,P7),2)+LARGE(CHOOSE({1;2;3;4},G7,J7,M7,P7),3))/3,0)</f>
        <v>8.9333333333333318</v>
      </c>
      <c r="W7" s="7" cm="1">
        <f t="array" ref="W7">IF(PB[[#This Row],[Number_of_competition]:[Number_of_competition]]&gt;=3,(LARGE(CHOOSE({1;2;3;4},H7,K7,N7,Q7),1)+LARGE(CHOOSE({1;2;3;4},H7,K7,N7,Q7),2)+LARGE(CHOOSE({1;2;3;4},H7,K7,N7,Q7),3))/3,0)</f>
        <v>11.9</v>
      </c>
    </row>
    <row r="8" spans="1:23" x14ac:dyDescent="0.25">
      <c r="A8" t="s">
        <v>84</v>
      </c>
      <c r="B8" s="2" t="s">
        <v>60</v>
      </c>
      <c r="C8" s="2" t="s">
        <v>85</v>
      </c>
      <c r="D8" t="s">
        <v>39</v>
      </c>
      <c r="E8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8" s="4">
        <v>3.7</v>
      </c>
      <c r="G8" s="7">
        <v>7.85</v>
      </c>
      <c r="H8" s="7">
        <v>11.55</v>
      </c>
      <c r="I8" s="4">
        <v>4.2</v>
      </c>
      <c r="J8" s="7">
        <v>7.5</v>
      </c>
      <c r="K8" s="7">
        <v>11.7</v>
      </c>
      <c r="L8" s="4">
        <v>3.6</v>
      </c>
      <c r="M8" s="7">
        <v>7.9</v>
      </c>
      <c r="N8" s="7">
        <v>11.5</v>
      </c>
      <c r="O8" s="4">
        <v>4.2</v>
      </c>
      <c r="P8" s="7">
        <v>7.7</v>
      </c>
      <c r="Q8" s="7">
        <v>11.9</v>
      </c>
      <c r="R8" s="4">
        <f>LARGE(CHOOSE({1;2;3;4},F8,I8,L8,O8),1)+LARGE(CHOOSE({1;2;3;4},F8,I8,L8,O8),2)+LARGE(CHOOSE({1;2;3;4},F8,I8,L8,O8),3)</f>
        <v>12.100000000000001</v>
      </c>
      <c r="S8" s="7">
        <f>LARGE(CHOOSE({1;2;3;4},G8,J8,M8,P8),1)+LARGE(CHOOSE({1;2;3;4},G8,J8,M8,P8),2)+LARGE(CHOOSE({1;2;3;4},G8,J8,M8,P8),3)</f>
        <v>23.45</v>
      </c>
      <c r="T8" s="7">
        <f>LARGE(CHOOSE({1;2;3;4},H8,K8,N8,Q8),1)+LARGE(CHOOSE({1;2;3;4},H8,K8,N8,Q8),2)+LARGE(CHOOSE({1;2;3;4},H8,K8,N8,Q8),3)</f>
        <v>35.150000000000006</v>
      </c>
      <c r="U8" s="4" cm="1">
        <f t="array" ref="U8">IF(PB[[#This Row],[Number_of_competition]:[Number_of_competition]]&gt;=3,(LARGE(CHOOSE({1;2;3;4},F8,I8,L8,O8),1)+LARGE(CHOOSE({1;2;3;4},F8,I8,L8,O8),2)+LARGE(CHOOSE({1;2;3;4},F8,I8,L8,O8),3))/3,0)</f>
        <v>4.0333333333333341</v>
      </c>
      <c r="V8" s="7" cm="1">
        <f t="array" ref="V8">IF(PB[[#This Row],[Number_of_competition]:[Number_of_competition]]&gt;=3,(LARGE(CHOOSE({1;2;3;4},G8,J8,M8,P8),1)+LARGE(CHOOSE({1;2;3;4},G8,J8,M8,P8),2)+LARGE(CHOOSE({1;2;3;4},G8,J8,M8,P8),3))/3,0)</f>
        <v>7.8166666666666664</v>
      </c>
      <c r="W8" s="7" cm="1">
        <f t="array" ref="W8">IF(PB[[#This Row],[Number_of_competition]:[Number_of_competition]]&gt;=3,(LARGE(CHOOSE({1;2;3;4},H8,K8,N8,Q8),1)+LARGE(CHOOSE({1;2;3;4},H8,K8,N8,Q8),2)+LARGE(CHOOSE({1;2;3;4},H8,K8,N8,Q8),3))/3,0)</f>
        <v>11.716666666666669</v>
      </c>
    </row>
    <row r="9" spans="1:23" x14ac:dyDescent="0.25">
      <c r="A9" t="s">
        <v>29</v>
      </c>
      <c r="B9" s="2" t="s">
        <v>26</v>
      </c>
      <c r="C9" s="2" t="s">
        <v>30</v>
      </c>
      <c r="D9" t="s">
        <v>31</v>
      </c>
      <c r="E9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9" s="4">
        <v>3.2</v>
      </c>
      <c r="G9" s="7">
        <v>8.4499999999999993</v>
      </c>
      <c r="H9" s="7">
        <v>11.65</v>
      </c>
      <c r="I9" s="4">
        <v>3.4</v>
      </c>
      <c r="J9" s="7">
        <v>8.35</v>
      </c>
      <c r="K9" s="7">
        <v>11.75</v>
      </c>
      <c r="L9" s="4">
        <v>0</v>
      </c>
      <c r="M9" s="7">
        <v>0</v>
      </c>
      <c r="N9" s="7">
        <v>0</v>
      </c>
      <c r="O9" s="4">
        <v>3.4</v>
      </c>
      <c r="P9" s="7">
        <v>8.1999999999999993</v>
      </c>
      <c r="Q9" s="7">
        <v>11.6</v>
      </c>
      <c r="R9" s="4">
        <f>LARGE(CHOOSE({1;2;3;4},F9,I9,L9,O9),1)+LARGE(CHOOSE({1;2;3;4},F9,I9,L9,O9),2)+LARGE(CHOOSE({1;2;3;4},F9,I9,L9,O9),3)</f>
        <v>10</v>
      </c>
      <c r="S9" s="7">
        <f>LARGE(CHOOSE({1;2;3;4},G9,J9,M9,P9),1)+LARGE(CHOOSE({1;2;3;4},G9,J9,M9,P9),2)+LARGE(CHOOSE({1;2;3;4},G9,J9,M9,P9),3)</f>
        <v>24.999999999999996</v>
      </c>
      <c r="T9" s="7">
        <f>LARGE(CHOOSE({1;2;3;4},H9,K9,N9,Q9),1)+LARGE(CHOOSE({1;2;3;4},H9,K9,N9,Q9),2)+LARGE(CHOOSE({1;2;3;4},H9,K9,N9,Q9),3)</f>
        <v>35</v>
      </c>
      <c r="U9" s="4" cm="1">
        <f t="array" ref="U9">IF(PB[[#This Row],[Number_of_competition]:[Number_of_competition]]&gt;=3,(LARGE(CHOOSE({1;2;3;4},F9,I9,L9,O9),1)+LARGE(CHOOSE({1;2;3;4},F9,I9,L9,O9),2)+LARGE(CHOOSE({1;2;3;4},F9,I9,L9,O9),3))/3,0)</f>
        <v>3.3333333333333335</v>
      </c>
      <c r="V9" s="7" cm="1">
        <f t="array" ref="V9">IF(PB[[#This Row],[Number_of_competition]:[Number_of_competition]]&gt;=3,(LARGE(CHOOSE({1;2;3;4},G9,J9,M9,P9),1)+LARGE(CHOOSE({1;2;3;4},G9,J9,M9,P9),2)+LARGE(CHOOSE({1;2;3;4},G9,J9,M9,P9),3))/3,0)</f>
        <v>8.3333333333333321</v>
      </c>
      <c r="W9" s="7" cm="1">
        <f t="array" ref="W9">IF(PB[[#This Row],[Number_of_competition]:[Number_of_competition]]&gt;=3,(LARGE(CHOOSE({1;2;3;4},H9,K9,N9,Q9),1)+LARGE(CHOOSE({1;2;3;4},H9,K9,N9,Q9),2)+LARGE(CHOOSE({1;2;3;4},H9,K9,N9,Q9),3))/3,0)</f>
        <v>11.666666666666666</v>
      </c>
    </row>
    <row r="10" spans="1:23" x14ac:dyDescent="0.25">
      <c r="A10" t="s">
        <v>37</v>
      </c>
      <c r="B10" s="2" t="s">
        <v>26</v>
      </c>
      <c r="C10" s="2" t="s">
        <v>38</v>
      </c>
      <c r="D10" t="s">
        <v>39</v>
      </c>
      <c r="E10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0" s="4">
        <v>3.1</v>
      </c>
      <c r="G10" s="7">
        <v>8.5</v>
      </c>
      <c r="H10" s="7">
        <v>11.6</v>
      </c>
      <c r="I10" s="4">
        <v>3.1</v>
      </c>
      <c r="J10" s="7">
        <v>8</v>
      </c>
      <c r="K10" s="7">
        <v>11.1</v>
      </c>
      <c r="L10" s="4">
        <v>3.1</v>
      </c>
      <c r="M10" s="7">
        <v>8.4</v>
      </c>
      <c r="N10" s="7">
        <v>11.5</v>
      </c>
      <c r="O10" s="4">
        <v>3.2</v>
      </c>
      <c r="P10" s="7">
        <v>8.6</v>
      </c>
      <c r="Q10" s="7">
        <v>11.8</v>
      </c>
      <c r="R10" s="4">
        <f>LARGE(CHOOSE({1;2;3;4},F10,I10,L10,O10),1)+LARGE(CHOOSE({1;2;3;4},F10,I10,L10,O10),2)+LARGE(CHOOSE({1;2;3;4},F10,I10,L10,O10),3)</f>
        <v>9.4</v>
      </c>
      <c r="S10" s="7">
        <f>LARGE(CHOOSE({1;2;3;4},G10,J10,M10,P10),1)+LARGE(CHOOSE({1;2;3;4},G10,J10,M10,P10),2)+LARGE(CHOOSE({1;2;3;4},G10,J10,M10,P10),3)</f>
        <v>25.5</v>
      </c>
      <c r="T10" s="7">
        <f>LARGE(CHOOSE({1;2;3;4},H10,K10,N10,Q10),1)+LARGE(CHOOSE({1;2;3;4},H10,K10,N10,Q10),2)+LARGE(CHOOSE({1;2;3;4},H10,K10,N10,Q10),3)</f>
        <v>34.9</v>
      </c>
      <c r="U10" s="4" cm="1">
        <f t="array" ref="U10">IF(PB[[#This Row],[Number_of_competition]:[Number_of_competition]]&gt;=3,(LARGE(CHOOSE({1;2;3;4},F10,I10,L10,O10),1)+LARGE(CHOOSE({1;2;3;4},F10,I10,L10,O10),2)+LARGE(CHOOSE({1;2;3;4},F10,I10,L10,O10),3))/3,0)</f>
        <v>3.1333333333333333</v>
      </c>
      <c r="V10" s="7" cm="1">
        <f t="array" ref="V10">IF(PB[[#This Row],[Number_of_competition]:[Number_of_competition]]&gt;=3,(LARGE(CHOOSE({1;2;3;4},G10,J10,M10,P10),1)+LARGE(CHOOSE({1;2;3;4},G10,J10,M10,P10),2)+LARGE(CHOOSE({1;2;3;4},G10,J10,M10,P10),3))/3,0)</f>
        <v>8.5</v>
      </c>
      <c r="W10" s="7" cm="1">
        <f t="array" ref="W10">IF(PB[[#This Row],[Number_of_competition]:[Number_of_competition]]&gt;=3,(LARGE(CHOOSE({1;2;3;4},H10,K10,N10,Q10),1)+LARGE(CHOOSE({1;2;3;4},H10,K10,N10,Q10),2)+LARGE(CHOOSE({1;2;3;4},H10,K10,N10,Q10),3))/3,0)</f>
        <v>11.633333333333333</v>
      </c>
    </row>
    <row r="11" spans="1:23" x14ac:dyDescent="0.25">
      <c r="A11" t="s">
        <v>32</v>
      </c>
      <c r="B11" s="2" t="s">
        <v>26</v>
      </c>
      <c r="C11" s="2" t="s">
        <v>33</v>
      </c>
      <c r="D11" t="s">
        <v>31</v>
      </c>
      <c r="E11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1" s="4">
        <v>3.5</v>
      </c>
      <c r="G11" s="7">
        <v>7.95</v>
      </c>
      <c r="H11" s="7">
        <v>11.45</v>
      </c>
      <c r="I11" s="4">
        <v>3.4</v>
      </c>
      <c r="J11" s="7">
        <v>7.95</v>
      </c>
      <c r="K11" s="7">
        <v>11.35</v>
      </c>
      <c r="L11" s="4">
        <v>3.2</v>
      </c>
      <c r="M11" s="7">
        <v>8.8000000000000007</v>
      </c>
      <c r="N11" s="7">
        <v>12</v>
      </c>
      <c r="O11" s="4">
        <v>3.4</v>
      </c>
      <c r="P11" s="7">
        <v>7.3</v>
      </c>
      <c r="Q11" s="7">
        <v>10.7</v>
      </c>
      <c r="R11" s="4">
        <f>LARGE(CHOOSE({1;2;3;4},F11,I11,L11,O11),1)+LARGE(CHOOSE({1;2;3;4},F11,I11,L11,O11),2)+LARGE(CHOOSE({1;2;3;4},F11,I11,L11,O11),3)</f>
        <v>10.3</v>
      </c>
      <c r="S11" s="7">
        <f>LARGE(CHOOSE({1;2;3;4},G11,J11,M11,P11),1)+LARGE(CHOOSE({1;2;3;4},G11,J11,M11,P11),2)+LARGE(CHOOSE({1;2;3;4},G11,J11,M11,P11),3)</f>
        <v>24.7</v>
      </c>
      <c r="T11" s="7">
        <f>LARGE(CHOOSE({1;2;3;4},H11,K11,N11,Q11),1)+LARGE(CHOOSE({1;2;3;4},H11,K11,N11,Q11),2)+LARGE(CHOOSE({1;2;3;4},H11,K11,N11,Q11),3)</f>
        <v>34.799999999999997</v>
      </c>
      <c r="U11" s="4" cm="1">
        <f t="array" ref="U11">IF(PB[[#This Row],[Number_of_competition]:[Number_of_competition]]&gt;=3,(LARGE(CHOOSE({1;2;3;4},F11,I11,L11,O11),1)+LARGE(CHOOSE({1;2;3;4},F11,I11,L11,O11),2)+LARGE(CHOOSE({1;2;3;4},F11,I11,L11,O11),3))/3,0)</f>
        <v>3.4333333333333336</v>
      </c>
      <c r="V11" s="7" cm="1">
        <f t="array" ref="V11">IF(PB[[#This Row],[Number_of_competition]:[Number_of_competition]]&gt;=3,(LARGE(CHOOSE({1;2;3;4},G11,J11,M11,P11),1)+LARGE(CHOOSE({1;2;3;4},G11,J11,M11,P11),2)+LARGE(CHOOSE({1;2;3;4},G11,J11,M11,P11),3))/3,0)</f>
        <v>8.2333333333333325</v>
      </c>
      <c r="W11" s="7" cm="1">
        <f t="array" ref="W11">IF(PB[[#This Row],[Number_of_competition]:[Number_of_competition]]&gt;=3,(LARGE(CHOOSE({1;2;3;4},H11,K11,N11,Q11),1)+LARGE(CHOOSE({1;2;3;4},H11,K11,N11,Q11),2)+LARGE(CHOOSE({1;2;3;4},H11,K11,N11,Q11),3))/3,0)</f>
        <v>11.6</v>
      </c>
    </row>
    <row r="12" spans="1:23" x14ac:dyDescent="0.25">
      <c r="A12" t="s">
        <v>34</v>
      </c>
      <c r="B12" s="2" t="s">
        <v>26</v>
      </c>
      <c r="C12" s="2" t="s">
        <v>35</v>
      </c>
      <c r="D12" t="s">
        <v>36</v>
      </c>
      <c r="E12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2" s="4">
        <v>3.2</v>
      </c>
      <c r="G12" s="7">
        <v>8.6</v>
      </c>
      <c r="H12" s="7">
        <v>11.8</v>
      </c>
      <c r="I12" s="4">
        <v>3.7</v>
      </c>
      <c r="J12" s="7">
        <v>7.45</v>
      </c>
      <c r="K12" s="7">
        <v>11.15</v>
      </c>
      <c r="L12" s="4">
        <v>3.7</v>
      </c>
      <c r="M12" s="7">
        <v>8</v>
      </c>
      <c r="N12" s="7">
        <v>11.7</v>
      </c>
      <c r="O12" s="4">
        <v>3.4</v>
      </c>
      <c r="P12" s="7">
        <v>7.3</v>
      </c>
      <c r="Q12" s="7">
        <v>10.7</v>
      </c>
      <c r="R12" s="4">
        <f>LARGE(CHOOSE({1;2;3;4},F12,I12,L12,O12),1)+LARGE(CHOOSE({1;2;3;4},F12,I12,L12,O12),2)+LARGE(CHOOSE({1;2;3;4},F12,I12,L12,O12),3)</f>
        <v>10.8</v>
      </c>
      <c r="S12" s="7">
        <f>LARGE(CHOOSE({1;2;3;4},G12,J12,M12,P12),1)+LARGE(CHOOSE({1;2;3;4},G12,J12,M12,P12),2)+LARGE(CHOOSE({1;2;3;4},G12,J12,M12,P12),3)</f>
        <v>24.05</v>
      </c>
      <c r="T12" s="7">
        <f>LARGE(CHOOSE({1;2;3;4},H12,K12,N12,Q12),1)+LARGE(CHOOSE({1;2;3;4},H12,K12,N12,Q12),2)+LARGE(CHOOSE({1;2;3;4},H12,K12,N12,Q12),3)</f>
        <v>34.65</v>
      </c>
      <c r="U12" s="4" cm="1">
        <f t="array" ref="U12">IF(PB[[#This Row],[Number_of_competition]:[Number_of_competition]]&gt;=3,(LARGE(CHOOSE({1;2;3;4},F12,I12,L12,O12),1)+LARGE(CHOOSE({1;2;3;4},F12,I12,L12,O12),2)+LARGE(CHOOSE({1;2;3;4},F12,I12,L12,O12),3))/3,0)</f>
        <v>3.6</v>
      </c>
      <c r="V12" s="7" cm="1">
        <f t="array" ref="V12">IF(PB[[#This Row],[Number_of_competition]:[Number_of_competition]]&gt;=3,(LARGE(CHOOSE({1;2;3;4},G12,J12,M12,P12),1)+LARGE(CHOOSE({1;2;3;4},G12,J12,M12,P12),2)+LARGE(CHOOSE({1;2;3;4},G12,J12,M12,P12),3))/3,0)</f>
        <v>8.0166666666666675</v>
      </c>
      <c r="W12" s="7" cm="1">
        <f t="array" ref="W12">IF(PB[[#This Row],[Number_of_competition]:[Number_of_competition]]&gt;=3,(LARGE(CHOOSE({1;2;3;4},H12,K12,N12,Q12),1)+LARGE(CHOOSE({1;2;3;4},H12,K12,N12,Q12),2)+LARGE(CHOOSE({1;2;3;4},H12,K12,N12,Q12),3))/3,0)</f>
        <v>11.549999999999999</v>
      </c>
    </row>
    <row r="13" spans="1:23" x14ac:dyDescent="0.25">
      <c r="A13" t="s">
        <v>73</v>
      </c>
      <c r="B13" s="2" t="s">
        <v>60</v>
      </c>
      <c r="C13" s="2" t="s">
        <v>74</v>
      </c>
      <c r="D13" t="s">
        <v>62</v>
      </c>
      <c r="E13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3" s="4">
        <v>3.5</v>
      </c>
      <c r="G13" s="7">
        <v>8</v>
      </c>
      <c r="H13" s="7">
        <v>11.5</v>
      </c>
      <c r="I13" s="4">
        <v>4.0999999999999996</v>
      </c>
      <c r="J13" s="7">
        <v>7.9</v>
      </c>
      <c r="K13" s="7">
        <v>12</v>
      </c>
      <c r="L13" s="4">
        <v>3.7</v>
      </c>
      <c r="M13" s="7">
        <v>6.85</v>
      </c>
      <c r="N13" s="7">
        <v>10.55</v>
      </c>
      <c r="O13" s="4">
        <v>3.6</v>
      </c>
      <c r="P13" s="7">
        <v>7.4</v>
      </c>
      <c r="Q13" s="7">
        <v>11</v>
      </c>
      <c r="R13" s="4">
        <f>LARGE(CHOOSE({1;2;3;4},F13,I13,L13,O13),1)+LARGE(CHOOSE({1;2;3;4},F13,I13,L13,O13),2)+LARGE(CHOOSE({1;2;3;4},F13,I13,L13,O13),3)</f>
        <v>11.4</v>
      </c>
      <c r="S13" s="7">
        <f>LARGE(CHOOSE({1;2;3;4},G13,J13,M13,P13),1)+LARGE(CHOOSE({1;2;3;4},G13,J13,M13,P13),2)+LARGE(CHOOSE({1;2;3;4},G13,J13,M13,P13),3)</f>
        <v>23.3</v>
      </c>
      <c r="T13" s="7">
        <f>LARGE(CHOOSE({1;2;3;4},H13,K13,N13,Q13),1)+LARGE(CHOOSE({1;2;3;4},H13,K13,N13,Q13),2)+LARGE(CHOOSE({1;2;3;4},H13,K13,N13,Q13),3)</f>
        <v>34.5</v>
      </c>
      <c r="U13" s="4" cm="1">
        <f t="array" ref="U13">IF(PB[[#This Row],[Number_of_competition]:[Number_of_competition]]&gt;=3,(LARGE(CHOOSE({1;2;3;4},F13,I13,L13,O13),1)+LARGE(CHOOSE({1;2;3;4},F13,I13,L13,O13),2)+LARGE(CHOOSE({1;2;3;4},F13,I13,L13,O13),3))/3,0)</f>
        <v>3.8000000000000003</v>
      </c>
      <c r="V13" s="7" cm="1">
        <f t="array" ref="V13">IF(PB[[#This Row],[Number_of_competition]:[Number_of_competition]]&gt;=3,(LARGE(CHOOSE({1;2;3;4},G13,J13,M13,P13),1)+LARGE(CHOOSE({1;2;3;4},G13,J13,M13,P13),2)+LARGE(CHOOSE({1;2;3;4},G13,J13,M13,P13),3))/3,0)</f>
        <v>7.7666666666666666</v>
      </c>
      <c r="W13" s="7" cm="1">
        <f t="array" ref="W13">IF(PB[[#This Row],[Number_of_competition]:[Number_of_competition]]&gt;=3,(LARGE(CHOOSE({1;2;3;4},H13,K13,N13,Q13),1)+LARGE(CHOOSE({1;2;3;4},H13,K13,N13,Q13),2)+LARGE(CHOOSE({1;2;3;4},H13,K13,N13,Q13),3))/3,0)</f>
        <v>11.5</v>
      </c>
    </row>
    <row r="14" spans="1:23" x14ac:dyDescent="0.25">
      <c r="A14" t="s">
        <v>52</v>
      </c>
      <c r="B14" s="2" t="s">
        <v>26</v>
      </c>
      <c r="C14" s="2" t="s">
        <v>53</v>
      </c>
      <c r="D14" t="s">
        <v>36</v>
      </c>
      <c r="E14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4" s="4">
        <v>3.1</v>
      </c>
      <c r="G14" s="7">
        <v>8.75</v>
      </c>
      <c r="H14" s="7">
        <v>11.85</v>
      </c>
      <c r="I14" s="4">
        <v>3.1</v>
      </c>
      <c r="J14" s="7">
        <v>8</v>
      </c>
      <c r="K14" s="7">
        <v>11.1</v>
      </c>
      <c r="L14" s="4">
        <v>2.4</v>
      </c>
      <c r="M14" s="7">
        <v>9.1</v>
      </c>
      <c r="N14" s="7">
        <v>11.5</v>
      </c>
      <c r="O14" s="4">
        <v>2.4</v>
      </c>
      <c r="P14" s="7">
        <v>8.5</v>
      </c>
      <c r="Q14" s="7">
        <v>10.9</v>
      </c>
      <c r="R14" s="4">
        <f>LARGE(CHOOSE({1;2;3;4},F14,I14,L14,O14),1)+LARGE(CHOOSE({1;2;3;4},F14,I14,L14,O14),2)+LARGE(CHOOSE({1;2;3;4},F14,I14,L14,O14),3)</f>
        <v>8.6</v>
      </c>
      <c r="S14" s="7">
        <f>LARGE(CHOOSE({1;2;3;4},G14,J14,M14,P14),1)+LARGE(CHOOSE({1;2;3;4},G14,J14,M14,P14),2)+LARGE(CHOOSE({1;2;3;4},G14,J14,M14,P14),3)</f>
        <v>26.35</v>
      </c>
      <c r="T14" s="7">
        <f>LARGE(CHOOSE({1;2;3;4},H14,K14,N14,Q14),1)+LARGE(CHOOSE({1;2;3;4},H14,K14,N14,Q14),2)+LARGE(CHOOSE({1;2;3;4},H14,K14,N14,Q14),3)</f>
        <v>34.450000000000003</v>
      </c>
      <c r="U14" s="4" cm="1">
        <f t="array" ref="U14">IF(PB[[#This Row],[Number_of_competition]:[Number_of_competition]]&gt;=3,(LARGE(CHOOSE({1;2;3;4},F14,I14,L14,O14),1)+LARGE(CHOOSE({1;2;3;4},F14,I14,L14,O14),2)+LARGE(CHOOSE({1;2;3;4},F14,I14,L14,O14),3))/3,0)</f>
        <v>2.8666666666666667</v>
      </c>
      <c r="V14" s="7" cm="1">
        <f t="array" ref="V14">IF(PB[[#This Row],[Number_of_competition]:[Number_of_competition]]&gt;=3,(LARGE(CHOOSE({1;2;3;4},G14,J14,M14,P14),1)+LARGE(CHOOSE({1;2;3;4},G14,J14,M14,P14),2)+LARGE(CHOOSE({1;2;3;4},G14,J14,M14,P14),3))/3,0)</f>
        <v>8.7833333333333332</v>
      </c>
      <c r="W14" s="7" cm="1">
        <f t="array" ref="W14">IF(PB[[#This Row],[Number_of_competition]:[Number_of_competition]]&gt;=3,(LARGE(CHOOSE({1;2;3;4},H14,K14,N14,Q14),1)+LARGE(CHOOSE({1;2;3;4},H14,K14,N14,Q14),2)+LARGE(CHOOSE({1;2;3;4},H14,K14,N14,Q14),3))/3,0)</f>
        <v>11.483333333333334</v>
      </c>
    </row>
    <row r="15" spans="1:23" x14ac:dyDescent="0.25">
      <c r="A15" t="s">
        <v>40</v>
      </c>
      <c r="B15" s="2" t="s">
        <v>26</v>
      </c>
      <c r="C15" s="2" t="s">
        <v>41</v>
      </c>
      <c r="D15" t="s">
        <v>39</v>
      </c>
      <c r="E15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15" s="4">
        <v>0</v>
      </c>
      <c r="G15" s="7">
        <v>0</v>
      </c>
      <c r="H15" s="7">
        <v>0</v>
      </c>
      <c r="I15" s="4">
        <v>3</v>
      </c>
      <c r="J15" s="7">
        <v>8.1999999999999993</v>
      </c>
      <c r="K15" s="7">
        <v>11.2</v>
      </c>
      <c r="L15" s="4">
        <v>3</v>
      </c>
      <c r="M15" s="7">
        <v>8.1</v>
      </c>
      <c r="N15" s="7">
        <v>11.1</v>
      </c>
      <c r="O15" s="4">
        <v>3</v>
      </c>
      <c r="P15" s="7">
        <v>9</v>
      </c>
      <c r="Q15" s="7">
        <v>12</v>
      </c>
      <c r="R15" s="4">
        <f>LARGE(CHOOSE({1;2;3;4},F15,I15,L15,O15),1)+LARGE(CHOOSE({1;2;3;4},F15,I15,L15,O15),2)+LARGE(CHOOSE({1;2;3;4},F15,I15,L15,O15),3)</f>
        <v>9</v>
      </c>
      <c r="S15" s="7">
        <f>LARGE(CHOOSE({1;2;3;4},G15,J15,M15,P15),1)+LARGE(CHOOSE({1;2;3;4},G15,J15,M15,P15),2)+LARGE(CHOOSE({1;2;3;4},G15,J15,M15,P15),3)</f>
        <v>25.299999999999997</v>
      </c>
      <c r="T15" s="7">
        <f>LARGE(CHOOSE({1;2;3;4},H15,K15,N15,Q15),1)+LARGE(CHOOSE({1;2;3;4},H15,K15,N15,Q15),2)+LARGE(CHOOSE({1;2;3;4},H15,K15,N15,Q15),3)</f>
        <v>34.299999999999997</v>
      </c>
      <c r="U15" s="4" cm="1">
        <f t="array" ref="U15">IF(PB[[#This Row],[Number_of_competition]:[Number_of_competition]]&gt;=3,(LARGE(CHOOSE({1;2;3;4},F15,I15,L15,O15),1)+LARGE(CHOOSE({1;2;3;4},F15,I15,L15,O15),2)+LARGE(CHOOSE({1;2;3;4},F15,I15,L15,O15),3))/3,0)</f>
        <v>3</v>
      </c>
      <c r="V15" s="7" cm="1">
        <f t="array" ref="V15">IF(PB[[#This Row],[Number_of_competition]:[Number_of_competition]]&gt;=3,(LARGE(CHOOSE({1;2;3;4},G15,J15,M15,P15),1)+LARGE(CHOOSE({1;2;3;4},G15,J15,M15,P15),2)+LARGE(CHOOSE({1;2;3;4},G15,J15,M15,P15),3))/3,0)</f>
        <v>8.4333333333333318</v>
      </c>
      <c r="W15" s="7" cm="1">
        <f t="array" ref="W15">IF(PB[[#This Row],[Number_of_competition]:[Number_of_competition]]&gt;=3,(LARGE(CHOOSE({1;2;3;4},H15,K15,N15,Q15),1)+LARGE(CHOOSE({1;2;3;4},H15,K15,N15,Q15),2)+LARGE(CHOOSE({1;2;3;4},H15,K15,N15,Q15),3))/3,0)</f>
        <v>11.433333333333332</v>
      </c>
    </row>
    <row r="16" spans="1:23" x14ac:dyDescent="0.25">
      <c r="A16" t="s">
        <v>68</v>
      </c>
      <c r="B16" s="2" t="s">
        <v>60</v>
      </c>
      <c r="C16" s="2" t="s">
        <v>69</v>
      </c>
      <c r="D16" t="s">
        <v>31</v>
      </c>
      <c r="E16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6" s="4">
        <v>2.7</v>
      </c>
      <c r="G16" s="7">
        <v>6.85</v>
      </c>
      <c r="H16" s="7">
        <v>9.5500000000000007</v>
      </c>
      <c r="I16" s="4">
        <v>3.5</v>
      </c>
      <c r="J16" s="7">
        <v>8.6999999999999993</v>
      </c>
      <c r="K16" s="7">
        <v>12.2</v>
      </c>
      <c r="L16" s="4">
        <v>3.4</v>
      </c>
      <c r="M16" s="7">
        <v>8.75</v>
      </c>
      <c r="N16" s="7">
        <v>12.15</v>
      </c>
      <c r="O16" s="4">
        <v>3.2</v>
      </c>
      <c r="P16" s="7">
        <v>5.8</v>
      </c>
      <c r="Q16" s="7">
        <v>9</v>
      </c>
      <c r="R16" s="4">
        <f>LARGE(CHOOSE({1;2;3;4},F16,I16,L16,O16),1)+LARGE(CHOOSE({1;2;3;4},F16,I16,L16,O16),2)+LARGE(CHOOSE({1;2;3;4},F16,I16,L16,O16),3)</f>
        <v>10.100000000000001</v>
      </c>
      <c r="S16" s="7">
        <f>LARGE(CHOOSE({1;2;3;4},G16,J16,M16,P16),1)+LARGE(CHOOSE({1;2;3;4},G16,J16,M16,P16),2)+LARGE(CHOOSE({1;2;3;4},G16,J16,M16,P16),3)</f>
        <v>24.299999999999997</v>
      </c>
      <c r="T16" s="7">
        <f>LARGE(CHOOSE({1;2;3;4},H16,K16,N16,Q16),1)+LARGE(CHOOSE({1;2;3;4},H16,K16,N16,Q16),2)+LARGE(CHOOSE({1;2;3;4},H16,K16,N16,Q16),3)</f>
        <v>33.900000000000006</v>
      </c>
      <c r="U16" s="4" cm="1">
        <f t="array" ref="U16">IF(PB[[#This Row],[Number_of_competition]:[Number_of_competition]]&gt;=3,(LARGE(CHOOSE({1;2;3;4},F16,I16,L16,O16),1)+LARGE(CHOOSE({1;2;3;4},F16,I16,L16,O16),2)+LARGE(CHOOSE({1;2;3;4},F16,I16,L16,O16),3))/3,0)</f>
        <v>3.3666666666666671</v>
      </c>
      <c r="V16" s="7" cm="1">
        <f t="array" ref="V16">IF(PB[[#This Row],[Number_of_competition]:[Number_of_competition]]&gt;=3,(LARGE(CHOOSE({1;2;3;4},G16,J16,M16,P16),1)+LARGE(CHOOSE({1;2;3;4},G16,J16,M16,P16),2)+LARGE(CHOOSE({1;2;3;4},G16,J16,M16,P16),3))/3,0)</f>
        <v>8.1</v>
      </c>
      <c r="W16" s="7" cm="1">
        <f t="array" ref="W16">IF(PB[[#This Row],[Number_of_competition]:[Number_of_competition]]&gt;=3,(LARGE(CHOOSE({1;2;3;4},H16,K16,N16,Q16),1)+LARGE(CHOOSE({1;2;3;4},H16,K16,N16,Q16),2)+LARGE(CHOOSE({1;2;3;4},H16,K16,N16,Q16),3))/3,0)</f>
        <v>11.300000000000002</v>
      </c>
    </row>
    <row r="17" spans="1:23" x14ac:dyDescent="0.25">
      <c r="A17" t="s">
        <v>48</v>
      </c>
      <c r="B17" s="2" t="s">
        <v>26</v>
      </c>
      <c r="C17" s="2" t="s">
        <v>49</v>
      </c>
      <c r="D17" t="s">
        <v>36</v>
      </c>
      <c r="E17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17" s="4">
        <v>3.1</v>
      </c>
      <c r="G17" s="7">
        <v>8.0500000000000007</v>
      </c>
      <c r="H17" s="7">
        <v>11.15</v>
      </c>
      <c r="I17" s="4">
        <v>3.1</v>
      </c>
      <c r="J17" s="7">
        <v>7.8</v>
      </c>
      <c r="K17" s="7">
        <v>10.9</v>
      </c>
      <c r="L17" s="4">
        <v>3.1</v>
      </c>
      <c r="M17" s="7">
        <v>7.45</v>
      </c>
      <c r="N17" s="7">
        <v>10.55</v>
      </c>
      <c r="O17" s="4">
        <v>2.4</v>
      </c>
      <c r="P17" s="7">
        <v>9</v>
      </c>
      <c r="Q17" s="7">
        <v>11.4</v>
      </c>
      <c r="R17" s="4">
        <f>LARGE(CHOOSE({1;2;3;4},F17,I17,L17,O17),1)+LARGE(CHOOSE({1;2;3;4},F17,I17,L17,O17),2)+LARGE(CHOOSE({1;2;3;4},F17,I17,L17,O17),3)</f>
        <v>9.3000000000000007</v>
      </c>
      <c r="S17" s="7">
        <f>LARGE(CHOOSE({1;2;3;4},G17,J17,M17,P17),1)+LARGE(CHOOSE({1;2;3;4},G17,J17,M17,P17),2)+LARGE(CHOOSE({1;2;3;4},G17,J17,M17,P17),3)</f>
        <v>24.85</v>
      </c>
      <c r="T17" s="7">
        <f>LARGE(CHOOSE({1;2;3;4},H17,K17,N17,Q17),1)+LARGE(CHOOSE({1;2;3;4},H17,K17,N17,Q17),2)+LARGE(CHOOSE({1;2;3;4},H17,K17,N17,Q17),3)</f>
        <v>33.450000000000003</v>
      </c>
      <c r="U17" s="4" cm="1">
        <f t="array" ref="U17">IF(PB[[#This Row],[Number_of_competition]:[Number_of_competition]]&gt;=3,(LARGE(CHOOSE({1;2;3;4},F17,I17,L17,O17),1)+LARGE(CHOOSE({1;2;3;4},F17,I17,L17,O17),2)+LARGE(CHOOSE({1;2;3;4},F17,I17,L17,O17),3))/3,0)</f>
        <v>3.1</v>
      </c>
      <c r="V17" s="7" cm="1">
        <f t="array" ref="V17">IF(PB[[#This Row],[Number_of_competition]:[Number_of_competition]]&gt;=3,(LARGE(CHOOSE({1;2;3;4},G17,J17,M17,P17),1)+LARGE(CHOOSE({1;2;3;4},G17,J17,M17,P17),2)+LARGE(CHOOSE({1;2;3;4},G17,J17,M17,P17),3))/3,0)</f>
        <v>8.2833333333333332</v>
      </c>
      <c r="W17" s="7" cm="1">
        <f t="array" ref="W17">IF(PB[[#This Row],[Number_of_competition]:[Number_of_competition]]&gt;=3,(LARGE(CHOOSE({1;2;3;4},H17,K17,N17,Q17),1)+LARGE(CHOOSE({1;2;3;4},H17,K17,N17,Q17),2)+LARGE(CHOOSE({1;2;3;4},H17,K17,N17,Q17),3))/3,0)</f>
        <v>11.15</v>
      </c>
    </row>
    <row r="18" spans="1:23" x14ac:dyDescent="0.25">
      <c r="A18" t="s">
        <v>82</v>
      </c>
      <c r="B18" s="2" t="s">
        <v>60</v>
      </c>
      <c r="C18" s="2" t="s">
        <v>83</v>
      </c>
      <c r="D18" t="s">
        <v>36</v>
      </c>
      <c r="E18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18" s="4">
        <v>0</v>
      </c>
      <c r="G18" s="7">
        <v>0</v>
      </c>
      <c r="H18" s="7">
        <v>0</v>
      </c>
      <c r="I18" s="4">
        <v>3</v>
      </c>
      <c r="J18" s="7">
        <v>8.75</v>
      </c>
      <c r="K18" s="7">
        <v>11.75</v>
      </c>
      <c r="L18" s="4">
        <v>2.5</v>
      </c>
      <c r="M18" s="7">
        <v>7.15</v>
      </c>
      <c r="N18" s="7">
        <v>9.65</v>
      </c>
      <c r="O18" s="4">
        <v>3</v>
      </c>
      <c r="P18" s="7">
        <v>8.8000000000000007</v>
      </c>
      <c r="Q18" s="7">
        <v>11.8</v>
      </c>
      <c r="R18" s="4">
        <f>LARGE(CHOOSE({1;2;3;4},F18,I18,L18,O18),1)+LARGE(CHOOSE({1;2;3;4},F18,I18,L18,O18),2)+LARGE(CHOOSE({1;2;3;4},F18,I18,L18,O18),3)</f>
        <v>8.5</v>
      </c>
      <c r="S18" s="7">
        <f>LARGE(CHOOSE({1;2;3;4},G18,J18,M18,P18),1)+LARGE(CHOOSE({1;2;3;4},G18,J18,M18,P18),2)+LARGE(CHOOSE({1;2;3;4},G18,J18,M18,P18),3)</f>
        <v>24.700000000000003</v>
      </c>
      <c r="T18" s="7">
        <f>LARGE(CHOOSE({1;2;3;4},H18,K18,N18,Q18),1)+LARGE(CHOOSE({1;2;3;4},H18,K18,N18,Q18),2)+LARGE(CHOOSE({1;2;3;4},H18,K18,N18,Q18),3)</f>
        <v>33.200000000000003</v>
      </c>
      <c r="U18" s="4" cm="1">
        <f t="array" ref="U18">IF(PB[[#This Row],[Number_of_competition]:[Number_of_competition]]&gt;=3,(LARGE(CHOOSE({1;2;3;4},F18,I18,L18,O18),1)+LARGE(CHOOSE({1;2;3;4},F18,I18,L18,O18),2)+LARGE(CHOOSE({1;2;3;4},F18,I18,L18,O18),3))/3,0)</f>
        <v>2.8333333333333335</v>
      </c>
      <c r="V18" s="7" cm="1">
        <f t="array" ref="V18">IF(PB[[#This Row],[Number_of_competition]:[Number_of_competition]]&gt;=3,(LARGE(CHOOSE({1;2;3;4},G18,J18,M18,P18),1)+LARGE(CHOOSE({1;2;3;4},G18,J18,M18,P18),2)+LARGE(CHOOSE({1;2;3;4},G18,J18,M18,P18),3))/3,0)</f>
        <v>8.2333333333333343</v>
      </c>
      <c r="W18" s="7" cm="1">
        <f t="array" ref="W18">IF(PB[[#This Row],[Number_of_competition]:[Number_of_competition]]&gt;=3,(LARGE(CHOOSE({1;2;3;4},H18,K18,N18,Q18),1)+LARGE(CHOOSE({1;2;3;4},H18,K18,N18,Q18),2)+LARGE(CHOOSE({1;2;3;4},H18,K18,N18,Q18),3))/3,0)</f>
        <v>11.066666666666668</v>
      </c>
    </row>
    <row r="19" spans="1:23" x14ac:dyDescent="0.25">
      <c r="A19" t="s">
        <v>46</v>
      </c>
      <c r="B19" s="2" t="s">
        <v>26</v>
      </c>
      <c r="C19" s="2" t="s">
        <v>47</v>
      </c>
      <c r="D19" t="s">
        <v>36</v>
      </c>
      <c r="E19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19" s="4">
        <v>0</v>
      </c>
      <c r="G19" s="7">
        <v>0</v>
      </c>
      <c r="H19" s="7">
        <v>0</v>
      </c>
      <c r="I19" s="4">
        <v>2.4</v>
      </c>
      <c r="J19" s="7">
        <v>8.6</v>
      </c>
      <c r="K19" s="7">
        <v>11</v>
      </c>
      <c r="L19" s="4">
        <v>3.1</v>
      </c>
      <c r="M19" s="7">
        <v>8.6</v>
      </c>
      <c r="N19" s="7">
        <v>11.7</v>
      </c>
      <c r="O19" s="4">
        <v>2.4</v>
      </c>
      <c r="P19" s="7">
        <v>8</v>
      </c>
      <c r="Q19" s="7">
        <v>10.4</v>
      </c>
      <c r="R19" s="4">
        <f>LARGE(CHOOSE({1;2;3;4},F19,I19,L19,O19),1)+LARGE(CHOOSE({1;2;3;4},F19,I19,L19,O19),2)+LARGE(CHOOSE({1;2;3;4},F19,I19,L19,O19),3)</f>
        <v>7.9</v>
      </c>
      <c r="S19" s="7">
        <f>LARGE(CHOOSE({1;2;3;4},G19,J19,M19,P19),1)+LARGE(CHOOSE({1;2;3;4},G19,J19,M19,P19),2)+LARGE(CHOOSE({1;2;3;4},G19,J19,M19,P19),3)</f>
        <v>25.2</v>
      </c>
      <c r="T19" s="7">
        <f>LARGE(CHOOSE({1;2;3;4},H19,K19,N19,Q19),1)+LARGE(CHOOSE({1;2;3;4},H19,K19,N19,Q19),2)+LARGE(CHOOSE({1;2;3;4},H19,K19,N19,Q19),3)</f>
        <v>33.1</v>
      </c>
      <c r="U19" s="4" cm="1">
        <f t="array" ref="U19">IF(PB[[#This Row],[Number_of_competition]:[Number_of_competition]]&gt;=3,(LARGE(CHOOSE({1;2;3;4},F19,I19,L19,O19),1)+LARGE(CHOOSE({1;2;3;4},F19,I19,L19,O19),2)+LARGE(CHOOSE({1;2;3;4},F19,I19,L19,O19),3))/3,0)</f>
        <v>2.6333333333333333</v>
      </c>
      <c r="V19" s="7" cm="1">
        <f t="array" ref="V19">IF(PB[[#This Row],[Number_of_competition]:[Number_of_competition]]&gt;=3,(LARGE(CHOOSE({1;2;3;4},G19,J19,M19,P19),1)+LARGE(CHOOSE({1;2;3;4},G19,J19,M19,P19),2)+LARGE(CHOOSE({1;2;3;4},G19,J19,M19,P19),3))/3,0)</f>
        <v>8.4</v>
      </c>
      <c r="W19" s="7" cm="1">
        <f t="array" ref="W19">IF(PB[[#This Row],[Number_of_competition]:[Number_of_competition]]&gt;=3,(LARGE(CHOOSE({1;2;3;4},H19,K19,N19,Q19),1)+LARGE(CHOOSE({1;2;3;4},H19,K19,N19,Q19),2)+LARGE(CHOOSE({1;2;3;4},H19,K19,N19,Q19),3))/3,0)</f>
        <v>11.033333333333333</v>
      </c>
    </row>
    <row r="20" spans="1:23" x14ac:dyDescent="0.25">
      <c r="A20" t="s">
        <v>42</v>
      </c>
      <c r="B20" s="2" t="s">
        <v>26</v>
      </c>
      <c r="C20" s="2" t="s">
        <v>43</v>
      </c>
      <c r="D20" t="s">
        <v>36</v>
      </c>
      <c r="E20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20" s="4">
        <v>0</v>
      </c>
      <c r="G20" s="7">
        <v>0</v>
      </c>
      <c r="H20" s="7">
        <v>0</v>
      </c>
      <c r="I20" s="4">
        <v>3.1</v>
      </c>
      <c r="J20" s="7">
        <v>8.5500000000000007</v>
      </c>
      <c r="K20" s="7">
        <v>11.65</v>
      </c>
      <c r="L20" s="4">
        <v>3.1</v>
      </c>
      <c r="M20" s="7">
        <v>7.1</v>
      </c>
      <c r="N20" s="7">
        <v>10.199999999999999</v>
      </c>
      <c r="O20" s="4">
        <v>2.4</v>
      </c>
      <c r="P20" s="7">
        <v>8.8000000000000007</v>
      </c>
      <c r="Q20" s="7">
        <v>11.2</v>
      </c>
      <c r="R20" s="4">
        <f>LARGE(CHOOSE({1;2;3;4},F20,I20,L20,O20),1)+LARGE(CHOOSE({1;2;3;4},F20,I20,L20,O20),2)+LARGE(CHOOSE({1;2;3;4},F20,I20,L20,O20),3)</f>
        <v>8.6</v>
      </c>
      <c r="S20" s="7">
        <f>LARGE(CHOOSE({1;2;3;4},G20,J20,M20,P20),1)+LARGE(CHOOSE({1;2;3;4},G20,J20,M20,P20),2)+LARGE(CHOOSE({1;2;3;4},G20,J20,M20,P20),3)</f>
        <v>24.450000000000003</v>
      </c>
      <c r="T20" s="7">
        <f>LARGE(CHOOSE({1;2;3;4},H20,K20,N20,Q20),1)+LARGE(CHOOSE({1;2;3;4},H20,K20,N20,Q20),2)+LARGE(CHOOSE({1;2;3;4},H20,K20,N20,Q20),3)</f>
        <v>33.049999999999997</v>
      </c>
      <c r="U20" s="4" cm="1">
        <f t="array" ref="U20">IF(PB[[#This Row],[Number_of_competition]:[Number_of_competition]]&gt;=3,(LARGE(CHOOSE({1;2;3;4},F20,I20,L20,O20),1)+LARGE(CHOOSE({1;2;3;4},F20,I20,L20,O20),2)+LARGE(CHOOSE({1;2;3;4},F20,I20,L20,O20),3))/3,0)</f>
        <v>2.8666666666666667</v>
      </c>
      <c r="V20" s="7" cm="1">
        <f t="array" ref="V20">IF(PB[[#This Row],[Number_of_competition]:[Number_of_competition]]&gt;=3,(LARGE(CHOOSE({1;2;3;4},G20,J20,M20,P20),1)+LARGE(CHOOSE({1;2;3;4},G20,J20,M20,P20),2)+LARGE(CHOOSE({1;2;3;4},G20,J20,M20,P20),3))/3,0)</f>
        <v>8.15</v>
      </c>
      <c r="W20" s="7" cm="1">
        <f t="array" ref="W20">IF(PB[[#This Row],[Number_of_competition]:[Number_of_competition]]&gt;=3,(LARGE(CHOOSE({1;2;3;4},H20,K20,N20,Q20),1)+LARGE(CHOOSE({1;2;3;4},H20,K20,N20,Q20),2)+LARGE(CHOOSE({1;2;3;4},H20,K20,N20,Q20),3))/3,0)</f>
        <v>11.016666666666666</v>
      </c>
    </row>
    <row r="21" spans="1:23" x14ac:dyDescent="0.25">
      <c r="A21" t="s">
        <v>114</v>
      </c>
      <c r="B21" s="2" t="s">
        <v>26</v>
      </c>
      <c r="C21" s="2" t="s">
        <v>115</v>
      </c>
      <c r="D21" t="s">
        <v>36</v>
      </c>
      <c r="E21" s="6">
        <f>COUNTIF(PB[[#This Row],[bydgoszcz_PB_Total_Score]],"&gt;0")+COUNTIF(PB[[#This Row],[zabrze_PB_Total_Score]],"&gt;0")+COUNTIF(PB[[#This Row],[cracow_PB_Total_Score]],"&gt;0")+COUNTIF(PB[[#This Row],[gdansk_PB_Total_Score]],"&gt;0")</f>
        <v>3</v>
      </c>
      <c r="F21" s="4">
        <v>2.4</v>
      </c>
      <c r="G21" s="7">
        <v>8.1</v>
      </c>
      <c r="H21" s="7">
        <v>10.5</v>
      </c>
      <c r="I21" s="4">
        <v>0</v>
      </c>
      <c r="J21" s="7">
        <v>0</v>
      </c>
      <c r="K21" s="7">
        <v>0</v>
      </c>
      <c r="L21" s="4">
        <v>2.4</v>
      </c>
      <c r="M21" s="7">
        <v>8</v>
      </c>
      <c r="N21" s="7">
        <v>10.4</v>
      </c>
      <c r="O21" s="4">
        <v>2.4</v>
      </c>
      <c r="P21" s="7">
        <v>8.8000000000000007</v>
      </c>
      <c r="Q21" s="7">
        <v>11.2</v>
      </c>
      <c r="R21" s="4">
        <f>LARGE(CHOOSE({1;2;3;4},F21,I21,L21,O21),1)+LARGE(CHOOSE({1;2;3;4},F21,I21,L21,O21),2)+LARGE(CHOOSE({1;2;3;4},F21,I21,L21,O21),3)</f>
        <v>7.1999999999999993</v>
      </c>
      <c r="S21" s="7">
        <f>LARGE(CHOOSE({1;2;3;4},G21,J21,M21,P21),1)+LARGE(CHOOSE({1;2;3;4},G21,J21,M21,P21),2)+LARGE(CHOOSE({1;2;3;4},G21,J21,M21,P21),3)</f>
        <v>24.9</v>
      </c>
      <c r="T21" s="7">
        <f>LARGE(CHOOSE({1;2;3;4},H21,K21,N21,Q21),1)+LARGE(CHOOSE({1;2;3;4},H21,K21,N21,Q21),2)+LARGE(CHOOSE({1;2;3;4},H21,K21,N21,Q21),3)</f>
        <v>32.1</v>
      </c>
      <c r="U21" s="4" cm="1">
        <f t="array" ref="U21">IF(PB[[#This Row],[Number_of_competition]:[Number_of_competition]]&gt;=3,(LARGE(CHOOSE({1;2;3;4},F21,I21,L21,O21),1)+LARGE(CHOOSE({1;2;3;4},F21,I21,L21,O21),2)+LARGE(CHOOSE({1;2;3;4},F21,I21,L21,O21),3))/3,0)</f>
        <v>2.4</v>
      </c>
      <c r="V21" s="7" cm="1">
        <f t="array" ref="V21">IF(PB[[#This Row],[Number_of_competition]:[Number_of_competition]]&gt;=3,(LARGE(CHOOSE({1;2;3;4},G21,J21,M21,P21),1)+LARGE(CHOOSE({1;2;3;4},G21,J21,M21,P21),2)+LARGE(CHOOSE({1;2;3;4},G21,J21,M21,P21),3))/3,0)</f>
        <v>8.2999999999999989</v>
      </c>
      <c r="W21" s="7" cm="1">
        <f t="array" ref="W21">IF(PB[[#This Row],[Number_of_competition]:[Number_of_competition]]&gt;=3,(LARGE(CHOOSE({1;2;3;4},H21,K21,N21,Q21),1)+LARGE(CHOOSE({1;2;3;4},H21,K21,N21,Q21),2)+LARGE(CHOOSE({1;2;3;4},H21,K21,N21,Q21),3))/3,0)</f>
        <v>10.700000000000001</v>
      </c>
    </row>
    <row r="22" spans="1:23" x14ac:dyDescent="0.25">
      <c r="A22" t="s">
        <v>86</v>
      </c>
      <c r="B22" s="2" t="s">
        <v>60</v>
      </c>
      <c r="C22" s="2" t="s">
        <v>87</v>
      </c>
      <c r="D22" t="s">
        <v>72</v>
      </c>
      <c r="E22" s="6">
        <f>COUNTIF(PB[[#This Row],[bydgoszcz_PB_Total_Score]],"&gt;0")+COUNTIF(PB[[#This Row],[zabrze_PB_Total_Score]],"&gt;0")+COUNTIF(PB[[#This Row],[cracow_PB_Total_Score]],"&gt;0")+COUNTIF(PB[[#This Row],[gdansk_PB_Total_Score]],"&gt;0")</f>
        <v>4</v>
      </c>
      <c r="F22" s="4">
        <v>2.6</v>
      </c>
      <c r="G22" s="7">
        <v>5.65</v>
      </c>
      <c r="H22" s="7">
        <v>8.25</v>
      </c>
      <c r="I22" s="4">
        <v>2.8</v>
      </c>
      <c r="J22" s="7">
        <v>7.5</v>
      </c>
      <c r="K22" s="7">
        <v>10.3</v>
      </c>
      <c r="L22" s="4">
        <v>2.9</v>
      </c>
      <c r="M22" s="7">
        <v>7.2</v>
      </c>
      <c r="N22" s="7">
        <v>10.1</v>
      </c>
      <c r="O22" s="4">
        <v>2.4</v>
      </c>
      <c r="P22" s="7">
        <v>4</v>
      </c>
      <c r="Q22" s="7">
        <v>6.4</v>
      </c>
      <c r="R22" s="4">
        <f>LARGE(CHOOSE({1;2;3;4},F22,I22,L22,O22),1)+LARGE(CHOOSE({1;2;3;4},F22,I22,L22,O22),2)+LARGE(CHOOSE({1;2;3;4},F22,I22,L22,O22),3)</f>
        <v>8.2999999999999989</v>
      </c>
      <c r="S22" s="7">
        <f>LARGE(CHOOSE({1;2;3;4},G22,J22,M22,P22),1)+LARGE(CHOOSE({1;2;3;4},G22,J22,M22,P22),2)+LARGE(CHOOSE({1;2;3;4},G22,J22,M22,P22),3)</f>
        <v>20.350000000000001</v>
      </c>
      <c r="T22" s="7">
        <f>LARGE(CHOOSE({1;2;3;4},H22,K22,N22,Q22),1)+LARGE(CHOOSE({1;2;3;4},H22,K22,N22,Q22),2)+LARGE(CHOOSE({1;2;3;4},H22,K22,N22,Q22),3)</f>
        <v>28.65</v>
      </c>
      <c r="U22" s="4" cm="1">
        <f t="array" ref="U22">IF(PB[[#This Row],[Number_of_competition]:[Number_of_competition]]&gt;=3,(LARGE(CHOOSE({1;2;3;4},F22,I22,L22,O22),1)+LARGE(CHOOSE({1;2;3;4},F22,I22,L22,O22),2)+LARGE(CHOOSE({1;2;3;4},F22,I22,L22,O22),3))/3,0)</f>
        <v>2.7666666666666662</v>
      </c>
      <c r="V22" s="7" cm="1">
        <f t="array" ref="V22">IF(PB[[#This Row],[Number_of_competition]:[Number_of_competition]]&gt;=3,(LARGE(CHOOSE({1;2;3;4},G22,J22,M22,P22),1)+LARGE(CHOOSE({1;2;3;4},G22,J22,M22,P22),2)+LARGE(CHOOSE({1;2;3;4},G22,J22,M22,P22),3))/3,0)</f>
        <v>6.7833333333333341</v>
      </c>
      <c r="W22" s="7" cm="1">
        <f t="array" ref="W22">IF(PB[[#This Row],[Number_of_competition]:[Number_of_competition]]&gt;=3,(LARGE(CHOOSE({1;2;3;4},H22,K22,N22,Q22),1)+LARGE(CHOOSE({1;2;3;4},H22,K22,N22,Q22),2)+LARGE(CHOOSE({1;2;3;4},H22,K22,N22,Q22),3))/3,0)</f>
        <v>9.5499999999999989</v>
      </c>
    </row>
    <row r="23" spans="1:23" x14ac:dyDescent="0.25">
      <c r="A23" t="s">
        <v>65</v>
      </c>
      <c r="B23" s="2" t="s">
        <v>60</v>
      </c>
      <c r="C23" s="2" t="s">
        <v>66</v>
      </c>
      <c r="D23" t="s">
        <v>67</v>
      </c>
      <c r="E23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3" s="4">
        <v>0</v>
      </c>
      <c r="G23" s="7">
        <v>0</v>
      </c>
      <c r="H23" s="7">
        <v>0</v>
      </c>
      <c r="I23" s="4">
        <v>3</v>
      </c>
      <c r="J23" s="7">
        <v>9.35</v>
      </c>
      <c r="K23" s="7">
        <v>12.35</v>
      </c>
      <c r="L23" s="4">
        <v>0</v>
      </c>
      <c r="M23" s="7">
        <v>0</v>
      </c>
      <c r="N23" s="7">
        <v>0</v>
      </c>
      <c r="O23" s="4">
        <v>3.4</v>
      </c>
      <c r="P23" s="7">
        <v>9</v>
      </c>
      <c r="Q23" s="7">
        <v>12.4</v>
      </c>
      <c r="R23" s="4">
        <f>LARGE(CHOOSE({1;2;3;4},F23,I23,L23,O23),1)+LARGE(CHOOSE({1;2;3;4},F23,I23,L23,O23),2)+LARGE(CHOOSE({1;2;3;4},F23,I23,L23,O23),3)</f>
        <v>6.4</v>
      </c>
      <c r="S23" s="7">
        <f>LARGE(CHOOSE({1;2;3;4},G23,J23,M23,P23),1)+LARGE(CHOOSE({1;2;3;4},G23,J23,M23,P23),2)+LARGE(CHOOSE({1;2;3;4},G23,J23,M23,P23),3)</f>
        <v>18.350000000000001</v>
      </c>
      <c r="T23" s="7">
        <f>LARGE(CHOOSE({1;2;3;4},H23,K23,N23,Q23),1)+LARGE(CHOOSE({1;2;3;4},H23,K23,N23,Q23),2)+LARGE(CHOOSE({1;2;3;4},H23,K23,N23,Q23),3)</f>
        <v>24.75</v>
      </c>
      <c r="U23" s="4" cm="1">
        <f t="array" ref="U23">IF(PB[[#This Row],[Number_of_competition]:[Number_of_competition]]&gt;=3,(LARGE(CHOOSE({1;2;3;4},F23,I23,L23,O23),1)+LARGE(CHOOSE({1;2;3;4},F23,I23,L23,O23),2)+LARGE(CHOOSE({1;2;3;4},F23,I23,L23,O23),3))/3,0)</f>
        <v>0</v>
      </c>
      <c r="V23" s="7" cm="1">
        <f t="array" ref="V23">IF(PB[[#This Row],[Number_of_competition]:[Number_of_competition]]&gt;=3,(LARGE(CHOOSE({1;2;3;4},G23,J23,M23,P23),1)+LARGE(CHOOSE({1;2;3;4},G23,J23,M23,P23),2)+LARGE(CHOOSE({1;2;3;4},G23,J23,M23,P23),3))/3,0)</f>
        <v>0</v>
      </c>
      <c r="W23" s="7" cm="1">
        <f t="array" ref="W23">IF(PB[[#This Row],[Number_of_competition]:[Number_of_competition]]&gt;=3,(LARGE(CHOOSE({1;2;3;4},H23,K23,N23,Q23),1)+LARGE(CHOOSE({1;2;3;4},H23,K23,N23,Q23),2)+LARGE(CHOOSE({1;2;3;4},H23,K23,N23,Q23),3))/3,0)</f>
        <v>0</v>
      </c>
    </row>
    <row r="24" spans="1:23" x14ac:dyDescent="0.25">
      <c r="A24" t="s">
        <v>75</v>
      </c>
      <c r="B24" s="2" t="s">
        <v>60</v>
      </c>
      <c r="C24" s="2" t="s">
        <v>76</v>
      </c>
      <c r="D24" t="s">
        <v>28</v>
      </c>
      <c r="E24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4" s="4">
        <v>0</v>
      </c>
      <c r="G24" s="7">
        <v>0</v>
      </c>
      <c r="H24" s="7">
        <v>0</v>
      </c>
      <c r="I24" s="4">
        <v>3.5</v>
      </c>
      <c r="J24" s="7">
        <v>8.0500000000000007</v>
      </c>
      <c r="K24" s="7">
        <v>11.55</v>
      </c>
      <c r="L24" s="4">
        <v>3.5</v>
      </c>
      <c r="M24" s="7">
        <v>9.1</v>
      </c>
      <c r="N24" s="7">
        <v>12.6</v>
      </c>
      <c r="O24" s="4">
        <v>0</v>
      </c>
      <c r="P24" s="7">
        <v>0</v>
      </c>
      <c r="Q24" s="7">
        <v>0</v>
      </c>
      <c r="R24" s="4">
        <f>LARGE(CHOOSE({1;2;3;4},F24,I24,L24,O24),1)+LARGE(CHOOSE({1;2;3;4},F24,I24,L24,O24),2)+LARGE(CHOOSE({1;2;3;4},F24,I24,L24,O24),3)</f>
        <v>7</v>
      </c>
      <c r="S24" s="7">
        <f>LARGE(CHOOSE({1;2;3;4},G24,J24,M24,P24),1)+LARGE(CHOOSE({1;2;3;4},G24,J24,M24,P24),2)+LARGE(CHOOSE({1;2;3;4},G24,J24,M24,P24),3)</f>
        <v>17.149999999999999</v>
      </c>
      <c r="T24" s="7">
        <f>LARGE(CHOOSE({1;2;3;4},H24,K24,N24,Q24),1)+LARGE(CHOOSE({1;2;3;4},H24,K24,N24,Q24),2)+LARGE(CHOOSE({1;2;3;4},H24,K24,N24,Q24),3)</f>
        <v>24.15</v>
      </c>
      <c r="U24" s="4" cm="1">
        <f t="array" ref="U24">IF(PB[[#This Row],[Number_of_competition]:[Number_of_competition]]&gt;=3,(LARGE(CHOOSE({1;2;3;4},F24,I24,L24,O24),1)+LARGE(CHOOSE({1;2;3;4},F24,I24,L24,O24),2)+LARGE(CHOOSE({1;2;3;4},F24,I24,L24,O24),3))/3,0)</f>
        <v>0</v>
      </c>
      <c r="V24" s="7" cm="1">
        <f t="array" ref="V24">IF(PB[[#This Row],[Number_of_competition]:[Number_of_competition]]&gt;=3,(LARGE(CHOOSE({1;2;3;4},G24,J24,M24,P24),1)+LARGE(CHOOSE({1;2;3;4},G24,J24,M24,P24),2)+LARGE(CHOOSE({1;2;3;4},G24,J24,M24,P24),3))/3,0)</f>
        <v>0</v>
      </c>
      <c r="W24" s="7" cm="1">
        <f t="array" ref="W24">IF(PB[[#This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127</v>
      </c>
      <c r="B25" s="2" t="s">
        <v>60</v>
      </c>
      <c r="C25" s="2" t="s">
        <v>128</v>
      </c>
      <c r="D25" t="s">
        <v>72</v>
      </c>
      <c r="E25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5" s="4">
        <v>3.8</v>
      </c>
      <c r="G25" s="7">
        <v>7.55</v>
      </c>
      <c r="H25" s="7">
        <v>11.35</v>
      </c>
      <c r="I25" s="4">
        <v>0</v>
      </c>
      <c r="J25" s="7">
        <v>0</v>
      </c>
      <c r="K25" s="7">
        <v>0</v>
      </c>
      <c r="L25" s="4">
        <v>4</v>
      </c>
      <c r="M25" s="7">
        <v>8.3000000000000007</v>
      </c>
      <c r="N25" s="7">
        <v>12.3</v>
      </c>
      <c r="O25" s="4">
        <v>0</v>
      </c>
      <c r="P25" s="7">
        <v>0</v>
      </c>
      <c r="Q25" s="7">
        <v>0</v>
      </c>
      <c r="R25" s="4">
        <f>LARGE(CHOOSE({1;2;3;4},F25,I25,L25,O25),1)+LARGE(CHOOSE({1;2;3;4},F25,I25,L25,O25),2)+LARGE(CHOOSE({1;2;3;4},F25,I25,L25,O25),3)</f>
        <v>7.8</v>
      </c>
      <c r="S25" s="7">
        <f>LARGE(CHOOSE({1;2;3;4},G25,J25,M25,P25),1)+LARGE(CHOOSE({1;2;3;4},G25,J25,M25,P25),2)+LARGE(CHOOSE({1;2;3;4},G25,J25,M25,P25),3)</f>
        <v>15.850000000000001</v>
      </c>
      <c r="T25" s="7">
        <f>LARGE(CHOOSE({1;2;3;4},H25,K25,N25,Q25),1)+LARGE(CHOOSE({1;2;3;4},H25,K25,N25,Q25),2)+LARGE(CHOOSE({1;2;3;4},H25,K25,N25,Q25),3)</f>
        <v>23.65</v>
      </c>
      <c r="U25" s="4" cm="1">
        <f t="array" ref="U25">IF(PB[[#This Row],[Number_of_competition]:[Number_of_competition]]&gt;=3,(LARGE(CHOOSE({1;2;3;4},F25,I25,L25,O25),1)+LARGE(CHOOSE({1;2;3;4},F25,I25,L25,O25),2)+LARGE(CHOOSE({1;2;3;4},F25,I25,L25,O25),3))/3,0)</f>
        <v>0</v>
      </c>
      <c r="V25" s="7" cm="1">
        <f t="array" ref="V25">IF(PB[[#This Row],[Number_of_competition]:[Number_of_competition]]&gt;=3,(LARGE(CHOOSE({1;2;3;4},G25,J25,M25,P25),1)+LARGE(CHOOSE({1;2;3;4},G25,J25,M25,P25),2)+LARGE(CHOOSE({1;2;3;4},G25,J25,M25,P25),3))/3,0)</f>
        <v>0</v>
      </c>
      <c r="W25" s="7" cm="1">
        <f t="array" ref="W25">IF(PB[[#This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94</v>
      </c>
      <c r="B26" s="2" t="s">
        <v>60</v>
      </c>
      <c r="C26" s="2" t="s">
        <v>95</v>
      </c>
      <c r="D26" t="s">
        <v>72</v>
      </c>
      <c r="E26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6" s="4">
        <v>0</v>
      </c>
      <c r="G26" s="7">
        <v>0</v>
      </c>
      <c r="H26" s="7">
        <v>0</v>
      </c>
      <c r="I26" s="4">
        <v>3.1</v>
      </c>
      <c r="J26" s="7">
        <v>8.85</v>
      </c>
      <c r="K26" s="7">
        <v>11.95</v>
      </c>
      <c r="L26" s="4">
        <v>3.2</v>
      </c>
      <c r="M26" s="7">
        <v>8.35</v>
      </c>
      <c r="N26" s="7">
        <v>11.55</v>
      </c>
      <c r="O26" s="4">
        <v>0</v>
      </c>
      <c r="P26" s="7">
        <v>0</v>
      </c>
      <c r="Q26" s="7">
        <v>0</v>
      </c>
      <c r="R26" s="4">
        <f>LARGE(CHOOSE({1;2;3;4},F26,I26,L26,O26),1)+LARGE(CHOOSE({1;2;3;4},F26,I26,L26,O26),2)+LARGE(CHOOSE({1;2;3;4},F26,I26,L26,O26),3)</f>
        <v>6.3000000000000007</v>
      </c>
      <c r="S26" s="7">
        <f>LARGE(CHOOSE({1;2;3;4},G26,J26,M26,P26),1)+LARGE(CHOOSE({1;2;3;4},G26,J26,M26,P26),2)+LARGE(CHOOSE({1;2;3;4},G26,J26,M26,P26),3)</f>
        <v>17.2</v>
      </c>
      <c r="T26" s="7">
        <f>LARGE(CHOOSE({1;2;3;4},H26,K26,N26,Q26),1)+LARGE(CHOOSE({1;2;3;4},H26,K26,N26,Q26),2)+LARGE(CHOOSE({1;2;3;4},H26,K26,N26,Q26),3)</f>
        <v>23.5</v>
      </c>
      <c r="U26" s="4" cm="1">
        <f t="array" ref="U26">IF(PB[[#This Row],[Number_of_competition]:[Number_of_competition]]&gt;=3,(LARGE(CHOOSE({1;2;3;4},F26,I26,L26,O26),1)+LARGE(CHOOSE({1;2;3;4},F26,I26,L26,O26),2)+LARGE(CHOOSE({1;2;3;4},F26,I26,L26,O26),3))/3,0)</f>
        <v>0</v>
      </c>
      <c r="V26" s="7" cm="1">
        <f t="array" ref="V26">IF(PB[[#This Row],[Number_of_competition]:[Number_of_competition]]&gt;=3,(LARGE(CHOOSE({1;2;3;4},G26,J26,M26,P26),1)+LARGE(CHOOSE({1;2;3;4},G26,J26,M26,P26),2)+LARGE(CHOOSE({1;2;3;4},G26,J26,M26,P26),3))/3,0)</f>
        <v>0</v>
      </c>
      <c r="W26" s="7" cm="1">
        <f t="array" ref="W26">IF(PB[[#This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116</v>
      </c>
      <c r="B27" s="2" t="s">
        <v>60</v>
      </c>
      <c r="C27" s="2" t="s">
        <v>117</v>
      </c>
      <c r="D27" t="s">
        <v>62</v>
      </c>
      <c r="E27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7" s="4">
        <v>0</v>
      </c>
      <c r="G27" s="7">
        <v>0</v>
      </c>
      <c r="H27" s="7">
        <v>0</v>
      </c>
      <c r="I27" s="4">
        <v>0</v>
      </c>
      <c r="J27" s="7">
        <v>0</v>
      </c>
      <c r="K27" s="7">
        <v>0</v>
      </c>
      <c r="L27" s="4">
        <v>4.5</v>
      </c>
      <c r="M27" s="7">
        <v>6.45</v>
      </c>
      <c r="N27" s="7">
        <v>10.95</v>
      </c>
      <c r="O27" s="4">
        <v>4.9000000000000004</v>
      </c>
      <c r="P27" s="7">
        <v>7.4</v>
      </c>
      <c r="Q27" s="7">
        <v>12.3</v>
      </c>
      <c r="R27" s="4">
        <f>LARGE(CHOOSE({1;2;3;4},F27,I27,L27,O27),1)+LARGE(CHOOSE({1;2;3;4},F27,I27,L27,O27),2)+LARGE(CHOOSE({1;2;3;4},F27,I27,L27,O27),3)</f>
        <v>9.4</v>
      </c>
      <c r="S27" s="7">
        <f>LARGE(CHOOSE({1;2;3;4},G27,J27,M27,P27),1)+LARGE(CHOOSE({1;2;3;4},G27,J27,M27,P27),2)+LARGE(CHOOSE({1;2;3;4},G27,J27,M27,P27),3)</f>
        <v>13.850000000000001</v>
      </c>
      <c r="T27" s="7">
        <f>LARGE(CHOOSE({1;2;3;4},H27,K27,N27,Q27),1)+LARGE(CHOOSE({1;2;3;4},H27,K27,N27,Q27),2)+LARGE(CHOOSE({1;2;3;4},H27,K27,N27,Q27),3)</f>
        <v>23.25</v>
      </c>
      <c r="U27" s="4" cm="1">
        <f t="array" ref="U27">IF(PB[[#This Row],[Number_of_competition]:[Number_of_competition]]&gt;=3,(LARGE(CHOOSE({1;2;3;4},F27,I27,L27,O27),1)+LARGE(CHOOSE({1;2;3;4},F27,I27,L27,O27),2)+LARGE(CHOOSE({1;2;3;4},F27,I27,L27,O27),3))/3,0)</f>
        <v>0</v>
      </c>
      <c r="V27" s="7" cm="1">
        <f t="array" ref="V27">IF(PB[[#This Row],[Number_of_competition]:[Number_of_competition]]&gt;=3,(LARGE(CHOOSE({1;2;3;4},G27,J27,M27,P27),1)+LARGE(CHOOSE({1;2;3;4},G27,J27,M27,P27),2)+LARGE(CHOOSE({1;2;3;4},G27,J27,M27,P27),3))/3,0)</f>
        <v>0</v>
      </c>
      <c r="W27" s="7" cm="1">
        <f t="array" ref="W27">IF(PB[[#This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112</v>
      </c>
      <c r="B28" s="2" t="s">
        <v>26</v>
      </c>
      <c r="C28" s="2" t="s">
        <v>113</v>
      </c>
      <c r="D28" t="s">
        <v>31</v>
      </c>
      <c r="E28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8" s="4">
        <v>3.1</v>
      </c>
      <c r="G28" s="7">
        <v>8.65</v>
      </c>
      <c r="H28" s="7">
        <v>11.75</v>
      </c>
      <c r="I28" s="4">
        <v>0</v>
      </c>
      <c r="J28" s="7">
        <v>0</v>
      </c>
      <c r="K28" s="7">
        <v>0</v>
      </c>
      <c r="L28" s="4">
        <v>0</v>
      </c>
      <c r="M28" s="7">
        <v>0</v>
      </c>
      <c r="N28" s="7">
        <v>0</v>
      </c>
      <c r="O28" s="4">
        <v>3.2</v>
      </c>
      <c r="P28" s="7">
        <v>7.4</v>
      </c>
      <c r="Q28" s="7">
        <v>10.6</v>
      </c>
      <c r="R28" s="4">
        <f>LARGE(CHOOSE({1;2;3;4},F28,I28,L28,O28),1)+LARGE(CHOOSE({1;2;3;4},F28,I28,L28,O28),2)+LARGE(CHOOSE({1;2;3;4},F28,I28,L28,O28),3)</f>
        <v>6.3000000000000007</v>
      </c>
      <c r="S28" s="7">
        <f>LARGE(CHOOSE({1;2;3;4},G28,J28,M28,P28),1)+LARGE(CHOOSE({1;2;3;4},G28,J28,M28,P28),2)+LARGE(CHOOSE({1;2;3;4},G28,J28,M28,P28),3)</f>
        <v>16.05</v>
      </c>
      <c r="T28" s="7">
        <f>LARGE(CHOOSE({1;2;3;4},H28,K28,N28,Q28),1)+LARGE(CHOOSE({1;2;3;4},H28,K28,N28,Q28),2)+LARGE(CHOOSE({1;2;3;4},H28,K28,N28,Q28),3)</f>
        <v>22.35</v>
      </c>
      <c r="U28" s="4" cm="1">
        <f t="array" ref="U28">IF(PB[[#This Row],[Number_of_competition]:[Number_of_competition]]&gt;=3,(LARGE(CHOOSE({1;2;3;4},F28,I28,L28,O28),1)+LARGE(CHOOSE({1;2;3;4},F28,I28,L28,O28),2)+LARGE(CHOOSE({1;2;3;4},F28,I28,L28,O28),3))/3,0)</f>
        <v>0</v>
      </c>
      <c r="V28" s="7" cm="1">
        <f t="array" ref="V28">IF(PB[[#This Row],[Number_of_competition]:[Number_of_competition]]&gt;=3,(LARGE(CHOOSE({1;2;3;4},G28,J28,M28,P28),1)+LARGE(CHOOSE({1;2;3;4},G28,J28,M28,P28),2)+LARGE(CHOOSE({1;2;3;4},G28,J28,M28,P28),3))/3,0)</f>
        <v>0</v>
      </c>
      <c r="W28" s="7" cm="1">
        <f t="array" ref="W28">IF(PB[[#This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98</v>
      </c>
      <c r="B29" s="2" t="s">
        <v>60</v>
      </c>
      <c r="C29" s="2" t="s">
        <v>99</v>
      </c>
      <c r="D29" t="s">
        <v>72</v>
      </c>
      <c r="E29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29" s="4">
        <v>0</v>
      </c>
      <c r="G29" s="7">
        <v>0</v>
      </c>
      <c r="H29" s="7">
        <v>0</v>
      </c>
      <c r="I29" s="4">
        <v>2.4</v>
      </c>
      <c r="J29" s="7">
        <v>8.6</v>
      </c>
      <c r="K29" s="7">
        <v>11</v>
      </c>
      <c r="L29" s="4">
        <v>2.5</v>
      </c>
      <c r="M29" s="7">
        <v>8.6999999999999993</v>
      </c>
      <c r="N29" s="7">
        <v>11.2</v>
      </c>
      <c r="O29" s="4">
        <v>0</v>
      </c>
      <c r="P29" s="7">
        <v>0</v>
      </c>
      <c r="Q29" s="7">
        <v>0</v>
      </c>
      <c r="R29" s="4">
        <f>LARGE(CHOOSE({1;2;3;4},F29,I29,L29,O29),1)+LARGE(CHOOSE({1;2;3;4},F29,I29,L29,O29),2)+LARGE(CHOOSE({1;2;3;4},F29,I29,L29,O29),3)</f>
        <v>4.9000000000000004</v>
      </c>
      <c r="S29" s="7">
        <f>LARGE(CHOOSE({1;2;3;4},G29,J29,M29,P29),1)+LARGE(CHOOSE({1;2;3;4},G29,J29,M29,P29),2)+LARGE(CHOOSE({1;2;3;4},G29,J29,M29,P29),3)</f>
        <v>17.299999999999997</v>
      </c>
      <c r="T29" s="7">
        <f>LARGE(CHOOSE({1;2;3;4},H29,K29,N29,Q29),1)+LARGE(CHOOSE({1;2;3;4},H29,K29,N29,Q29),2)+LARGE(CHOOSE({1;2;3;4},H29,K29,N29,Q29),3)</f>
        <v>22.2</v>
      </c>
      <c r="U29" s="4" cm="1">
        <f t="array" ref="U29">IF(PB[[#This Row],[Number_of_competition]:[Number_of_competition]]&gt;=3,(LARGE(CHOOSE({1;2;3;4},F29,I29,L29,O29),1)+LARGE(CHOOSE({1;2;3;4},F29,I29,L29,O29),2)+LARGE(CHOOSE({1;2;3;4},F29,I29,L29,O29),3))/3,0)</f>
        <v>0</v>
      </c>
      <c r="V29" s="7" cm="1">
        <f t="array" ref="V29">IF(PB[[#This Row],[Number_of_competition]:[Number_of_competition]]&gt;=3,(LARGE(CHOOSE({1;2;3;4},G29,J29,M29,P29),1)+LARGE(CHOOSE({1;2;3;4},G29,J29,M29,P29),2)+LARGE(CHOOSE({1;2;3;4},G29,J29,M29,P29),3))/3,0)</f>
        <v>0</v>
      </c>
      <c r="W29" s="7" cm="1">
        <f t="array" ref="W29">IF(PB[[#This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96</v>
      </c>
      <c r="B30" s="2" t="s">
        <v>60</v>
      </c>
      <c r="C30" s="2" t="s">
        <v>97</v>
      </c>
      <c r="D30" t="s">
        <v>62</v>
      </c>
      <c r="E30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30" s="4">
        <v>0</v>
      </c>
      <c r="G30" s="7">
        <v>0</v>
      </c>
      <c r="H30" s="7">
        <v>0</v>
      </c>
      <c r="I30" s="4">
        <v>4</v>
      </c>
      <c r="J30" s="7">
        <v>6.6</v>
      </c>
      <c r="K30" s="7">
        <v>10.6</v>
      </c>
      <c r="L30" s="4">
        <v>3.8</v>
      </c>
      <c r="M30" s="7">
        <v>7.2</v>
      </c>
      <c r="N30" s="7">
        <v>11</v>
      </c>
      <c r="O30" s="4">
        <v>0</v>
      </c>
      <c r="P30" s="7">
        <v>0</v>
      </c>
      <c r="Q30" s="7">
        <v>0</v>
      </c>
      <c r="R30" s="4">
        <f>LARGE(CHOOSE({1;2;3;4},F30,I30,L30,O30),1)+LARGE(CHOOSE({1;2;3;4},F30,I30,L30,O30),2)+LARGE(CHOOSE({1;2;3;4},F30,I30,L30,O30),3)</f>
        <v>7.8</v>
      </c>
      <c r="S30" s="7">
        <f>LARGE(CHOOSE({1;2;3;4},G30,J30,M30,P30),1)+LARGE(CHOOSE({1;2;3;4},G30,J30,M30,P30),2)+LARGE(CHOOSE({1;2;3;4},G30,J30,M30,P30),3)</f>
        <v>13.8</v>
      </c>
      <c r="T30" s="7">
        <f>LARGE(CHOOSE({1;2;3;4},H30,K30,N30,Q30),1)+LARGE(CHOOSE({1;2;3;4},H30,K30,N30,Q30),2)+LARGE(CHOOSE({1;2;3;4},H30,K30,N30,Q30),3)</f>
        <v>21.6</v>
      </c>
      <c r="U30" s="4" cm="1">
        <f t="array" ref="U30">IF(PB[[#This Row],[Number_of_competition]:[Number_of_competition]]&gt;=3,(LARGE(CHOOSE({1;2;3;4},F30,I30,L30,O30),1)+LARGE(CHOOSE({1;2;3;4},F30,I30,L30,O30),2)+LARGE(CHOOSE({1;2;3;4},F30,I30,L30,O30),3))/3,0)</f>
        <v>0</v>
      </c>
      <c r="V30" s="7" cm="1">
        <f t="array" ref="V30">IF(PB[[#This Row],[Number_of_competition]:[Number_of_competition]]&gt;=3,(LARGE(CHOOSE({1;2;3;4},G30,J30,M30,P30),1)+LARGE(CHOOSE({1;2;3;4},G30,J30,M30,P30),2)+LARGE(CHOOSE({1;2;3;4},G30,J30,M30,P30),3))/3,0)</f>
        <v>0</v>
      </c>
      <c r="W30" s="7" cm="1">
        <f t="array" ref="W30">IF(PB[[#This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100</v>
      </c>
      <c r="B31" s="2" t="s">
        <v>60</v>
      </c>
      <c r="C31" s="2" t="s">
        <v>101</v>
      </c>
      <c r="D31" t="s">
        <v>31</v>
      </c>
      <c r="E31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31" s="4">
        <v>2.9</v>
      </c>
      <c r="G31" s="7">
        <v>7.75</v>
      </c>
      <c r="H31" s="7">
        <v>10.65</v>
      </c>
      <c r="I31" s="4">
        <v>2.4</v>
      </c>
      <c r="J31" s="7">
        <v>8.0500000000000007</v>
      </c>
      <c r="K31" s="7">
        <v>10.45</v>
      </c>
      <c r="L31" s="4">
        <v>0</v>
      </c>
      <c r="M31" s="7">
        <v>0</v>
      </c>
      <c r="N31" s="7">
        <v>0</v>
      </c>
      <c r="O31" s="4">
        <v>0</v>
      </c>
      <c r="P31" s="7">
        <v>0</v>
      </c>
      <c r="Q31" s="7">
        <v>0</v>
      </c>
      <c r="R31" s="4">
        <f>LARGE(CHOOSE({1;2;3;4},F31,I31,L31,O31),1)+LARGE(CHOOSE({1;2;3;4},F31,I31,L31,O31),2)+LARGE(CHOOSE({1;2;3;4},F31,I31,L31,O31),3)</f>
        <v>5.3</v>
      </c>
      <c r="S31" s="7">
        <f>LARGE(CHOOSE({1;2;3;4},G31,J31,M31,P31),1)+LARGE(CHOOSE({1;2;3;4},G31,J31,M31,P31),2)+LARGE(CHOOSE({1;2;3;4},G31,J31,M31,P31),3)</f>
        <v>15.8</v>
      </c>
      <c r="T31" s="7">
        <f>LARGE(CHOOSE({1;2;3;4},H31,K31,N31,Q31),1)+LARGE(CHOOSE({1;2;3;4},H31,K31,N31,Q31),2)+LARGE(CHOOSE({1;2;3;4},H31,K31,N31,Q31),3)</f>
        <v>21.1</v>
      </c>
      <c r="U31" s="4" cm="1">
        <f t="array" ref="U31">IF(PB[[#This Row],[Number_of_competition]:[Number_of_competition]]&gt;=3,(LARGE(CHOOSE({1;2;3;4},F31,I31,L31,O31),1)+LARGE(CHOOSE({1;2;3;4},F31,I31,L31,O31),2)+LARGE(CHOOSE({1;2;3;4},F31,I31,L31,O31),3))/3,0)</f>
        <v>0</v>
      </c>
      <c r="V31" s="7" cm="1">
        <f t="array" ref="V31">IF(PB[[#This Row],[Number_of_competition]:[Number_of_competition]]&gt;=3,(LARGE(CHOOSE({1;2;3;4},G31,J31,M31,P31),1)+LARGE(CHOOSE({1;2;3;4},G31,J31,M31,P31),2)+LARGE(CHOOSE({1;2;3;4},G31,J31,M31,P31),3))/3,0)</f>
        <v>0</v>
      </c>
      <c r="W31" s="7" cm="1">
        <f t="array" ref="W31">IF(PB[[#This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88</v>
      </c>
      <c r="B32" s="2" t="s">
        <v>60</v>
      </c>
      <c r="C32" s="2" t="s">
        <v>89</v>
      </c>
      <c r="D32" t="s">
        <v>36</v>
      </c>
      <c r="E32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32" s="4">
        <v>0</v>
      </c>
      <c r="G32" s="7">
        <v>0</v>
      </c>
      <c r="H32" s="7">
        <v>0</v>
      </c>
      <c r="I32" s="4">
        <v>2.8</v>
      </c>
      <c r="J32" s="7">
        <v>7.4</v>
      </c>
      <c r="K32" s="7">
        <v>10.199999999999999</v>
      </c>
      <c r="L32" s="4">
        <v>0</v>
      </c>
      <c r="M32" s="7">
        <v>0</v>
      </c>
      <c r="N32" s="7">
        <v>0</v>
      </c>
      <c r="O32" s="4">
        <v>2.7</v>
      </c>
      <c r="P32" s="7">
        <v>7.9</v>
      </c>
      <c r="Q32" s="7">
        <v>10.6</v>
      </c>
      <c r="R32" s="4">
        <f>LARGE(CHOOSE({1;2;3;4},F32,I32,L32,O32),1)+LARGE(CHOOSE({1;2;3;4},F32,I32,L32,O32),2)+LARGE(CHOOSE({1;2;3;4},F32,I32,L32,O32),3)</f>
        <v>5.5</v>
      </c>
      <c r="S32" s="7">
        <f>LARGE(CHOOSE({1;2;3;4},G32,J32,M32,P32),1)+LARGE(CHOOSE({1;2;3;4},G32,J32,M32,P32),2)+LARGE(CHOOSE({1;2;3;4},G32,J32,M32,P32),3)</f>
        <v>15.3</v>
      </c>
      <c r="T32" s="7">
        <f>LARGE(CHOOSE({1;2;3;4},H32,K32,N32,Q32),1)+LARGE(CHOOSE({1;2;3;4},H32,K32,N32,Q32),2)+LARGE(CHOOSE({1;2;3;4},H32,K32,N32,Q32),3)</f>
        <v>20.799999999999997</v>
      </c>
      <c r="U32" s="4" cm="1">
        <f t="array" ref="U32">IF(PB[[#This Row],[Number_of_competition]:[Number_of_competition]]&gt;=3,(LARGE(CHOOSE({1;2;3;4},F32,I32,L32,O32),1)+LARGE(CHOOSE({1;2;3;4},F32,I32,L32,O32),2)+LARGE(CHOOSE({1;2;3;4},F32,I32,L32,O32),3))/3,0)</f>
        <v>0</v>
      </c>
      <c r="V32" s="7" cm="1">
        <f t="array" ref="V32">IF(PB[[#This Row],[Number_of_competition]:[Number_of_competition]]&gt;=3,(LARGE(CHOOSE({1;2;3;4},G32,J32,M32,P32),1)+LARGE(CHOOSE({1;2;3;4},G32,J32,M32,P32),2)+LARGE(CHOOSE({1;2;3;4},G32,J32,M32,P32),3))/3,0)</f>
        <v>0</v>
      </c>
      <c r="W32" s="7" cm="1">
        <f t="array" ref="W32">IF(PB[[#This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120</v>
      </c>
      <c r="B33" s="2" t="s">
        <v>26</v>
      </c>
      <c r="C33" s="2" t="s">
        <v>121</v>
      </c>
      <c r="D33" t="s">
        <v>39</v>
      </c>
      <c r="E33" s="6">
        <f>COUNTIF(PB[[#This Row],[bydgoszcz_PB_Total_Score]],"&gt;0")+COUNTIF(PB[[#This Row],[zabrze_PB_Total_Score]],"&gt;0")+COUNTIF(PB[[#This Row],[cracow_PB_Total_Score]],"&gt;0")+COUNTIF(PB[[#This Row],[gdansk_PB_Total_Score]],"&gt;0")</f>
        <v>2</v>
      </c>
      <c r="F33" s="4">
        <v>3.1</v>
      </c>
      <c r="G33" s="7">
        <v>7.45</v>
      </c>
      <c r="H33" s="7">
        <v>10.55</v>
      </c>
      <c r="I33" s="4">
        <v>0</v>
      </c>
      <c r="J33" s="7">
        <v>0</v>
      </c>
      <c r="K33" s="7">
        <v>0</v>
      </c>
      <c r="L33" s="4">
        <v>2.2999999999999998</v>
      </c>
      <c r="M33" s="7">
        <v>7.45</v>
      </c>
      <c r="N33" s="7">
        <v>9.75</v>
      </c>
      <c r="O33" s="4">
        <v>0</v>
      </c>
      <c r="P33" s="7">
        <v>0</v>
      </c>
      <c r="Q33" s="7">
        <v>0</v>
      </c>
      <c r="R33" s="4">
        <f>LARGE(CHOOSE({1;2;3;4},F33,I33,L33,O33),1)+LARGE(CHOOSE({1;2;3;4},F33,I33,L33,O33),2)+LARGE(CHOOSE({1;2;3;4},F33,I33,L33,O33),3)</f>
        <v>5.4</v>
      </c>
      <c r="S33" s="7">
        <f>LARGE(CHOOSE({1;2;3;4},G33,J33,M33,P33),1)+LARGE(CHOOSE({1;2;3;4},G33,J33,M33,P33),2)+LARGE(CHOOSE({1;2;3;4},G33,J33,M33,P33),3)</f>
        <v>14.9</v>
      </c>
      <c r="T33" s="7">
        <f>LARGE(CHOOSE({1;2;3;4},H33,K33,N33,Q33),1)+LARGE(CHOOSE({1;2;3;4},H33,K33,N33,Q33),2)+LARGE(CHOOSE({1;2;3;4},H33,K33,N33,Q33),3)</f>
        <v>20.3</v>
      </c>
      <c r="U33" s="4" cm="1">
        <f t="array" ref="U33">IF(PB[[#This Row],[Number_of_competition]:[Number_of_competition]]&gt;=3,(LARGE(CHOOSE({1;2;3;4},F33,I33,L33,O33),1)+LARGE(CHOOSE({1;2;3;4},F33,I33,L33,O33),2)+LARGE(CHOOSE({1;2;3;4},F33,I33,L33,O33),3))/3,0)</f>
        <v>0</v>
      </c>
      <c r="V33" s="7" cm="1">
        <f t="array" ref="V33">IF(PB[[#This Row],[Number_of_competition]:[Number_of_competition]]&gt;=3,(LARGE(CHOOSE({1;2;3;4},G33,J33,M33,P33),1)+LARGE(CHOOSE({1;2;3;4},G33,J33,M33,P33),2)+LARGE(CHOOSE({1;2;3;4},G33,J33,M33,P33),3))/3,0)</f>
        <v>0</v>
      </c>
      <c r="W33" s="7" cm="1">
        <f t="array" ref="W33">IF(PB[[#This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70</v>
      </c>
      <c r="B34" s="2" t="s">
        <v>60</v>
      </c>
      <c r="C34" s="2" t="s">
        <v>71</v>
      </c>
      <c r="D34" t="s">
        <v>72</v>
      </c>
      <c r="E34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4" s="4">
        <v>0</v>
      </c>
      <c r="G34" s="7">
        <v>0</v>
      </c>
      <c r="H34" s="7">
        <v>0</v>
      </c>
      <c r="I34" s="4">
        <v>4.3</v>
      </c>
      <c r="J34" s="7">
        <v>8.1999999999999993</v>
      </c>
      <c r="K34" s="7">
        <v>12.5</v>
      </c>
      <c r="L34" s="4">
        <v>0</v>
      </c>
      <c r="M34" s="7">
        <v>0</v>
      </c>
      <c r="N34" s="7">
        <v>0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4.3</v>
      </c>
      <c r="S34" s="7">
        <f>LARGE(CHOOSE({1;2;3;4},G34,J34,M34,P34),1)+LARGE(CHOOSE({1;2;3;4},G34,J34,M34,P34),2)+LARGE(CHOOSE({1;2;3;4},G34,J34,M34,P34),3)</f>
        <v>8.1999999999999993</v>
      </c>
      <c r="T34" s="7">
        <f>LARGE(CHOOSE({1;2;3;4},H34,K34,N34,Q34),1)+LARGE(CHOOSE({1;2;3;4},H34,K34,N34,Q34),2)+LARGE(CHOOSE({1;2;3;4},H34,K34,N34,Q34),3)</f>
        <v>12.5</v>
      </c>
      <c r="U34" s="4" cm="1">
        <f t="array" ref="U34">IF(PB[[#This Row],[Number_of_competition]:[Number_of_competition]]&gt;=3,(LARGE(CHOOSE({1;2;3;4},F34,I34,L34,O34),1)+LARGE(CHOOSE({1;2;3;4},F34,I34,L34,O34),2)+LARGE(CHOOSE({1;2;3;4},F34,I34,L34,O34),3))/3,0)</f>
        <v>0</v>
      </c>
      <c r="V34" s="7" cm="1">
        <f t="array" ref="V34">IF(PB[[#This Row],[Number_of_competition]:[Number_of_competition]]&gt;=3,(LARGE(CHOOSE({1;2;3;4},G34,J34,M34,P34),1)+LARGE(CHOOSE({1;2;3;4},G34,J34,M34,P34),2)+LARGE(CHOOSE({1;2;3;4},G34,J34,M34,P34),3))/3,0)</f>
        <v>0</v>
      </c>
      <c r="W34" s="7" cm="1">
        <f t="array" ref="W34">IF(PB[[#This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90</v>
      </c>
      <c r="B35" s="2" t="s">
        <v>60</v>
      </c>
      <c r="C35" s="2" t="s">
        <v>91</v>
      </c>
      <c r="D35" t="s">
        <v>36</v>
      </c>
      <c r="E35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5" s="4">
        <v>0</v>
      </c>
      <c r="G35" s="7">
        <v>0</v>
      </c>
      <c r="H35" s="7">
        <v>0</v>
      </c>
      <c r="I35" s="4">
        <v>0</v>
      </c>
      <c r="J35" s="7">
        <v>0</v>
      </c>
      <c r="K35" s="7">
        <v>0</v>
      </c>
      <c r="L35" s="4">
        <v>2.9</v>
      </c>
      <c r="M35" s="7">
        <v>8.5</v>
      </c>
      <c r="N35" s="7">
        <v>11.4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2.9</v>
      </c>
      <c r="S35" s="7">
        <f>LARGE(CHOOSE({1;2;3;4},G35,J35,M35,P35),1)+LARGE(CHOOSE({1;2;3;4},G35,J35,M35,P35),2)+LARGE(CHOOSE({1;2;3;4},G35,J35,M35,P35),3)</f>
        <v>8.5</v>
      </c>
      <c r="T35" s="7">
        <f>LARGE(CHOOSE({1;2;3;4},H35,K35,N35,Q35),1)+LARGE(CHOOSE({1;2;3;4},H35,K35,N35,Q35),2)+LARGE(CHOOSE({1;2;3;4},H35,K35,N35,Q35),3)</f>
        <v>11.4</v>
      </c>
      <c r="U35" s="4" cm="1">
        <f t="array" ref="U35">IF(PB[[#This Row],[Number_of_competition]:[Number_of_competition]]&gt;=3,(LARGE(CHOOSE({1;2;3;4},F35,I35,L35,O35),1)+LARGE(CHOOSE({1;2;3;4},F35,I35,L35,O35),2)+LARGE(CHOOSE({1;2;3;4},F35,I35,L35,O35),3))/3,0)</f>
        <v>0</v>
      </c>
      <c r="V35" s="7" cm="1">
        <f t="array" ref="V35">IF(PB[[#This Row],[Number_of_competition]:[Number_of_competition]]&gt;=3,(LARGE(CHOOSE({1;2;3;4},G35,J35,M35,P35),1)+LARGE(CHOOSE({1;2;3;4},G35,J35,M35,P35),2)+LARGE(CHOOSE({1;2;3;4},G35,J35,M35,P35),3))/3,0)</f>
        <v>0</v>
      </c>
      <c r="W35" s="7" cm="1">
        <f t="array" ref="W35">IF(PB[[#This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118</v>
      </c>
      <c r="B36" s="2" t="s">
        <v>60</v>
      </c>
      <c r="C36" s="2" t="s">
        <v>119</v>
      </c>
      <c r="D36" t="s">
        <v>31</v>
      </c>
      <c r="E36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6" s="4">
        <v>0</v>
      </c>
      <c r="G36" s="7">
        <v>0</v>
      </c>
      <c r="H36" s="7">
        <v>0</v>
      </c>
      <c r="I36" s="4">
        <v>0</v>
      </c>
      <c r="J36" s="7">
        <v>0</v>
      </c>
      <c r="K36" s="7">
        <v>0</v>
      </c>
      <c r="L36" s="4">
        <v>4.3</v>
      </c>
      <c r="M36" s="7">
        <v>7.1</v>
      </c>
      <c r="N36" s="7">
        <v>11.4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4.3</v>
      </c>
      <c r="S36" s="7">
        <f>LARGE(CHOOSE({1;2;3;4},G36,J36,M36,P36),1)+LARGE(CHOOSE({1;2;3;4},G36,J36,M36,P36),2)+LARGE(CHOOSE({1;2;3;4},G36,J36,M36,P36),3)</f>
        <v>7.1</v>
      </c>
      <c r="T36" s="7">
        <f>LARGE(CHOOSE({1;2;3;4},H36,K36,N36,Q36),1)+LARGE(CHOOSE({1;2;3;4},H36,K36,N36,Q36),2)+LARGE(CHOOSE({1;2;3;4},H36,K36,N36,Q36),3)</f>
        <v>11.4</v>
      </c>
      <c r="U36" s="4" cm="1">
        <f t="array" ref="U36">IF(PB[[#This Row],[Number_of_competition]:[Number_of_competition]]&gt;=3,(LARGE(CHOOSE({1;2;3;4},F36,I36,L36,O36),1)+LARGE(CHOOSE({1;2;3;4},F36,I36,L36,O36),2)+LARGE(CHOOSE({1;2;3;4},F36,I36,L36,O36),3))/3,0)</f>
        <v>0</v>
      </c>
      <c r="V36" s="7" cm="1">
        <f t="array" ref="V36">IF(PB[[#This Row],[Number_of_competition]:[Number_of_competition]]&gt;=3,(LARGE(CHOOSE({1;2;3;4},G36,J36,M36,P36),1)+LARGE(CHOOSE({1;2;3;4},G36,J36,M36,P36),2)+LARGE(CHOOSE({1;2;3;4},G36,J36,M36,P36),3))/3,0)</f>
        <v>0</v>
      </c>
      <c r="W36" s="7" cm="1">
        <f t="array" ref="W36">IF(PB[[#This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142</v>
      </c>
      <c r="B37" s="2" t="s">
        <v>60</v>
      </c>
      <c r="C37" s="2" t="s">
        <v>143</v>
      </c>
      <c r="D37" t="s">
        <v>62</v>
      </c>
      <c r="E37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7" s="4">
        <v>3.4</v>
      </c>
      <c r="G37" s="7">
        <v>7.9</v>
      </c>
      <c r="H37" s="7">
        <v>11.3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3.4</v>
      </c>
      <c r="S37" s="7">
        <f>LARGE(CHOOSE({1;2;3;4},G37,J37,M37,P37),1)+LARGE(CHOOSE({1;2;3;4},G37,J37,M37,P37),2)+LARGE(CHOOSE({1;2;3;4},G37,J37,M37,P37),3)</f>
        <v>7.9</v>
      </c>
      <c r="T37" s="7">
        <f>LARGE(CHOOSE({1;2;3;4},H37,K37,N37,Q37),1)+LARGE(CHOOSE({1;2;3;4},H37,K37,N37,Q37),2)+LARGE(CHOOSE({1;2;3;4},H37,K37,N37,Q37),3)</f>
        <v>11.3</v>
      </c>
      <c r="U37" s="4" cm="1">
        <f t="array" ref="U37">IF(PB[[#This Row],[Number_of_competition]:[Number_of_competition]]&gt;=3,(LARGE(CHOOSE({1;2;3;4},F37,I37,L37,O37),1)+LARGE(CHOOSE({1;2;3;4},F37,I37,L37,O37),2)+LARGE(CHOOSE({1;2;3;4},F37,I37,L37,O37),3))/3,0)</f>
        <v>0</v>
      </c>
      <c r="V37" s="7" cm="1">
        <f t="array" ref="V37">IF(PB[[#This Row],[Number_of_competition]:[Number_of_competition]]&gt;=3,(LARGE(CHOOSE({1;2;3;4},G37,J37,M37,P37),1)+LARGE(CHOOSE({1;2;3;4},G37,J37,M37,P37),2)+LARGE(CHOOSE({1;2;3;4},G37,J37,M37,P37),3))/3,0)</f>
        <v>0</v>
      </c>
      <c r="W37" s="7" cm="1">
        <f t="array" ref="W37">IF(PB[[#This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129</v>
      </c>
      <c r="B38" s="2" t="s">
        <v>60</v>
      </c>
      <c r="C38" s="2" t="s">
        <v>130</v>
      </c>
      <c r="D38" t="s">
        <v>72</v>
      </c>
      <c r="E38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8" s="4">
        <v>0</v>
      </c>
      <c r="G38" s="7">
        <v>0</v>
      </c>
      <c r="H38" s="7">
        <v>0</v>
      </c>
      <c r="I38" s="4">
        <v>0</v>
      </c>
      <c r="J38" s="7">
        <v>0</v>
      </c>
      <c r="K38" s="7">
        <v>0</v>
      </c>
      <c r="L38" s="4">
        <v>2.7</v>
      </c>
      <c r="M38" s="7">
        <v>8.5500000000000007</v>
      </c>
      <c r="N38" s="7">
        <v>11.25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2.7</v>
      </c>
      <c r="S38" s="7">
        <f>LARGE(CHOOSE({1;2;3;4},G38,J38,M38,P38),1)+LARGE(CHOOSE({1;2;3;4},G38,J38,M38,P38),2)+LARGE(CHOOSE({1;2;3;4},G38,J38,M38,P38),3)</f>
        <v>8.5500000000000007</v>
      </c>
      <c r="T38" s="7">
        <f>LARGE(CHOOSE({1;2;3;4},H38,K38,N38,Q38),1)+LARGE(CHOOSE({1;2;3;4},H38,K38,N38,Q38),2)+LARGE(CHOOSE({1;2;3;4},H38,K38,N38,Q38),3)</f>
        <v>11.25</v>
      </c>
      <c r="U38" s="4" cm="1">
        <f t="array" ref="U38">IF(PB[[#This Row],[Number_of_competition]:[Number_of_competition]]&gt;=3,(LARGE(CHOOSE({1;2;3;4},F38,I38,L38,O38),1)+LARGE(CHOOSE({1;2;3;4},F38,I38,L38,O38),2)+LARGE(CHOOSE({1;2;3;4},F38,I38,L38,O38),3))/3,0)</f>
        <v>0</v>
      </c>
      <c r="V38" s="7" cm="1">
        <f t="array" ref="V38">IF(PB[[#This Row],[Number_of_competition]:[Number_of_competition]]&gt;=3,(LARGE(CHOOSE({1;2;3;4},G38,J38,M38,P38),1)+LARGE(CHOOSE({1;2;3;4},G38,J38,M38,P38),2)+LARGE(CHOOSE({1;2;3;4},G38,J38,M38,P38),3))/3,0)</f>
        <v>0</v>
      </c>
      <c r="W38" s="7" cm="1">
        <f t="array" ref="W38">IF(PB[[#This Row],[Number_of_competition]:[Number_of_competition]]&gt;=3,(LARGE(CHOOSE({1;2;3;4},H38,K38,N38,Q38),1)+LARGE(CHOOSE({1;2;3;4},H38,K38,N38,Q38),2)+LARGE(CHOOSE({1;2;3;4},H38,K38,N38,Q38),3))/3,0)</f>
        <v>0</v>
      </c>
    </row>
    <row r="39" spans="1:23" x14ac:dyDescent="0.25">
      <c r="A39" t="s">
        <v>132</v>
      </c>
      <c r="B39" s="2" t="s">
        <v>26</v>
      </c>
      <c r="C39" s="2" t="s">
        <v>133</v>
      </c>
      <c r="D39" t="s">
        <v>39</v>
      </c>
      <c r="E39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39" s="4">
        <v>3</v>
      </c>
      <c r="G39" s="7">
        <v>8.0500000000000007</v>
      </c>
      <c r="H39" s="7">
        <v>11.05</v>
      </c>
      <c r="I39" s="4">
        <v>0</v>
      </c>
      <c r="J39" s="7">
        <v>0</v>
      </c>
      <c r="K39" s="7">
        <v>0</v>
      </c>
      <c r="L39" s="4">
        <v>0</v>
      </c>
      <c r="M39" s="7">
        <v>0</v>
      </c>
      <c r="N39" s="7">
        <v>0</v>
      </c>
      <c r="O39" s="4">
        <v>0</v>
      </c>
      <c r="P39" s="7">
        <v>0</v>
      </c>
      <c r="Q39" s="7">
        <v>0</v>
      </c>
      <c r="R39" s="4">
        <f>LARGE(CHOOSE({1;2;3;4},F39,I39,L39,O39),1)+LARGE(CHOOSE({1;2;3;4},F39,I39,L39,O39),2)+LARGE(CHOOSE({1;2;3;4},F39,I39,L39,O39),3)</f>
        <v>3</v>
      </c>
      <c r="S39" s="7">
        <f>LARGE(CHOOSE({1;2;3;4},G39,J39,M39,P39),1)+LARGE(CHOOSE({1;2;3;4},G39,J39,M39,P39),2)+LARGE(CHOOSE({1;2;3;4},G39,J39,M39,P39),3)</f>
        <v>8.0500000000000007</v>
      </c>
      <c r="T39" s="7">
        <f>LARGE(CHOOSE({1;2;3;4},H39,K39,N39,Q39),1)+LARGE(CHOOSE({1;2;3;4},H39,K39,N39,Q39),2)+LARGE(CHOOSE({1;2;3;4},H39,K39,N39,Q39),3)</f>
        <v>11.05</v>
      </c>
      <c r="U39" s="4" cm="1">
        <f t="array" ref="U39">IF(PB[[#This Row],[Number_of_competition]:[Number_of_competition]]&gt;=3,(LARGE(CHOOSE({1;2;3;4},F39,I39,L39,O39),1)+LARGE(CHOOSE({1;2;3;4},F39,I39,L39,O39),2)+LARGE(CHOOSE({1;2;3;4},F39,I39,L39,O39),3))/3,0)</f>
        <v>0</v>
      </c>
      <c r="V39" s="7" cm="1">
        <f t="array" ref="V39">IF(PB[[#This Row],[Number_of_competition]:[Number_of_competition]]&gt;=3,(LARGE(CHOOSE({1;2;3;4},G39,J39,M39,P39),1)+LARGE(CHOOSE({1;2;3;4},G39,J39,M39,P39),2)+LARGE(CHOOSE({1;2;3;4},G39,J39,M39,P39),3))/3,0)</f>
        <v>0</v>
      </c>
      <c r="W39" s="7" cm="1">
        <f t="array" ref="W39">IF(PB[[#This Row],[Number_of_competition]:[Number_of_competition]]&gt;=3,(LARGE(CHOOSE({1;2;3;4},H39,K39,N39,Q39),1)+LARGE(CHOOSE({1;2;3;4},H39,K39,N39,Q39),2)+LARGE(CHOOSE({1;2;3;4},H39,K39,N39,Q39),3))/3,0)</f>
        <v>0</v>
      </c>
    </row>
    <row r="40" spans="1:23" x14ac:dyDescent="0.25">
      <c r="A40" t="s">
        <v>106</v>
      </c>
      <c r="B40" s="2" t="s">
        <v>60</v>
      </c>
      <c r="C40" s="2" t="s">
        <v>107</v>
      </c>
      <c r="D40" t="s">
        <v>31</v>
      </c>
      <c r="E40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40" s="4">
        <v>2.5</v>
      </c>
      <c r="G40" s="7">
        <v>7.45</v>
      </c>
      <c r="H40" s="7">
        <v>9.9499999999999993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f>LARGE(CHOOSE({1;2;3;4},F40,I40,L40,O40),1)+LARGE(CHOOSE({1;2;3;4},F40,I40,L40,O40),2)+LARGE(CHOOSE({1;2;3;4},F40,I40,L40,O40),3)</f>
        <v>2.5</v>
      </c>
      <c r="S40" s="7">
        <f>LARGE(CHOOSE({1;2;3;4},G40,J40,M40,P40),1)+LARGE(CHOOSE({1;2;3;4},G40,J40,M40,P40),2)+LARGE(CHOOSE({1;2;3;4},G40,J40,M40,P40),3)</f>
        <v>7.45</v>
      </c>
      <c r="T40" s="7">
        <f>LARGE(CHOOSE({1;2;3;4},H40,K40,N40,Q40),1)+LARGE(CHOOSE({1;2;3;4},H40,K40,N40,Q40),2)+LARGE(CHOOSE({1;2;3;4},H40,K40,N40,Q40),3)</f>
        <v>9.9499999999999993</v>
      </c>
      <c r="U40" s="4" cm="1">
        <f t="array" ref="U40">IF(PB[[#This Row],[Number_of_competition]:[Number_of_competition]]&gt;=3,(LARGE(CHOOSE({1;2;3;4},F40,I40,L40,O40),1)+LARGE(CHOOSE({1;2;3;4},F40,I40,L40,O40),2)+LARGE(CHOOSE({1;2;3;4},F40,I40,L40,O40),3))/3,0)</f>
        <v>0</v>
      </c>
      <c r="V40" s="7" cm="1">
        <f t="array" ref="V40">IF(PB[[#This Row],[Number_of_competition]:[Number_of_competition]]&gt;=3,(LARGE(CHOOSE({1;2;3;4},G40,J40,M40,P40),1)+LARGE(CHOOSE({1;2;3;4},G40,J40,M40,P40),2)+LARGE(CHOOSE({1;2;3;4},G40,J40,M40,P40),3))/3,0)</f>
        <v>0</v>
      </c>
      <c r="W40" s="7" cm="1">
        <f t="array" ref="W40">IF(PB[[#This Row],[Number_of_competition]:[Number_of_competition]]&gt;=3,(LARGE(CHOOSE({1;2;3;4},H40,K40,N40,Q40),1)+LARGE(CHOOSE({1;2;3;4},H40,K40,N40,Q40),2)+LARGE(CHOOSE({1;2;3;4},H40,K40,N40,Q40),3))/3,0)</f>
        <v>0</v>
      </c>
    </row>
    <row r="41" spans="1:23" x14ac:dyDescent="0.25">
      <c r="A41" t="s">
        <v>57</v>
      </c>
      <c r="B41" s="2" t="s">
        <v>26</v>
      </c>
      <c r="C41" s="2" t="s">
        <v>58</v>
      </c>
      <c r="D41" t="s">
        <v>36</v>
      </c>
      <c r="E41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41" s="4">
        <v>2.5</v>
      </c>
      <c r="G41" s="7">
        <v>5.7</v>
      </c>
      <c r="H41" s="7">
        <v>8.1999999999999993</v>
      </c>
      <c r="I41" s="4">
        <v>0</v>
      </c>
      <c r="J41" s="7">
        <v>0</v>
      </c>
      <c r="K41" s="7">
        <v>0</v>
      </c>
      <c r="L41" s="4">
        <v>0</v>
      </c>
      <c r="M41" s="7">
        <v>0</v>
      </c>
      <c r="N41" s="7">
        <v>0</v>
      </c>
      <c r="O41" s="4">
        <v>0</v>
      </c>
      <c r="P41" s="7">
        <v>0</v>
      </c>
      <c r="Q41" s="7">
        <v>0</v>
      </c>
      <c r="R41" s="4">
        <f>LARGE(CHOOSE({1;2;3;4},F41,I41,L41,O41),1)+LARGE(CHOOSE({1;2;3;4},F41,I41,L41,O41),2)+LARGE(CHOOSE({1;2;3;4},F41,I41,L41,O41),3)</f>
        <v>2.5</v>
      </c>
      <c r="S41" s="7">
        <f>LARGE(CHOOSE({1;2;3;4},G41,J41,M41,P41),1)+LARGE(CHOOSE({1;2;3;4},G41,J41,M41,P41),2)+LARGE(CHOOSE({1;2;3;4},G41,J41,M41,P41),3)</f>
        <v>5.7</v>
      </c>
      <c r="T41" s="7">
        <f>LARGE(CHOOSE({1;2;3;4},H41,K41,N41,Q41),1)+LARGE(CHOOSE({1;2;3;4},H41,K41,N41,Q41),2)+LARGE(CHOOSE({1;2;3;4},H41,K41,N41,Q41),3)</f>
        <v>8.1999999999999993</v>
      </c>
      <c r="U41" s="4" cm="1">
        <f t="array" ref="U41">IF(PB[[#This Row],[Number_of_competition]:[Number_of_competition]]&gt;=3,(LARGE(CHOOSE({1;2;3;4},F41,I41,L41,O41),1)+LARGE(CHOOSE({1;2;3;4},F41,I41,L41,O41),2)+LARGE(CHOOSE({1;2;3;4},F41,I41,L41,O41),3))/3,0)</f>
        <v>0</v>
      </c>
      <c r="V41" s="7" cm="1">
        <f t="array" ref="V41">IF(PB[[#This Row],[Number_of_competition]:[Number_of_competition]]&gt;=3,(LARGE(CHOOSE({1;2;3;4},G41,J41,M41,P41),1)+LARGE(CHOOSE({1;2;3;4},G41,J41,M41,P41),2)+LARGE(CHOOSE({1;2;3;4},G41,J41,M41,P41),3))/3,0)</f>
        <v>0</v>
      </c>
      <c r="W41" s="7" cm="1">
        <f t="array" ref="W41">IF(PB[[#This Row],[Number_of_competition]:[Number_of_competition]]&gt;=3,(LARGE(CHOOSE({1;2;3;4},H41,K41,N41,Q41),1)+LARGE(CHOOSE({1;2;3;4},H41,K41,N41,Q41),2)+LARGE(CHOOSE({1;2;3;4},H41,K41,N41,Q41),3))/3,0)</f>
        <v>0</v>
      </c>
    </row>
    <row r="42" spans="1:23" x14ac:dyDescent="0.25">
      <c r="A42" t="s">
        <v>139</v>
      </c>
      <c r="B42" s="2" t="s">
        <v>26</v>
      </c>
      <c r="C42" s="2" t="s">
        <v>140</v>
      </c>
      <c r="D42" t="s">
        <v>124</v>
      </c>
      <c r="E42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42" s="4">
        <v>2</v>
      </c>
      <c r="G42" s="7">
        <v>3.45</v>
      </c>
      <c r="H42" s="7">
        <v>5.45</v>
      </c>
      <c r="I42" s="4">
        <v>0</v>
      </c>
      <c r="J42" s="7">
        <v>0</v>
      </c>
      <c r="K42" s="7">
        <v>0</v>
      </c>
      <c r="L42" s="4">
        <v>0</v>
      </c>
      <c r="M42" s="7">
        <v>0</v>
      </c>
      <c r="N42" s="7">
        <v>0</v>
      </c>
      <c r="O42" s="4">
        <v>0</v>
      </c>
      <c r="P42" s="7">
        <v>0</v>
      </c>
      <c r="Q42" s="7">
        <v>0</v>
      </c>
      <c r="R42" s="4">
        <f>LARGE(CHOOSE({1;2;3;4},F42,I42,L42,O42),1)+LARGE(CHOOSE({1;2;3;4},F42,I42,L42,O42),2)+LARGE(CHOOSE({1;2;3;4},F42,I42,L42,O42),3)</f>
        <v>2</v>
      </c>
      <c r="S42" s="7">
        <f>LARGE(CHOOSE({1;2;3;4},G42,J42,M42,P42),1)+LARGE(CHOOSE({1;2;3;4},G42,J42,M42,P42),2)+LARGE(CHOOSE({1;2;3;4},G42,J42,M42,P42),3)</f>
        <v>3.45</v>
      </c>
      <c r="T42" s="7">
        <f>LARGE(CHOOSE({1;2;3;4},H42,K42,N42,Q42),1)+LARGE(CHOOSE({1;2;3;4},H42,K42,N42,Q42),2)+LARGE(CHOOSE({1;2;3;4},H42,K42,N42,Q42),3)</f>
        <v>5.45</v>
      </c>
      <c r="U42" s="4" cm="1">
        <f t="array" ref="U42">IF(PB[[#This Row],[Number_of_competition]:[Number_of_competition]]&gt;=3,(LARGE(CHOOSE({1;2;3;4},F42,I42,L42,O42),1)+LARGE(CHOOSE({1;2;3;4},F42,I42,L42,O42),2)+LARGE(CHOOSE({1;2;3;4},F42,I42,L42,O42),3))/3,0)</f>
        <v>0</v>
      </c>
      <c r="V42" s="7" cm="1">
        <f t="array" ref="V42">IF(PB[[#This Row],[Number_of_competition]:[Number_of_competition]]&gt;=3,(LARGE(CHOOSE({1;2;3;4},G42,J42,M42,P42),1)+LARGE(CHOOSE({1;2;3;4},G42,J42,M42,P42),2)+LARGE(CHOOSE({1;2;3;4},G42,J42,M42,P42),3))/3,0)</f>
        <v>0</v>
      </c>
      <c r="W42" s="7" cm="1">
        <f t="array" ref="W42">IF(PB[[#This Row],[Number_of_competition]:[Number_of_competition]]&gt;=3,(LARGE(CHOOSE({1;2;3;4},H42,K42,N42,Q42),1)+LARGE(CHOOSE({1;2;3;4},H42,K42,N42,Q42),2)+LARGE(CHOOSE({1;2;3;4},H42,K42,N42,Q42),3))/3,0)</f>
        <v>0</v>
      </c>
    </row>
    <row r="43" spans="1:23" x14ac:dyDescent="0.25">
      <c r="A43" t="s">
        <v>137</v>
      </c>
      <c r="B43" s="2" t="s">
        <v>26</v>
      </c>
      <c r="C43" s="2" t="s">
        <v>138</v>
      </c>
      <c r="D43" t="s">
        <v>124</v>
      </c>
      <c r="E43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43" s="4">
        <v>1.9</v>
      </c>
      <c r="G43" s="7">
        <v>2.85</v>
      </c>
      <c r="H43" s="7">
        <v>4.75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0</v>
      </c>
      <c r="P43" s="7">
        <v>0</v>
      </c>
      <c r="Q43" s="7">
        <v>0</v>
      </c>
      <c r="R43" s="4">
        <f>LARGE(CHOOSE({1;2;3;4},F43,I43,L43,O43),1)+LARGE(CHOOSE({1;2;3;4},F43,I43,L43,O43),2)+LARGE(CHOOSE({1;2;3;4},F43,I43,L43,O43),3)</f>
        <v>1.9</v>
      </c>
      <c r="S43" s="7">
        <f>LARGE(CHOOSE({1;2;3;4},G43,J43,M43,P43),1)+LARGE(CHOOSE({1;2;3;4},G43,J43,M43,P43),2)+LARGE(CHOOSE({1;2;3;4},G43,J43,M43,P43),3)</f>
        <v>2.85</v>
      </c>
      <c r="T43" s="7">
        <f>LARGE(CHOOSE({1;2;3;4},H43,K43,N43,Q43),1)+LARGE(CHOOSE({1;2;3;4},H43,K43,N43,Q43),2)+LARGE(CHOOSE({1;2;3;4},H43,K43,N43,Q43),3)</f>
        <v>4.75</v>
      </c>
      <c r="U43" s="4" cm="1">
        <f t="array" ref="U43">IF(PB[[#This Row],[Number_of_competition]:[Number_of_competition]]&gt;=3,(LARGE(CHOOSE({1;2;3;4},F43,I43,L43,O43),1)+LARGE(CHOOSE({1;2;3;4},F43,I43,L43,O43),2)+LARGE(CHOOSE({1;2;3;4},F43,I43,L43,O43),3))/3,0)</f>
        <v>0</v>
      </c>
      <c r="V43" s="7" cm="1">
        <f t="array" ref="V43">IF(PB[[#This Row],[Number_of_competition]:[Number_of_competition]]&gt;=3,(LARGE(CHOOSE({1;2;3;4},G43,J43,M43,P43),1)+LARGE(CHOOSE({1;2;3;4},G43,J43,M43,P43),2)+LARGE(CHOOSE({1;2;3;4},G43,J43,M43,P43),3))/3,0)</f>
        <v>0</v>
      </c>
      <c r="W43" s="7" cm="1">
        <f t="array" ref="W43">IF(PB[[#This Row],[Number_of_competition]:[Number_of_competition]]&gt;=3,(LARGE(CHOOSE({1;2;3;4},H43,K43,N43,Q43),1)+LARGE(CHOOSE({1;2;3;4},H43,K43,N43,Q43),2)+LARGE(CHOOSE({1;2;3;4},H43,K43,N43,Q43),3))/3,0)</f>
        <v>0</v>
      </c>
    </row>
    <row r="44" spans="1:23" x14ac:dyDescent="0.25">
      <c r="A44" t="s">
        <v>135</v>
      </c>
      <c r="B44" s="2" t="s">
        <v>26</v>
      </c>
      <c r="C44" s="2" t="s">
        <v>136</v>
      </c>
      <c r="D44" t="s">
        <v>124</v>
      </c>
      <c r="E44" s="6">
        <f>COUNTIF(PB[[#This Row],[bydgoszcz_PB_Total_Score]],"&gt;0")+COUNTIF(PB[[#This Row],[zabrze_PB_Total_Score]],"&gt;0")+COUNTIF(PB[[#This Row],[cracow_PB_Total_Score]],"&gt;0")+COUNTIF(PB[[#This Row],[gdansk_PB_Total_Score]],"&gt;0")</f>
        <v>1</v>
      </c>
      <c r="F44" s="4">
        <v>1.4</v>
      </c>
      <c r="G44" s="7">
        <v>1.7</v>
      </c>
      <c r="H44" s="7">
        <v>3.1</v>
      </c>
      <c r="I44" s="4">
        <v>0</v>
      </c>
      <c r="J44" s="7">
        <v>0</v>
      </c>
      <c r="K44" s="7">
        <v>0</v>
      </c>
      <c r="L44" s="4">
        <v>0</v>
      </c>
      <c r="M44" s="7">
        <v>0</v>
      </c>
      <c r="N44" s="7">
        <v>0</v>
      </c>
      <c r="O44" s="4">
        <v>0</v>
      </c>
      <c r="P44" s="7">
        <v>0</v>
      </c>
      <c r="Q44" s="7">
        <v>0</v>
      </c>
      <c r="R44" s="4">
        <f>LARGE(CHOOSE({1;2;3;4},F44,I44,L44,O44),1)+LARGE(CHOOSE({1;2;3;4},F44,I44,L44,O44),2)+LARGE(CHOOSE({1;2;3;4},F44,I44,L44,O44),3)</f>
        <v>1.4</v>
      </c>
      <c r="S44" s="7">
        <f>LARGE(CHOOSE({1;2;3;4},G44,J44,M44,P44),1)+LARGE(CHOOSE({1;2;3;4},G44,J44,M44,P44),2)+LARGE(CHOOSE({1;2;3;4},G44,J44,M44,P44),3)</f>
        <v>1.7</v>
      </c>
      <c r="T44" s="7">
        <f>LARGE(CHOOSE({1;2;3;4},H44,K44,N44,Q44),1)+LARGE(CHOOSE({1;2;3;4},H44,K44,N44,Q44),2)+LARGE(CHOOSE({1;2;3;4},H44,K44,N44,Q44),3)</f>
        <v>3.1</v>
      </c>
      <c r="U44" s="4" cm="1">
        <f t="array" ref="U44">IF(PB[[#This Row],[Number_of_competition]:[Number_of_competition]]&gt;=3,(LARGE(CHOOSE({1;2;3;4},F44,I44,L44,O44),1)+LARGE(CHOOSE({1;2;3;4},F44,I44,L44,O44),2)+LARGE(CHOOSE({1;2;3;4},F44,I44,L44,O44),3))/3,0)</f>
        <v>0</v>
      </c>
      <c r="V44" s="7" cm="1">
        <f t="array" ref="V44">IF(PB[[#This Row],[Number_of_competition]:[Number_of_competition]]&gt;=3,(LARGE(CHOOSE({1;2;3;4},G44,J44,M44,P44),1)+LARGE(CHOOSE({1;2;3;4},G44,J44,M44,P44),2)+LARGE(CHOOSE({1;2;3;4},G44,J44,M44,P44),3))/3,0)</f>
        <v>0</v>
      </c>
      <c r="W44" s="7" cm="1">
        <f t="array" ref="W44">IF(PB[[#This Row],[Number_of_competition]:[Number_of_competition]]&gt;=3,(LARGE(CHOOSE({1;2;3;4},H44,K44,N44,Q44),1)+LARGE(CHOOSE({1;2;3;4},H44,K44,N44,Q44),2)+LARGE(CHOOSE({1;2;3;4},H44,K44,N44,Q44),3))/3,0)</f>
        <v>0</v>
      </c>
    </row>
    <row r="47" spans="1:23" x14ac:dyDescent="0.25">
      <c r="A47" s="2" t="s">
        <v>244</v>
      </c>
      <c r="B47" s="7" t="s">
        <v>256</v>
      </c>
      <c r="C47" s="7" t="s">
        <v>260</v>
      </c>
      <c r="D47" s="2" t="s">
        <v>255</v>
      </c>
    </row>
    <row r="48" spans="1:23" x14ac:dyDescent="0.25">
      <c r="A48" s="4" cm="1">
        <f t="array" ref="A48">SUM(_xlfn._xlws.FILTER(PB[bydgoszcz_PB_Dscore],PB[Category]="junior"),_xlfn._xlws.FILTER(PB[zabrze_PB_Dscore],PB[Category]="junior"),_xlfn._xlws.FILTER(PB[cracow_PB_Dscore],PB[Category]="junior"),_xlfn._xlws.FILTER(PB[gdansk_PB_Dscore],PB[Category]="junior"))/(COUNTIFS(PB[bydgoszcz_PB_Dscore],"&gt;0",PB[Category],"junior")+COUNTIFS(PB[zabrze_PB_Dscore],"&gt;0",PB[Category],"junior")+COUNTIFS(PB[cracow_PB_Dscore],"&gt;0",PB[Category],"junior")+COUNTIFS(PB[gdansk_PB_Dscore],"&gt;0",PB[Category],"junior"))</f>
        <v>3.0057692307692303</v>
      </c>
      <c r="B48" s="4" cm="1">
        <f t="array" ref="B48">_xlfn.STDEV.S(_xlfn._xlws.FILTER(PB[bydgoszcz_PB_Dscore],(PB[Category]="junior")*(PB[bydgoszcz_PB_Dscore])&gt;0),_xlfn._xlws.FILTER(PB[zabrze_PB_Dscore],(PB[Category]="junior")*(PB[zabrze_PB_Dscore])&gt;0),_xlfn._xlws.FILTER(PB[cracow_PB_Dscore],(PB[Category]="junior")*(PB[cracow_PB_Dscore])&gt;0),_xlfn._xlws.FILTER(PB[gdansk_PB_Dscore],(PB[Category]="junior")*(PB[gdansk_PB_Dscore])&gt;0))</f>
        <v>0.574085278060389</v>
      </c>
      <c r="C48" s="4" cm="1">
        <f t="array" ref="C48">MAX(_xlfn._xlws.FILTER(PB[bydgoszcz_PB_Dscore],PB[Category]="junior"),_xlfn._xlws.FILTER(PB[zabrze_PB_Dscore],PB[Category]="junior"),_xlfn._xlws.FILTER(PB[cracow_PB_Dscore],PB[Category]="junior"),_xlfn._xlws.FILTER(PB[gdansk_PB_Dscore],PB[Category]="junior"))</f>
        <v>4.2</v>
      </c>
      <c r="D48" s="2" t="str" cm="1">
        <f t="array" ref="D48">_xlfn.XLOOKUP(C48,_xlfn._xlws.FILTER(PB[bydgoszcz_PB_Dscore],PB[Category]="junior"),_xlfn._xlws.FILTER(PB[Name],PB[Category]="junior"),_xlfn.XLOOKUP(C48,_xlfn._xlws.FILTER(PB[zabrze_PB_Dscore],PB[Category]="junior"),_xlfn._xlws.FILTER(PB[Name],PB[Category]="junior"),_xlfn.XLOOKUP(C48,_xlfn._xlws.FILTER(PB[cracow_PB_Dscore],PB[Category]="junior"),_xlfn._xlws.FILTER(PB[Name],PB[Category]="junior"),_xlfn.XLOOKUP(C48,_xlfn._xlws.FILTER(PB[gdansk_PB_Dscore],PB[Category]="junior"),_xlfn._xlws.FILTER(PB[Name],PB[Category]="junior")))))</f>
        <v>LEKHAC Tomasz</v>
      </c>
    </row>
    <row r="49" spans="1:4" x14ac:dyDescent="0.25">
      <c r="A49" s="4" cm="1">
        <f t="array" ref="A49">SUM(_xlfn._xlws.FILTER(PB[bydgoszcz_PB_Dscore],PB[Category]="senior"),_xlfn._xlws.FILTER(PB[zabrze_PB_Dscore],PB[Category]="senior"),_xlfn._xlws.FILTER(PB[cracow_PB_Dscore],PB[Category]="senior"),_xlfn._xlws.FILTER(PB[gdansk_PB_Dscore],PB[Category]="senior"))/(COUNTIFS(PB[bydgoszcz_PB_Dscore],"&gt;0",PB[Category],"senior")+COUNTIFS(PB[zabrze_PB_Dscore],"&gt;0",PB[Category],"senior")+COUNTIFS(PB[cracow_PB_Dscore],"&gt;0",PB[Category],"senior")+COUNTIFS(PB[gdansk_PB_Dscore],"&gt;0",PB[Category],"senior"))</f>
        <v>3.5206896551724132</v>
      </c>
      <c r="B49" s="4" cm="1">
        <f t="array" ref="B49">_xlfn.STDEV.S(_xlfn._xlws.FILTER(PB[bydgoszcz_PB_Dscore],(PB[Category]="senior")*(PB[bydgoszcz_PB_Dscore])&gt;0),_xlfn._xlws.FILTER(PB[zabrze_PB_Dscore],(PB[Category]="senior")*(PB[zabrze_PB_Dscore])&gt;0),_xlfn._xlws.FILTER(PB[cracow_PB_Dscore],(PB[Category]="senior")*(PB[cracow_PB_Dscore])&gt;0),_xlfn._xlws.FILTER(PB[gdansk_PB_Dscore],(PB[Category]="senior")*(PB[gdansk_PB_Dscore])&gt;0))</f>
        <v>0.73859958068825293</v>
      </c>
      <c r="C49" s="4" cm="1">
        <f t="array" ref="C49">MAX(_xlfn._xlws.FILTER(PB[bydgoszcz_PB_Dscore],PB[Category]="senior"),_xlfn._xlws.FILTER(PB[zabrze_PB_Dscore],PB[Category]="senior"),_xlfn._xlws.FILTER(PB[cracow_PB_Dscore],PB[Category]="senior"),_xlfn._xlws.FILTER(PB[gdansk_PB_Dscore],PB[Category]="senior"))</f>
        <v>5.3</v>
      </c>
      <c r="D49" s="2" t="str" cm="1">
        <f t="array" ref="D49">_xlfn.XLOOKUP(C49,_xlfn._xlws.FILTER(PB[bydgoszcz_PB_Dscore],PB[Category]="senior"),_xlfn._xlws.FILTER(PB[Name],PB[Category]="senior"),_xlfn.XLOOKUP(C49,_xlfn._xlws.FILTER(PB[zabrze_PB_Dscore],PB[Category]="senior"),_xlfn._xlws.FILTER(PB[Name],PB[Category]="senior"),_xlfn.XLOOKUP(C49,_xlfn._xlws.FILTER(PB[cracow_PB_Dscore],PB[Category]="senior"),_xlfn._xlws.FILTER(PB[Name],PB[Category]="senior"),_xlfn.XLOOKUP(C49,_xlfn._xlws.FILTER(PB[gdansk_PB_Dscore],PB[Category]="senior"),_xlfn._xlws.FILTER(PB[Name],PB[Category]="senior")))))</f>
        <v>GARNCZAREK Kacper</v>
      </c>
    </row>
    <row r="50" spans="1:4" x14ac:dyDescent="0.25">
      <c r="A50" s="2"/>
      <c r="B50"/>
      <c r="C50" s="3"/>
      <c r="D50" s="5"/>
    </row>
    <row r="51" spans="1:4" x14ac:dyDescent="0.25">
      <c r="A51" s="2" t="s">
        <v>257</v>
      </c>
      <c r="B51" s="7" t="s">
        <v>258</v>
      </c>
      <c r="C51" s="7" t="s">
        <v>261</v>
      </c>
      <c r="D51" s="2" t="s">
        <v>255</v>
      </c>
    </row>
    <row r="52" spans="1:4" x14ac:dyDescent="0.25">
      <c r="A52" s="7" cm="1">
        <f t="array" ref="A52">SUM(_xlfn._xlws.FILTER(PB[bydgoszcz_PB_Escore],PB[Category]="junior"),_xlfn._xlws.FILTER(PB[zabrze_PB_Escore],PB[Category]="junior"),_xlfn._xlws.FILTER(PB[cracow_PB_Escore],PB[Category]="junior"),_xlfn._xlws.FILTER(PB[gdansk_PB_Escore],PB[Category]="junior"))/(COUNTIFS(PB[bydgoszcz_PB_Escore],"&gt;0",PB[Category],"junior")+COUNTIFS(PB[zabrze_PB_Escore],"&gt;0",PB[Category],"junior")+COUNTIFS(PB[cracow_PB_Escore],"&gt;0",PB[Category],"junior")+COUNTIFS(PB[gdansk_PB_Escore],"&gt;0",PB[Category],"junior"))</f>
        <v>7.8942307692307701</v>
      </c>
      <c r="B52" s="7" cm="1">
        <f t="array" ref="B52">_xlfn.STDEV.S(_xlfn._xlws.FILTER(PB[bydgoszcz_PB_Escore],(PB[Category]="junior")*(PB[bydgoszcz_PB_Escore])&gt;0),_xlfn._xlws.FILTER(PB[zabrze_PB_Escore],(PB[Category]="junior")*(PB[zabrze_PB_Escore])&gt;0),_xlfn._xlws.FILTER(PB[cracow_PB_Escore],(PB[Category]="junior")*(PB[cracow_PB_Escore])&gt;0),_xlfn._xlws.FILTER(PB[gdansk_PB_Escore],(PB[Category]="junior")*(PB[gdansk_PB_Escore])&gt;0))</f>
        <v>1.46225899124131</v>
      </c>
      <c r="C52" s="7" cm="1">
        <f t="array" ref="C52">MAX(_xlfn._xlws.FILTER(PB[bydgoszcz_PB_Escore],PB[Category]="junior"),_xlfn._xlws.FILTER(PB[zabrze_PB_Escore],PB[Category]="junior"),_xlfn._xlws.FILTER(PB[cracow_PB_Escore],PB[Category]="junior"),_xlfn._xlws.FILTER(PB[gdansk_PB_Escore],PB[Category]="junior"))</f>
        <v>9.1</v>
      </c>
      <c r="D52" s="2" t="str" cm="1">
        <f t="array" ref="D52">_xlfn.XLOOKUP(C52,_xlfn._xlws.FILTER(PB[bydgoszcz_PB_Escore],PB[Category]="junior"),_xlfn._xlws.FILTER(PB[Name],PB[Category]="junior"),_xlfn.XLOOKUP(C52,_xlfn._xlws.FILTER(PB[zabrze_PB_Escore],PB[Category]="junior"),_xlfn._xlws.FILTER(PB[Name],PB[Category]="junior"),_xlfn.XLOOKUP(C52,_xlfn._xlws.FILTER(PB[cracow_PB_Escore],PB[Category]="junior"),_xlfn._xlws.FILTER(PB[Name],PB[Category]="junior"),_xlfn.XLOOKUP(C52,_xlfn._xlws.FILTER(PB[gdansk_PB_Escore],PB[Category]="junior"),_xlfn._xlws.FILTER(PB[Name],PB[Category]="junior")))))</f>
        <v>LEKHAC Tomasz</v>
      </c>
    </row>
    <row r="53" spans="1:4" x14ac:dyDescent="0.25">
      <c r="A53" s="7" cm="1">
        <f t="array" ref="A53">SUM(_xlfn._xlws.FILTER(PB[bydgoszcz_PB_Escore],PB[Category]="senior"),_xlfn._xlws.FILTER(PB[zabrze_PB_Escore],PB[Category]="senior"),_xlfn._xlws.FILTER(PB[cracow_PB_Escore],PB[Category]="senior"),_xlfn._xlws.FILTER(PB[gdansk_PB_Escore],PB[Category]="senior"))/(COUNTIFS(PB[bydgoszcz_PB_Escore],"&gt;0",PB[Category],"senior")+COUNTIFS(PB[zabrze_PB_Escore],"&gt;0",PB[Category],"senior")+COUNTIFS(PB[cracow_PB_Escore],"&gt;0",PB[Category],"senior")+COUNTIFS(PB[gdansk_PB_Escore],"&gt;0",PB[Category],"senior"))</f>
        <v>7.8043103448275852</v>
      </c>
      <c r="B53" s="7" cm="1">
        <f t="array" ref="B53">_xlfn.STDEV.S(_xlfn._xlws.FILTER(PB[bydgoszcz_PB_Escore],(PB[Category]="senior")*(PB[bydgoszcz_PB_Escore])&gt;0),_xlfn._xlws.FILTER(PB[zabrze_PB_Escore],(PB[Category]="senior")*(PB[zabrze_PB_Escore])&gt;0),_xlfn._xlws.FILTER(PB[cracow_PB_Escore],(PB[Category]="senior")*(PB[cracow_PB_Escore])&gt;0),_xlfn._xlws.FILTER(PB[gdansk_PB_Escore],(PB[Category]="senior")*(PB[gdansk_PB_Escore])&gt;0))</f>
        <v>1.0093112330467156</v>
      </c>
      <c r="C53" s="7" cm="1">
        <f t="array" ref="C53">MAX(_xlfn._xlws.FILTER(PB[bydgoszcz_PB_Escore],PB[Category]="senior"),_xlfn._xlws.FILTER(PB[zabrze_PB_Escore],PB[Category]="senior"),_xlfn._xlws.FILTER(PB[cracow_PB_Escore],PB[Category]="senior"),_xlfn._xlws.FILTER(PB[gdansk_PB_Escore],PB[Category]="senior"))</f>
        <v>9.35</v>
      </c>
      <c r="D53" s="2" t="str" cm="1">
        <f t="array" ref="D53">_xlfn.XLOOKUP(C53,_xlfn._xlws.FILTER(PB[bydgoszcz_PB_Escore],PB[Category]="senior"),_xlfn._xlws.FILTER(PB[Name],PB[Category]="senior"),_xlfn.XLOOKUP(C53,_xlfn._xlws.FILTER(PB[zabrze_PB_Escore],PB[Category]="senior"),_xlfn._xlws.FILTER(PB[Name],PB[Category]="senior"),_xlfn.XLOOKUP(C53,_xlfn._xlws.FILTER(PB[cracow_PB_Escore],PB[Category]="senior"),_xlfn._xlws.FILTER(PB[Name],PB[Category]="senior"),_xlfn.XLOOKUP(C53,_xlfn._xlws.FILTER(PB[gdansk_PB_Escore],PB[Category]="senior"),_xlfn._xlws.FILTER(PB[Name],PB[Category]="senior")))))</f>
        <v>WROŃSKI Filip</v>
      </c>
    </row>
    <row r="54" spans="1:4" x14ac:dyDescent="0.25">
      <c r="A54" s="2"/>
      <c r="B54"/>
      <c r="C54" s="3"/>
      <c r="D54" s="5"/>
    </row>
    <row r="55" spans="1:4" x14ac:dyDescent="0.25">
      <c r="A55" s="2" t="s">
        <v>246</v>
      </c>
      <c r="B55" s="2" t="s">
        <v>259</v>
      </c>
      <c r="C55" s="7" t="s">
        <v>262</v>
      </c>
      <c r="D55" s="2" t="s">
        <v>255</v>
      </c>
    </row>
    <row r="56" spans="1:4" x14ac:dyDescent="0.25">
      <c r="A56" s="7" cm="1">
        <f t="array" ref="A56">SUM(_xlfn._xlws.FILTER(PB[bydgoszcz_PB_Total_Score],PB[Category]="junior"),_xlfn._xlws.FILTER(PB[zabrze_PB_Total_Score],PB[Category]="junior"),_xlfn._xlws.FILTER(PB[cracow_PB_Total_Score],PB[Category]="junior"),_xlfn._xlws.FILTER(PB[gdansk_PB_Total_Score],PB[Category]="junior"))/(COUNTIFS(PB[bydgoszcz_PB_Total_Score],"&gt;0",PB[Category],"junior")+COUNTIFS(PB[zabrze_PB_Total_Score],"&gt;0",PB[Category],"junior")+COUNTIFS(PB[cracow_PB_Total_Score],"&gt;0",PB[Category],"junior")+COUNTIFS(PB[gdansk_PB_Total_Score],"&gt;0",PB[Category],"junior"))</f>
        <v>10.899999999999999</v>
      </c>
      <c r="B56" s="7" cm="1">
        <f t="array" ref="B56">_xlfn.STDEV.S(_xlfn._xlws.FILTER(PB[bydgoszcz_PB_Total_Score],(PB[Category]="junior")*(PB[bydgoszcz_PB_Total_Score])&gt;0),_xlfn._xlws.FILTER(PB[zabrze_PB_Total_Score],(PB[Category]="junior")*(PB[zabrze_PB_Total_Score])&gt;0),_xlfn._xlws.FILTER(PB[cracow_PB_Total_Score],(PB[Category]="junior")*(PB[cracow_PB_Total_Score])&gt;0),_xlfn._xlws.FILTER(PB[gdansk_PB_Total_Score],(PB[Category]="junior")*(PB[gdansk_PB_Total_Score])&gt;0))</f>
        <v>1.8103731605368456</v>
      </c>
      <c r="C56" s="7" cm="1">
        <f t="array" ref="C56">MAX(_xlfn._xlws.FILTER(PB[bydgoszcz_PB_Total_Score],PB[Category]="junior"),_xlfn._xlws.FILTER(PB[zabrze_PB_Total_Score],PB[Category]="junior"),_xlfn._xlws.FILTER(PB[cracow_PB_Total_Score],PB[Category]="junior"),_xlfn._xlws.FILTER(PB[gdansk_PB_Total_Score],PB[Category]="junior"))</f>
        <v>13.3</v>
      </c>
      <c r="D56" s="2" t="str" cm="1">
        <f t="array" ref="D56">_xlfn.XLOOKUP(C56,_xlfn._xlws.FILTER(PB[bydgoszcz_PB_Total_Score],PB[Category]="junior"),_xlfn._xlws.FILTER(PB[Name],PB[Category]="junior"),_xlfn.XLOOKUP(C56,_xlfn._xlws.FILTER(PB[zabrze_PB_Total_Score],PB[Category]="junior"),_xlfn._xlws.FILTER(PB[Name],PB[Category]="junior"),_xlfn.XLOOKUP(C56,_xlfn._xlws.FILTER(PB[cracow_PB_Total_Score],PB[Category]="junior"),_xlfn._xlws.FILTER(PB[Name],PB[Category]="junior"),_xlfn.XLOOKUP(C56,_xlfn._xlws.FILTER(PB[gdansk_PB_Total_Score],PB[Category]="junior"),_xlfn._xlws.FILTER(PB[Name],PB[Category]="junior")))))</f>
        <v>LEKHAC Tomasz</v>
      </c>
    </row>
    <row r="57" spans="1:4" x14ac:dyDescent="0.25">
      <c r="A57" s="7" cm="1">
        <f t="array" ref="A57">SUM(_xlfn._xlws.FILTER(PB[bydgoszcz_PB_Total_Score],PB[Category]="senior"),_xlfn._xlws.FILTER(PB[zabrze_PB_Total_Score],PB[Category]="senior"),_xlfn._xlws.FILTER(PB[cracow_PB_Total_Score],PB[Category]="senior"),_xlfn._xlws.FILTER(PB[gdansk_PB_Total_Score],PB[Category]="senior"))/(COUNTIFS(PB[bydgoszcz_PB_Total_Score],"&gt;0",PB[Category],"senior")+COUNTIFS(PB[zabrze_PB_Total_Score],"&gt;0",PB[Category],"senior")+COUNTIFS(PB[cracow_PB_Total_Score],"&gt;0",PB[Category],"senior")+COUNTIFS(PB[gdansk_PB_Total_Score],"&gt;0",PB[Category],"senior"))</f>
        <v>11.324999999999996</v>
      </c>
      <c r="B57" s="7" cm="1">
        <f t="array" ref="B57">_xlfn.STDEV.S(_xlfn._xlws.FILTER(PB[bydgoszcz_PB_Total_Score],(PB[Category]="senior")*(PB[bydgoszcz_PB_Total_Score])&gt;0),_xlfn._xlws.FILTER(PB[zabrze_PB_Total_Score],(PB[Category]="senior")*(PB[zabrze_PB_Total_Score])&gt;0),_xlfn._xlws.FILTER(PB[cracow_PB_Total_Score],(PB[Category]="senior")*(PB[cracow_PB_Total_Score])&gt;0),_xlfn._xlws.FILTER(PB[gdansk_PB_Total_Score],(PB[Category]="senior")*(PB[gdansk_PB_Total_Score])&gt;0))</f>
        <v>1.2791941679425909</v>
      </c>
      <c r="C57" s="7" cm="1">
        <f t="array" ref="C57">MAX(_xlfn._xlws.FILTER(PB[bydgoszcz_PB_Total_Score],PB[Category]="senior"),_xlfn._xlws.FILTER(PB[zabrze_PB_Total_Score],PB[Category]="senior"),_xlfn._xlws.FILTER(PB[cracow_PB_Total_Score],PB[Category]="senior"),_xlfn._xlws.FILTER(PB[gdansk_PB_Total_Score],PB[Category]="senior"))</f>
        <v>13.4</v>
      </c>
      <c r="D57" s="2" t="str" cm="1">
        <f t="array" ref="D57">_xlfn.XLOOKUP(C57,_xlfn._xlws.FILTER(PB[bydgoszcz_PB_Total_Score],PB[Category]="senior"),_xlfn._xlws.FILTER(PB[Name],PB[Category]="senior"),_xlfn.XLOOKUP(C57,_xlfn._xlws.FILTER(PB[zabrze_PB_Total_Score],PB[Category]="senior"),_xlfn._xlws.FILTER(PB[Name],PB[Category]="senior"),_xlfn.XLOOKUP(C57,_xlfn._xlws.FILTER(PB[cracow_PB_Total_Score],PB[Category]="senior"),_xlfn._xlws.FILTER(PB[Name],PB[Category]="senior"),_xlfn.XLOOKUP(C57,_xlfn._xlws.FILTER(PB[gdansk_PB_Total_Score],PB[Category]="senior"),_xlfn._xlws.FILTER(PB[Name],PB[Category]="senior")))))</f>
        <v>SASNAL Filip</v>
      </c>
    </row>
  </sheetData>
  <conditionalFormatting sqref="F2:W44">
    <cfRule type="cellIs" dxfId="2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71DA-5178-C74C-934D-39CA6D8DB0E3}">
  <sheetPr>
    <tabColor theme="5" tint="0.39997558519241921"/>
  </sheetPr>
  <dimension ref="A1:W51"/>
  <sheetViews>
    <sheetView zoomScale="75" zoomScaleNormal="75" workbookViewId="0">
      <selection activeCell="L13" sqref="L13"/>
    </sheetView>
  </sheetViews>
  <sheetFormatPr defaultColWidth="11" defaultRowHeight="15.75" x14ac:dyDescent="0.25"/>
  <cols>
    <col min="1" max="1" width="21.125" bestFit="1" customWidth="1"/>
    <col min="2" max="2" width="18.5" style="2" bestFit="1" customWidth="1"/>
    <col min="3" max="3" width="17" style="2" bestFit="1" customWidth="1"/>
    <col min="4" max="4" width="26.625" customWidth="1"/>
    <col min="5" max="5" width="8.5" style="2" customWidth="1"/>
    <col min="6" max="6" width="7.875" style="4" customWidth="1"/>
    <col min="7" max="8" width="7.875" style="7" customWidth="1"/>
    <col min="9" max="9" width="7.875" style="4" customWidth="1"/>
    <col min="10" max="11" width="7.875" style="7" customWidth="1"/>
    <col min="12" max="12" width="7.875" style="4" customWidth="1"/>
    <col min="13" max="14" width="7.875" style="7" customWidth="1"/>
    <col min="15" max="15" width="7.875" style="4" customWidth="1"/>
    <col min="16" max="17" width="7.875" style="7" customWidth="1"/>
    <col min="18" max="23" width="7.875" style="2" customWidth="1"/>
  </cols>
  <sheetData>
    <row r="1" spans="1:23" x14ac:dyDescent="0.25">
      <c r="A1" s="4" t="s">
        <v>1</v>
      </c>
      <c r="B1" s="2" t="s">
        <v>2</v>
      </c>
      <c r="C1" s="2" t="s">
        <v>4</v>
      </c>
      <c r="D1" s="2" t="s">
        <v>5</v>
      </c>
      <c r="E1" s="2" t="s">
        <v>227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  <c r="R1" s="2" t="s">
        <v>219</v>
      </c>
      <c r="S1" s="2" t="s">
        <v>220</v>
      </c>
      <c r="T1" s="2" t="s">
        <v>221</v>
      </c>
      <c r="U1" s="2" t="s">
        <v>235</v>
      </c>
      <c r="V1" s="2" t="s">
        <v>236</v>
      </c>
      <c r="W1" s="2" t="s">
        <v>237</v>
      </c>
    </row>
    <row r="2" spans="1:23" x14ac:dyDescent="0.25">
      <c r="A2" t="s">
        <v>63</v>
      </c>
      <c r="B2" s="2" t="s">
        <v>60</v>
      </c>
      <c r="C2" s="2" t="s">
        <v>64</v>
      </c>
      <c r="D2" t="s">
        <v>39</v>
      </c>
      <c r="E2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2" s="4">
        <v>4.4000000000000004</v>
      </c>
      <c r="G2" s="7">
        <v>8</v>
      </c>
      <c r="H2" s="7">
        <v>12.4</v>
      </c>
      <c r="I2" s="4">
        <v>4.4000000000000004</v>
      </c>
      <c r="J2" s="7">
        <v>6.8</v>
      </c>
      <c r="K2" s="7">
        <v>11.2</v>
      </c>
      <c r="L2" s="4">
        <v>4.4000000000000004</v>
      </c>
      <c r="M2" s="7">
        <v>8.4</v>
      </c>
      <c r="N2" s="7">
        <v>12.8</v>
      </c>
      <c r="O2" s="4">
        <v>4.2</v>
      </c>
      <c r="P2" s="7">
        <v>8</v>
      </c>
      <c r="Q2" s="7">
        <v>12.2</v>
      </c>
      <c r="R2" s="4">
        <f>LARGE(CHOOSE({1;2;3;4},F2,I2,L2,O2),1)+LARGE(CHOOSE({1;2;3;4},F2,I2,L2,O2),2)+LARGE(CHOOSE({1;2;3;4},F2,I2,L2,O2),3)</f>
        <v>13.200000000000001</v>
      </c>
      <c r="S2" s="7">
        <f>LARGE(CHOOSE({1;2;3;4},G2,J2,M2,P2),1)+LARGE(CHOOSE({1;2;3;4},G2,J2,M2,P2),2)+LARGE(CHOOSE({1;2;3;4},G2,J2,M2,P2),3)</f>
        <v>24.4</v>
      </c>
      <c r="T2" s="7">
        <f>LARGE(CHOOSE({1;2;3;4},H2,K2,N2,Q2),1)+LARGE(CHOOSE({1;2;3;4},H2,K2,N2,Q2),2)+LARGE(CHOOSE({1;2;3;4},H2,K2,N2,Q2),3)</f>
        <v>37.400000000000006</v>
      </c>
      <c r="U2" s="4" cm="1">
        <f t="array" ref="U2">IF(HB[[#This Row],[Number_of_competition]:[Number_of_competition]]&gt;=3,(LARGE(CHOOSE({1;2;3;4},F2,I2,L2,O2),1)+LARGE(CHOOSE({1;2;3;4},F2,I2,L2,O2),2)+LARGE(CHOOSE({1;2;3;4},F2,I2,L2,O2),3))/3,0)</f>
        <v>4.4000000000000004</v>
      </c>
      <c r="V2" s="7" cm="1">
        <f t="array" ref="V2">IF(HB[[#This Row],[Number_of_competition]:[Number_of_competition]]&gt;=3,(LARGE(CHOOSE({1;2;3;4},G2,J2,M2,P2),1)+LARGE(CHOOSE({1;2;3;4},G2,J2,M2,P2),2)+LARGE(CHOOSE({1;2;3;4},G2,J2,M2,P2),3))/3,0)</f>
        <v>8.1333333333333329</v>
      </c>
      <c r="W2" s="7" cm="1">
        <f t="array" ref="W2">IF(HB[[#This Row],[Number_of_competition]:[Number_of_competition]]&gt;=3,(LARGE(CHOOSE({1;2;3;4},H2,K2,N2,Q2),1)+LARGE(CHOOSE({1;2;3;4},H2,K2,N2,Q2),2)+LARGE(CHOOSE({1;2;3;4},H2,K2,N2,Q2),3))/3,0)</f>
        <v>12.466666666666669</v>
      </c>
    </row>
    <row r="3" spans="1:23" x14ac:dyDescent="0.25">
      <c r="A3" t="s">
        <v>59</v>
      </c>
      <c r="B3" s="2" t="s">
        <v>60</v>
      </c>
      <c r="C3" s="2" t="s">
        <v>61</v>
      </c>
      <c r="D3" t="s">
        <v>62</v>
      </c>
      <c r="E3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3" s="4">
        <v>0</v>
      </c>
      <c r="G3" s="7">
        <v>0</v>
      </c>
      <c r="H3" s="7">
        <v>0</v>
      </c>
      <c r="I3" s="4">
        <v>4.5999999999999996</v>
      </c>
      <c r="J3" s="7">
        <v>7.4</v>
      </c>
      <c r="K3" s="7">
        <v>12</v>
      </c>
      <c r="L3" s="4">
        <v>4.5999999999999996</v>
      </c>
      <c r="M3" s="7">
        <v>8.15</v>
      </c>
      <c r="N3" s="7">
        <v>12.75</v>
      </c>
      <c r="O3" s="4">
        <v>4.9000000000000004</v>
      </c>
      <c r="P3" s="7">
        <v>6.9</v>
      </c>
      <c r="Q3" s="7">
        <v>11.8</v>
      </c>
      <c r="R3" s="4">
        <f>LARGE(CHOOSE({1;2;3;4},F3,I3,L3,O3),1)+LARGE(CHOOSE({1;2;3;4},F3,I3,L3,O3),2)+LARGE(CHOOSE({1;2;3;4},F3,I3,L3,O3),3)</f>
        <v>14.1</v>
      </c>
      <c r="S3" s="7">
        <f>LARGE(CHOOSE({1;2;3;4},G3,J3,M3,P3),1)+LARGE(CHOOSE({1;2;3;4},G3,J3,M3,P3),2)+LARGE(CHOOSE({1;2;3;4},G3,J3,M3,P3),3)</f>
        <v>22.450000000000003</v>
      </c>
      <c r="T3" s="7">
        <f>LARGE(CHOOSE({1;2;3;4},H3,K3,N3,Q3),1)+LARGE(CHOOSE({1;2;3;4},H3,K3,N3,Q3),2)+LARGE(CHOOSE({1;2;3;4},H3,K3,N3,Q3),3)</f>
        <v>36.549999999999997</v>
      </c>
      <c r="U3" s="4" cm="1">
        <f t="array" ref="U3">IF(HB[[#This Row],[Number_of_competition]:[Number_of_competition]]&gt;=3,(LARGE(CHOOSE({1;2;3;4},F3,I3,L3,O3),1)+LARGE(CHOOSE({1;2;3;4},F3,I3,L3,O3),2)+LARGE(CHOOSE({1;2;3;4},F3,I3,L3,O3),3))/3,0)</f>
        <v>4.7</v>
      </c>
      <c r="V3" s="7" cm="1">
        <f t="array" ref="V3">IF(HB[[#This Row],[Number_of_competition]:[Number_of_competition]]&gt;=3,(LARGE(CHOOSE({1;2;3;4},G3,J3,M3,P3),1)+LARGE(CHOOSE({1;2;3;4},G3,J3,M3,P3),2)+LARGE(CHOOSE({1;2;3;4},G3,J3,M3,P3),3))/3,0)</f>
        <v>7.4833333333333343</v>
      </c>
      <c r="W3" s="7" cm="1">
        <f t="array" ref="W3">IF(HB[[#This Row],[Number_of_competition]:[Number_of_competition]]&gt;=3,(LARGE(CHOOSE({1;2;3;4},H3,K3,N3,Q3),1)+LARGE(CHOOSE({1;2;3;4},H3,K3,N3,Q3),2)+LARGE(CHOOSE({1;2;3;4},H3,K3,N3,Q3),3))/3,0)</f>
        <v>12.183333333333332</v>
      </c>
    </row>
    <row r="4" spans="1:23" x14ac:dyDescent="0.25">
      <c r="A4" t="s">
        <v>25</v>
      </c>
      <c r="B4" s="2" t="s">
        <v>26</v>
      </c>
      <c r="C4" s="2" t="s">
        <v>27</v>
      </c>
      <c r="D4" t="s">
        <v>28</v>
      </c>
      <c r="E4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4" s="4">
        <v>2.6</v>
      </c>
      <c r="G4" s="7">
        <v>9</v>
      </c>
      <c r="H4" s="7">
        <v>11.6</v>
      </c>
      <c r="I4" s="4">
        <v>2.7</v>
      </c>
      <c r="J4" s="7">
        <v>9.1</v>
      </c>
      <c r="K4" s="7">
        <v>11.8</v>
      </c>
      <c r="L4" s="4">
        <v>2.7</v>
      </c>
      <c r="M4" s="7">
        <v>9.4499999999999993</v>
      </c>
      <c r="N4" s="7">
        <v>12.15</v>
      </c>
      <c r="O4" s="4">
        <v>2.7</v>
      </c>
      <c r="P4" s="7">
        <v>9.3000000000000007</v>
      </c>
      <c r="Q4" s="7">
        <v>12</v>
      </c>
      <c r="R4" s="4">
        <f>LARGE(CHOOSE({1;2;3;4},F4,I4,L4,O4),1)+LARGE(CHOOSE({1;2;3;4},F4,I4,L4,O4),2)+LARGE(CHOOSE({1;2;3;4},F4,I4,L4,O4),3)</f>
        <v>8.1000000000000014</v>
      </c>
      <c r="S4" s="7">
        <f>LARGE(CHOOSE({1;2;3;4},G4,J4,M4,P4),1)+LARGE(CHOOSE({1;2;3;4},G4,J4,M4,P4),2)+LARGE(CHOOSE({1;2;3;4},G4,J4,M4,P4),3)</f>
        <v>27.85</v>
      </c>
      <c r="T4" s="7">
        <f>LARGE(CHOOSE({1;2;3;4},H4,K4,N4,Q4),1)+LARGE(CHOOSE({1;2;3;4},H4,K4,N4,Q4),2)+LARGE(CHOOSE({1;2;3;4},H4,K4,N4,Q4),3)</f>
        <v>35.950000000000003</v>
      </c>
      <c r="U4" s="4" cm="1">
        <f t="array" ref="U4">IF(HB[[#This Row],[Number_of_competition]:[Number_of_competition]]&gt;=3,(LARGE(CHOOSE({1;2;3;4},F4,I4,L4,O4),1)+LARGE(CHOOSE({1;2;3;4},F4,I4,L4,O4),2)+LARGE(CHOOSE({1;2;3;4},F4,I4,L4,O4),3))/3,0)</f>
        <v>2.7000000000000006</v>
      </c>
      <c r="V4" s="7" cm="1">
        <f t="array" ref="V4">IF(HB[[#This Row],[Number_of_competition]:[Number_of_competition]]&gt;=3,(LARGE(CHOOSE({1;2;3;4},G4,J4,M4,P4),1)+LARGE(CHOOSE({1;2;3;4},G4,J4,M4,P4),2)+LARGE(CHOOSE({1;2;3;4},G4,J4,M4,P4),3))/3,0)</f>
        <v>9.2833333333333332</v>
      </c>
      <c r="W4" s="7" cm="1">
        <f t="array" ref="W4">IF(HB[[#This Row],[Number_of_competition]:[Number_of_competition]]&gt;=3,(LARGE(CHOOSE({1;2;3;4},H4,K4,N4,Q4),1)+LARGE(CHOOSE({1;2;3;4},H4,K4,N4,Q4),2)+LARGE(CHOOSE({1;2;3;4},H4,K4,N4,Q4),3))/3,0)</f>
        <v>11.983333333333334</v>
      </c>
    </row>
    <row r="5" spans="1:23" x14ac:dyDescent="0.25">
      <c r="A5" t="s">
        <v>82</v>
      </c>
      <c r="B5" s="2" t="s">
        <v>60</v>
      </c>
      <c r="C5" s="2" t="s">
        <v>83</v>
      </c>
      <c r="D5" t="s">
        <v>36</v>
      </c>
      <c r="E5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5" s="4">
        <v>0</v>
      </c>
      <c r="G5" s="7">
        <v>0</v>
      </c>
      <c r="H5" s="7">
        <v>0</v>
      </c>
      <c r="I5" s="4">
        <v>3.3</v>
      </c>
      <c r="J5" s="7">
        <v>7.8</v>
      </c>
      <c r="K5" s="7">
        <v>11.1</v>
      </c>
      <c r="L5" s="4">
        <v>4</v>
      </c>
      <c r="M5" s="7">
        <v>8.25</v>
      </c>
      <c r="N5" s="7">
        <v>12.25</v>
      </c>
      <c r="O5" s="4">
        <v>3.3</v>
      </c>
      <c r="P5" s="7">
        <v>8</v>
      </c>
      <c r="Q5" s="7">
        <v>11.3</v>
      </c>
      <c r="R5" s="4">
        <f>LARGE(CHOOSE({1;2;3;4},F5,I5,L5,O5),1)+LARGE(CHOOSE({1;2;3;4},F5,I5,L5,O5),2)+LARGE(CHOOSE({1;2;3;4},F5,I5,L5,O5),3)</f>
        <v>10.6</v>
      </c>
      <c r="S5" s="7">
        <f>LARGE(CHOOSE({1;2;3;4},G5,J5,M5,P5),1)+LARGE(CHOOSE({1;2;3;4},G5,J5,M5,P5),2)+LARGE(CHOOSE({1;2;3;4},G5,J5,M5,P5),3)</f>
        <v>24.05</v>
      </c>
      <c r="T5" s="7">
        <f>LARGE(CHOOSE({1;2;3;4},H5,K5,N5,Q5),1)+LARGE(CHOOSE({1;2;3;4},H5,K5,N5,Q5),2)+LARGE(CHOOSE({1;2;3;4},H5,K5,N5,Q5),3)</f>
        <v>34.65</v>
      </c>
      <c r="U5" s="4" cm="1">
        <f t="array" ref="U5">IF(HB[[#This Row],[Number_of_competition]:[Number_of_competition]]&gt;=3,(LARGE(CHOOSE({1;2;3;4},F5,I5,L5,O5),1)+LARGE(CHOOSE({1;2;3;4},F5,I5,L5,O5),2)+LARGE(CHOOSE({1;2;3;4},F5,I5,L5,O5),3))/3,0)</f>
        <v>3.5333333333333332</v>
      </c>
      <c r="V5" s="7" cm="1">
        <f t="array" ref="V5">IF(HB[[#This Row],[Number_of_competition]:[Number_of_competition]]&gt;=3,(LARGE(CHOOSE({1;2;3;4},G5,J5,M5,P5),1)+LARGE(CHOOSE({1;2;3;4},G5,J5,M5,P5),2)+LARGE(CHOOSE({1;2;3;4},G5,J5,M5,P5),3))/3,0)</f>
        <v>8.0166666666666675</v>
      </c>
      <c r="W5" s="7" cm="1">
        <f t="array" ref="W5">IF(HB[[#This Row],[Number_of_competition]:[Number_of_competition]]&gt;=3,(LARGE(CHOOSE({1;2;3;4},H5,K5,N5,Q5),1)+LARGE(CHOOSE({1;2;3;4},H5,K5,N5,Q5),2)+LARGE(CHOOSE({1;2;3;4},H5,K5,N5,Q5),3))/3,0)</f>
        <v>11.549999999999999</v>
      </c>
    </row>
    <row r="6" spans="1:23" x14ac:dyDescent="0.25">
      <c r="A6" t="s">
        <v>34</v>
      </c>
      <c r="B6" s="2" t="s">
        <v>26</v>
      </c>
      <c r="C6" s="2" t="s">
        <v>35</v>
      </c>
      <c r="D6" t="s">
        <v>36</v>
      </c>
      <c r="E6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6" s="4">
        <v>3.4</v>
      </c>
      <c r="G6" s="7">
        <v>7.4</v>
      </c>
      <c r="H6" s="7">
        <v>10.8</v>
      </c>
      <c r="I6" s="4">
        <v>3.4</v>
      </c>
      <c r="J6" s="7">
        <v>7.5</v>
      </c>
      <c r="K6" s="7">
        <v>10.9</v>
      </c>
      <c r="L6" s="4">
        <v>3.4</v>
      </c>
      <c r="M6" s="7">
        <v>8.6</v>
      </c>
      <c r="N6" s="7">
        <v>12</v>
      </c>
      <c r="O6" s="4">
        <v>2.7</v>
      </c>
      <c r="P6" s="7">
        <v>7.5</v>
      </c>
      <c r="Q6" s="7">
        <v>10.199999999999999</v>
      </c>
      <c r="R6" s="4">
        <f>LARGE(CHOOSE({1;2;3;4},F6,I6,L6,O6),1)+LARGE(CHOOSE({1;2;3;4},F6,I6,L6,O6),2)+LARGE(CHOOSE({1;2;3;4},F6,I6,L6,O6),3)</f>
        <v>10.199999999999999</v>
      </c>
      <c r="S6" s="7">
        <f>LARGE(CHOOSE({1;2;3;4},G6,J6,M6,P6),1)+LARGE(CHOOSE({1;2;3;4},G6,J6,M6,P6),2)+LARGE(CHOOSE({1;2;3;4},G6,J6,M6,P6),3)</f>
        <v>23.6</v>
      </c>
      <c r="T6" s="7">
        <f>LARGE(CHOOSE({1;2;3;4},H6,K6,N6,Q6),1)+LARGE(CHOOSE({1;2;3;4},H6,K6,N6,Q6),2)+LARGE(CHOOSE({1;2;3;4},H6,K6,N6,Q6),3)</f>
        <v>33.700000000000003</v>
      </c>
      <c r="U6" s="4" cm="1">
        <f t="array" ref="U6">IF(HB[[#This Row],[Number_of_competition]:[Number_of_competition]]&gt;=3,(LARGE(CHOOSE({1;2;3;4},F6,I6,L6,O6),1)+LARGE(CHOOSE({1;2;3;4},F6,I6,L6,O6),2)+LARGE(CHOOSE({1;2;3;4},F6,I6,L6,O6),3))/3,0)</f>
        <v>3.4</v>
      </c>
      <c r="V6" s="7" cm="1">
        <f t="array" ref="V6">IF(HB[[#This Row],[Number_of_competition]:[Number_of_competition]]&gt;=3,(LARGE(CHOOSE({1;2;3;4},G6,J6,M6,P6),1)+LARGE(CHOOSE({1;2;3;4},G6,J6,M6,P6),2)+LARGE(CHOOSE({1;2;3;4},G6,J6,M6,P6),3))/3,0)</f>
        <v>7.8666666666666671</v>
      </c>
      <c r="W6" s="7" cm="1">
        <f t="array" ref="W6">IF(HB[[#This Row],[Number_of_competition]:[Number_of_competition]]&gt;=3,(LARGE(CHOOSE({1;2;3;4},H6,K6,N6,Q6),1)+LARGE(CHOOSE({1;2;3;4},H6,K6,N6,Q6),2)+LARGE(CHOOSE({1;2;3;4},H6,K6,N6,Q6),3))/3,0)</f>
        <v>11.233333333333334</v>
      </c>
    </row>
    <row r="7" spans="1:23" x14ac:dyDescent="0.25">
      <c r="A7" t="s">
        <v>84</v>
      </c>
      <c r="B7" s="2" t="s">
        <v>60</v>
      </c>
      <c r="C7" s="2" t="s">
        <v>85</v>
      </c>
      <c r="D7" t="s">
        <v>39</v>
      </c>
      <c r="E7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7" s="4">
        <v>3.2</v>
      </c>
      <c r="G7" s="7">
        <v>7.2</v>
      </c>
      <c r="H7" s="7">
        <v>10.4</v>
      </c>
      <c r="I7" s="4">
        <v>2.8</v>
      </c>
      <c r="J7" s="7">
        <v>8</v>
      </c>
      <c r="K7" s="7">
        <v>10.8</v>
      </c>
      <c r="L7" s="4">
        <v>2.9</v>
      </c>
      <c r="M7" s="7">
        <v>7.25</v>
      </c>
      <c r="N7" s="7">
        <v>10.15</v>
      </c>
      <c r="O7" s="4">
        <v>2.5</v>
      </c>
      <c r="P7" s="7">
        <v>8.6999999999999993</v>
      </c>
      <c r="Q7" s="7">
        <v>11.2</v>
      </c>
      <c r="R7" s="4">
        <f>LARGE(CHOOSE({1;2;3;4},F7,I7,L7,O7),1)+LARGE(CHOOSE({1;2;3;4},F7,I7,L7,O7),2)+LARGE(CHOOSE({1;2;3;4},F7,I7,L7,O7),3)</f>
        <v>8.8999999999999986</v>
      </c>
      <c r="S7" s="7">
        <f>LARGE(CHOOSE({1;2;3;4},G7,J7,M7,P7),1)+LARGE(CHOOSE({1;2;3;4},G7,J7,M7,P7),2)+LARGE(CHOOSE({1;2;3;4},G7,J7,M7,P7),3)</f>
        <v>23.95</v>
      </c>
      <c r="T7" s="7">
        <f>LARGE(CHOOSE({1;2;3;4},H7,K7,N7,Q7),1)+LARGE(CHOOSE({1;2;3;4},H7,K7,N7,Q7),2)+LARGE(CHOOSE({1;2;3;4},H7,K7,N7,Q7),3)</f>
        <v>32.4</v>
      </c>
      <c r="U7" s="4" cm="1">
        <f t="array" ref="U7">IF(HB[[#This Row],[Number_of_competition]:[Number_of_competition]]&gt;=3,(LARGE(CHOOSE({1;2;3;4},F7,I7,L7,O7),1)+LARGE(CHOOSE({1;2;3;4},F7,I7,L7,O7),2)+LARGE(CHOOSE({1;2;3;4},F7,I7,L7,O7),3))/3,0)</f>
        <v>2.9666666666666663</v>
      </c>
      <c r="V7" s="7" cm="1">
        <f t="array" ref="V7">IF(HB[[#This Row],[Number_of_competition]:[Number_of_competition]]&gt;=3,(LARGE(CHOOSE({1;2;3;4},G7,J7,M7,P7),1)+LARGE(CHOOSE({1;2;3;4},G7,J7,M7,P7),2)+LARGE(CHOOSE({1;2;3;4},G7,J7,M7,P7),3))/3,0)</f>
        <v>7.9833333333333334</v>
      </c>
      <c r="W7" s="7" cm="1">
        <f t="array" ref="W7">IF(HB[[#This Row],[Number_of_competition]:[Number_of_competition]]&gt;=3,(LARGE(CHOOSE({1;2;3;4},H7,K7,N7,Q7),1)+LARGE(CHOOSE({1;2;3;4},H7,K7,N7,Q7),2)+LARGE(CHOOSE({1;2;3;4},H7,K7,N7,Q7),3))/3,0)</f>
        <v>10.799999999999999</v>
      </c>
    </row>
    <row r="8" spans="1:23" x14ac:dyDescent="0.25">
      <c r="A8" t="s">
        <v>68</v>
      </c>
      <c r="B8" s="2" t="s">
        <v>60</v>
      </c>
      <c r="C8" s="2" t="s">
        <v>69</v>
      </c>
      <c r="D8" t="s">
        <v>31</v>
      </c>
      <c r="E8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8" s="4">
        <v>2.1</v>
      </c>
      <c r="G8" s="7">
        <v>8.4</v>
      </c>
      <c r="H8" s="7">
        <v>10.5</v>
      </c>
      <c r="I8" s="4">
        <v>2.2000000000000002</v>
      </c>
      <c r="J8" s="7">
        <v>7.85</v>
      </c>
      <c r="K8" s="7">
        <v>10.050000000000001</v>
      </c>
      <c r="L8" s="4">
        <v>2.6</v>
      </c>
      <c r="M8" s="7">
        <v>8.9</v>
      </c>
      <c r="N8" s="7">
        <v>11.5</v>
      </c>
      <c r="O8" s="4">
        <v>2.6</v>
      </c>
      <c r="P8" s="7">
        <v>7.6</v>
      </c>
      <c r="Q8" s="7">
        <v>10.199999999999999</v>
      </c>
      <c r="R8" s="4">
        <f>LARGE(CHOOSE({1;2;3;4},F8,I8,L8,O8),1)+LARGE(CHOOSE({1;2;3;4},F8,I8,L8,O8),2)+LARGE(CHOOSE({1;2;3;4},F8,I8,L8,O8),3)</f>
        <v>7.4</v>
      </c>
      <c r="S8" s="7">
        <f>LARGE(CHOOSE({1;2;3;4},G8,J8,M8,P8),1)+LARGE(CHOOSE({1;2;3;4},G8,J8,M8,P8),2)+LARGE(CHOOSE({1;2;3;4},G8,J8,M8,P8),3)</f>
        <v>25.15</v>
      </c>
      <c r="T8" s="7">
        <f>LARGE(CHOOSE({1;2;3;4},H8,K8,N8,Q8),1)+LARGE(CHOOSE({1;2;3;4},H8,K8,N8,Q8),2)+LARGE(CHOOSE({1;2;3;4},H8,K8,N8,Q8),3)</f>
        <v>32.200000000000003</v>
      </c>
      <c r="U8" s="4" cm="1">
        <f t="array" ref="U8">IF(HB[[#This Row],[Number_of_competition]:[Number_of_competition]]&gt;=3,(LARGE(CHOOSE({1;2;3;4},F8,I8,L8,O8),1)+LARGE(CHOOSE({1;2;3;4},F8,I8,L8,O8),2)+LARGE(CHOOSE({1;2;3;4},F8,I8,L8,O8),3))/3,0)</f>
        <v>2.4666666666666668</v>
      </c>
      <c r="V8" s="7" cm="1">
        <f t="array" ref="V8">IF(HB[[#This Row],[Number_of_competition]:[Number_of_competition]]&gt;=3,(LARGE(CHOOSE({1;2;3;4},G8,J8,M8,P8),1)+LARGE(CHOOSE({1;2;3;4},G8,J8,M8,P8),2)+LARGE(CHOOSE({1;2;3;4},G8,J8,M8,P8),3))/3,0)</f>
        <v>8.3833333333333329</v>
      </c>
      <c r="W8" s="7" cm="1">
        <f t="array" ref="W8">IF(HB[[#This Row],[Number_of_competition]:[Number_of_competition]]&gt;=3,(LARGE(CHOOSE({1;2;3;4},H8,K8,N8,Q8),1)+LARGE(CHOOSE({1;2;3;4},H8,K8,N8,Q8),2)+LARGE(CHOOSE({1;2;3;4},H8,K8,N8,Q8),3))/3,0)</f>
        <v>10.733333333333334</v>
      </c>
    </row>
    <row r="9" spans="1:23" x14ac:dyDescent="0.25">
      <c r="A9" t="s">
        <v>37</v>
      </c>
      <c r="B9" s="2" t="s">
        <v>26</v>
      </c>
      <c r="C9" s="2" t="s">
        <v>38</v>
      </c>
      <c r="D9" t="s">
        <v>39</v>
      </c>
      <c r="E9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9" s="4">
        <v>3</v>
      </c>
      <c r="G9" s="7">
        <v>7.8</v>
      </c>
      <c r="H9" s="7">
        <v>10.8</v>
      </c>
      <c r="I9" s="4">
        <v>3</v>
      </c>
      <c r="J9" s="7">
        <v>7.2</v>
      </c>
      <c r="K9" s="7">
        <v>10.199999999999999</v>
      </c>
      <c r="L9" s="4">
        <v>3.1</v>
      </c>
      <c r="M9" s="7">
        <v>7.65</v>
      </c>
      <c r="N9" s="7">
        <v>10.75</v>
      </c>
      <c r="O9" s="4">
        <v>2.8</v>
      </c>
      <c r="P9" s="7">
        <v>6.5</v>
      </c>
      <c r="Q9" s="7">
        <v>9.3000000000000007</v>
      </c>
      <c r="R9" s="4">
        <f>LARGE(CHOOSE({1;2;3;4},F9,I9,L9,O9),1)+LARGE(CHOOSE({1;2;3;4},F9,I9,L9,O9),2)+LARGE(CHOOSE({1;2;3;4},F9,I9,L9,O9),3)</f>
        <v>9.1</v>
      </c>
      <c r="S9" s="7">
        <f>LARGE(CHOOSE({1;2;3;4},G9,J9,M9,P9),1)+LARGE(CHOOSE({1;2;3;4},G9,J9,M9,P9),2)+LARGE(CHOOSE({1;2;3;4},G9,J9,M9,P9),3)</f>
        <v>22.65</v>
      </c>
      <c r="T9" s="7">
        <f>LARGE(CHOOSE({1;2;3;4},H9,K9,N9,Q9),1)+LARGE(CHOOSE({1;2;3;4},H9,K9,N9,Q9),2)+LARGE(CHOOSE({1;2;3;4},H9,K9,N9,Q9),3)</f>
        <v>31.75</v>
      </c>
      <c r="U9" s="4" cm="1">
        <f t="array" ref="U9">IF(HB[[#This Row],[Number_of_competition]:[Number_of_competition]]&gt;=3,(LARGE(CHOOSE({1;2;3;4},F9,I9,L9,O9),1)+LARGE(CHOOSE({1;2;3;4},F9,I9,L9,O9),2)+LARGE(CHOOSE({1;2;3;4},F9,I9,L9,O9),3))/3,0)</f>
        <v>3.0333333333333332</v>
      </c>
      <c r="V9" s="7" cm="1">
        <f t="array" ref="V9">IF(HB[[#This Row],[Number_of_competition]:[Number_of_competition]]&gt;=3,(LARGE(CHOOSE({1;2;3;4},G9,J9,M9,P9),1)+LARGE(CHOOSE({1;2;3;4},G9,J9,M9,P9),2)+LARGE(CHOOSE({1;2;3;4},G9,J9,M9,P9),3))/3,0)</f>
        <v>7.55</v>
      </c>
      <c r="W9" s="7" cm="1">
        <f t="array" ref="W9">IF(HB[[#This Row],[Number_of_competition]:[Number_of_competition]]&gt;=3,(LARGE(CHOOSE({1;2;3;4},H9,K9,N9,Q9),1)+LARGE(CHOOSE({1;2;3;4},H9,K9,N9,Q9),2)+LARGE(CHOOSE({1;2;3;4},H9,K9,N9,Q9),3))/3,0)</f>
        <v>10.583333333333334</v>
      </c>
    </row>
    <row r="10" spans="1:23" x14ac:dyDescent="0.25">
      <c r="A10" t="s">
        <v>73</v>
      </c>
      <c r="B10" s="2" t="s">
        <v>60</v>
      </c>
      <c r="C10" s="2" t="s">
        <v>74</v>
      </c>
      <c r="D10" t="s">
        <v>62</v>
      </c>
      <c r="E10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0" s="4">
        <v>3.1</v>
      </c>
      <c r="G10" s="7">
        <v>7.3</v>
      </c>
      <c r="H10" s="7">
        <v>10.4</v>
      </c>
      <c r="I10" s="4">
        <v>2.7</v>
      </c>
      <c r="J10" s="7">
        <v>7.55</v>
      </c>
      <c r="K10" s="7">
        <v>10.25</v>
      </c>
      <c r="L10" s="4">
        <v>2.7</v>
      </c>
      <c r="M10" s="7">
        <v>8.1999999999999993</v>
      </c>
      <c r="N10" s="7">
        <v>10.9</v>
      </c>
      <c r="O10" s="4">
        <v>2.6</v>
      </c>
      <c r="P10" s="7">
        <v>5.8</v>
      </c>
      <c r="Q10" s="7">
        <v>8.4</v>
      </c>
      <c r="R10" s="4">
        <f>LARGE(CHOOSE({1;2;3;4},F10,I10,L10,O10),1)+LARGE(CHOOSE({1;2;3;4},F10,I10,L10,O10),2)+LARGE(CHOOSE({1;2;3;4},F10,I10,L10,O10),3)</f>
        <v>8.5</v>
      </c>
      <c r="S10" s="7">
        <f>LARGE(CHOOSE({1;2;3;4},G10,J10,M10,P10),1)+LARGE(CHOOSE({1;2;3;4},G10,J10,M10,P10),2)+LARGE(CHOOSE({1;2;3;4},G10,J10,M10,P10),3)</f>
        <v>23.05</v>
      </c>
      <c r="T10" s="7">
        <f>LARGE(CHOOSE({1;2;3;4},H10,K10,N10,Q10),1)+LARGE(CHOOSE({1;2;3;4},H10,K10,N10,Q10),2)+LARGE(CHOOSE({1;2;3;4},H10,K10,N10,Q10),3)</f>
        <v>31.55</v>
      </c>
      <c r="U10" s="4" cm="1">
        <f t="array" ref="U10">IF(HB[[#This Row],[Number_of_competition]:[Number_of_competition]]&gt;=3,(LARGE(CHOOSE({1;2;3;4},F10,I10,L10,O10),1)+LARGE(CHOOSE({1;2;3;4},F10,I10,L10,O10),2)+LARGE(CHOOSE({1;2;3;4},F10,I10,L10,O10),3))/3,0)</f>
        <v>2.8333333333333335</v>
      </c>
      <c r="V10" s="7" cm="1">
        <f t="array" ref="V10">IF(HB[[#This Row],[Number_of_competition]:[Number_of_competition]]&gt;=3,(LARGE(CHOOSE({1;2;3;4},G10,J10,M10,P10),1)+LARGE(CHOOSE({1;2;3;4},G10,J10,M10,P10),2)+LARGE(CHOOSE({1;2;3;4},G10,J10,M10,P10),3))/3,0)</f>
        <v>7.6833333333333336</v>
      </c>
      <c r="W10" s="7" cm="1">
        <f t="array" ref="W10">IF(HB[[#This Row],[Number_of_competition]:[Number_of_competition]]&gt;=3,(LARGE(CHOOSE({1;2;3;4},H10,K10,N10,Q10),1)+LARGE(CHOOSE({1;2;3;4},H10,K10,N10,Q10),2)+LARGE(CHOOSE({1;2;3;4},H10,K10,N10,Q10),3))/3,0)</f>
        <v>10.516666666666667</v>
      </c>
    </row>
    <row r="11" spans="1:23" x14ac:dyDescent="0.25">
      <c r="A11" t="s">
        <v>77</v>
      </c>
      <c r="B11" s="2" t="s">
        <v>60</v>
      </c>
      <c r="C11" s="2" t="s">
        <v>78</v>
      </c>
      <c r="D11" t="s">
        <v>79</v>
      </c>
      <c r="E11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1" s="4">
        <v>3</v>
      </c>
      <c r="G11" s="7">
        <v>7.2</v>
      </c>
      <c r="H11" s="7">
        <v>10.199999999999999</v>
      </c>
      <c r="I11" s="4">
        <v>2.6</v>
      </c>
      <c r="J11" s="7">
        <v>7.5</v>
      </c>
      <c r="K11" s="7">
        <v>10.1</v>
      </c>
      <c r="L11" s="4">
        <v>3</v>
      </c>
      <c r="M11" s="7">
        <v>8.1</v>
      </c>
      <c r="N11" s="7">
        <v>11.1</v>
      </c>
      <c r="O11" s="4">
        <v>2.6</v>
      </c>
      <c r="P11" s="7">
        <v>7.3</v>
      </c>
      <c r="Q11" s="7">
        <v>9.9</v>
      </c>
      <c r="R11" s="4">
        <f>LARGE(CHOOSE({1;2;3;4},F11,I11,L11,O11),1)+LARGE(CHOOSE({1;2;3;4},F11,I11,L11,O11),2)+LARGE(CHOOSE({1;2;3;4},F11,I11,L11,O11),3)</f>
        <v>8.6</v>
      </c>
      <c r="S11" s="7">
        <f>LARGE(CHOOSE({1;2;3;4},G11,J11,M11,P11),1)+LARGE(CHOOSE({1;2;3;4},G11,J11,M11,P11),2)+LARGE(CHOOSE({1;2;3;4},G11,J11,M11,P11),3)</f>
        <v>22.9</v>
      </c>
      <c r="T11" s="7">
        <f>LARGE(CHOOSE({1;2;3;4},H11,K11,N11,Q11),1)+LARGE(CHOOSE({1;2;3;4},H11,K11,N11,Q11),2)+LARGE(CHOOSE({1;2;3;4},H11,K11,N11,Q11),3)</f>
        <v>31.4</v>
      </c>
      <c r="U11" s="4" cm="1">
        <f t="array" ref="U11">IF(HB[[#This Row],[Number_of_competition]:[Number_of_competition]]&gt;=3,(LARGE(CHOOSE({1;2;3;4},F11,I11,L11,O11),1)+LARGE(CHOOSE({1;2;3;4},F11,I11,L11,O11),2)+LARGE(CHOOSE({1;2;3;4},F11,I11,L11,O11),3))/3,0)</f>
        <v>2.8666666666666667</v>
      </c>
      <c r="V11" s="7" cm="1">
        <f t="array" ref="V11">IF(HB[[#This Row],[Number_of_competition]:[Number_of_competition]]&gt;=3,(LARGE(CHOOSE({1;2;3;4},G11,J11,M11,P11),1)+LARGE(CHOOSE({1;2;3;4},G11,J11,M11,P11),2)+LARGE(CHOOSE({1;2;3;4},G11,J11,M11,P11),3))/3,0)</f>
        <v>7.6333333333333329</v>
      </c>
      <c r="W11" s="7" cm="1">
        <f t="array" ref="W11">IF(HB[[#This Row],[Number_of_competition]:[Number_of_competition]]&gt;=3,(LARGE(CHOOSE({1;2;3;4},H11,K11,N11,Q11),1)+LARGE(CHOOSE({1;2;3;4},H11,K11,N11,Q11),2)+LARGE(CHOOSE({1;2;3;4},H11,K11,N11,Q11),3))/3,0)</f>
        <v>10.466666666666667</v>
      </c>
    </row>
    <row r="12" spans="1:23" x14ac:dyDescent="0.25">
      <c r="A12" t="s">
        <v>44</v>
      </c>
      <c r="B12" s="2" t="s">
        <v>26</v>
      </c>
      <c r="C12" s="2" t="s">
        <v>45</v>
      </c>
      <c r="D12" t="s">
        <v>39</v>
      </c>
      <c r="E12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2" s="4">
        <v>2.4</v>
      </c>
      <c r="G12" s="7">
        <v>7.8</v>
      </c>
      <c r="H12" s="7">
        <v>10.199999999999999</v>
      </c>
      <c r="I12" s="4">
        <v>2.4</v>
      </c>
      <c r="J12" s="7">
        <v>7.9</v>
      </c>
      <c r="K12" s="7">
        <v>10.3</v>
      </c>
      <c r="L12" s="4">
        <v>2.7</v>
      </c>
      <c r="M12" s="7">
        <v>8.15</v>
      </c>
      <c r="N12" s="7">
        <v>10.85</v>
      </c>
      <c r="O12" s="4">
        <v>2.2999999999999998</v>
      </c>
      <c r="P12" s="7">
        <v>7.5</v>
      </c>
      <c r="Q12" s="7">
        <v>9.8000000000000007</v>
      </c>
      <c r="R12" s="4">
        <f>LARGE(CHOOSE({1;2;3;4},F12,I12,L12,O12),1)+LARGE(CHOOSE({1;2;3;4},F12,I12,L12,O12),2)+LARGE(CHOOSE({1;2;3;4},F12,I12,L12,O12),3)</f>
        <v>7.5</v>
      </c>
      <c r="S12" s="7">
        <f>LARGE(CHOOSE({1;2;3;4},G12,J12,M12,P12),1)+LARGE(CHOOSE({1;2;3;4},G12,J12,M12,P12),2)+LARGE(CHOOSE({1;2;3;4},G12,J12,M12,P12),3)</f>
        <v>23.85</v>
      </c>
      <c r="T12" s="7">
        <f>LARGE(CHOOSE({1;2;3;4},H12,K12,N12,Q12),1)+LARGE(CHOOSE({1;2;3;4},H12,K12,N12,Q12),2)+LARGE(CHOOSE({1;2;3;4},H12,K12,N12,Q12),3)</f>
        <v>31.349999999999998</v>
      </c>
      <c r="U12" s="4" cm="1">
        <f t="array" ref="U12">IF(HB[[#This Row],[Number_of_competition]:[Number_of_competition]]&gt;=3,(LARGE(CHOOSE({1;2;3;4},F12,I12,L12,O12),1)+LARGE(CHOOSE({1;2;3;4},F12,I12,L12,O12),2)+LARGE(CHOOSE({1;2;3;4},F12,I12,L12,O12),3))/3,0)</f>
        <v>2.5</v>
      </c>
      <c r="V12" s="7" cm="1">
        <f t="array" ref="V12">IF(HB[[#This Row],[Number_of_competition]:[Number_of_competition]]&gt;=3,(LARGE(CHOOSE({1;2;3;4},G12,J12,M12,P12),1)+LARGE(CHOOSE({1;2;3;4},G12,J12,M12,P12),2)+LARGE(CHOOSE({1;2;3;4},G12,J12,M12,P12),3))/3,0)</f>
        <v>7.95</v>
      </c>
      <c r="W12" s="7" cm="1">
        <f t="array" ref="W12">IF(HB[[#This Row],[Number_of_competition]:[Number_of_competition]]&gt;=3,(LARGE(CHOOSE({1;2;3;4},H12,K12,N12,Q12),1)+LARGE(CHOOSE({1;2;3;4},H12,K12,N12,Q12),2)+LARGE(CHOOSE({1;2;3;4},H12,K12,N12,Q12),3))/3,0)</f>
        <v>10.45</v>
      </c>
    </row>
    <row r="13" spans="1:23" x14ac:dyDescent="0.25">
      <c r="A13" t="s">
        <v>32</v>
      </c>
      <c r="B13" s="2" t="s">
        <v>26</v>
      </c>
      <c r="C13" s="2" t="s">
        <v>33</v>
      </c>
      <c r="D13" t="s">
        <v>31</v>
      </c>
      <c r="E13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3" s="4">
        <v>3.1</v>
      </c>
      <c r="G13" s="7">
        <v>7.7</v>
      </c>
      <c r="H13" s="7">
        <v>10.8</v>
      </c>
      <c r="I13" s="4">
        <v>3.2</v>
      </c>
      <c r="J13" s="7">
        <v>7.8</v>
      </c>
      <c r="K13" s="7">
        <v>11</v>
      </c>
      <c r="L13" s="4">
        <v>3.1</v>
      </c>
      <c r="M13" s="7">
        <v>4.7</v>
      </c>
      <c r="N13" s="7">
        <v>7.8</v>
      </c>
      <c r="O13" s="4">
        <v>2.9</v>
      </c>
      <c r="P13" s="7">
        <v>6.2</v>
      </c>
      <c r="Q13" s="7">
        <v>9.1</v>
      </c>
      <c r="R13" s="4">
        <f>LARGE(CHOOSE({1;2;3;4},F13,I13,L13,O13),1)+LARGE(CHOOSE({1;2;3;4},F13,I13,L13,O13),2)+LARGE(CHOOSE({1;2;3;4},F13,I13,L13,O13),3)</f>
        <v>9.4</v>
      </c>
      <c r="S13" s="7">
        <f>LARGE(CHOOSE({1;2;3;4},G13,J13,M13,P13),1)+LARGE(CHOOSE({1;2;3;4},G13,J13,M13,P13),2)+LARGE(CHOOSE({1;2;3;4},G13,J13,M13,P13),3)</f>
        <v>21.7</v>
      </c>
      <c r="T13" s="7">
        <f>LARGE(CHOOSE({1;2;3;4},H13,K13,N13,Q13),1)+LARGE(CHOOSE({1;2;3;4},H13,K13,N13,Q13),2)+LARGE(CHOOSE({1;2;3;4},H13,K13,N13,Q13),3)</f>
        <v>30.9</v>
      </c>
      <c r="U13" s="4" cm="1">
        <f t="array" ref="U13">IF(HB[[#This Row],[Number_of_competition]:[Number_of_competition]]&gt;=3,(LARGE(CHOOSE({1;2;3;4},F13,I13,L13,O13),1)+LARGE(CHOOSE({1;2;3;4},F13,I13,L13,O13),2)+LARGE(CHOOSE({1;2;3;4},F13,I13,L13,O13),3))/3,0)</f>
        <v>3.1333333333333333</v>
      </c>
      <c r="V13" s="7" cm="1">
        <f t="array" ref="V13">IF(HB[[#This Row],[Number_of_competition]:[Number_of_competition]]&gt;=3,(LARGE(CHOOSE({1;2;3;4},G13,J13,M13,P13),1)+LARGE(CHOOSE({1;2;3;4},G13,J13,M13,P13),2)+LARGE(CHOOSE({1;2;3;4},G13,J13,M13,P13),3))/3,0)</f>
        <v>7.2333333333333334</v>
      </c>
      <c r="W13" s="7" cm="1">
        <f t="array" ref="W13">IF(HB[[#This Row],[Number_of_competition]:[Number_of_competition]]&gt;=3,(LARGE(CHOOSE({1;2;3;4},H13,K13,N13,Q13),1)+LARGE(CHOOSE({1;2;3;4},H13,K13,N13,Q13),2)+LARGE(CHOOSE({1;2;3;4},H13,K13,N13,Q13),3))/3,0)</f>
        <v>10.299999999999999</v>
      </c>
    </row>
    <row r="14" spans="1:23" x14ac:dyDescent="0.25">
      <c r="A14" t="s">
        <v>48</v>
      </c>
      <c r="B14" s="2" t="s">
        <v>26</v>
      </c>
      <c r="C14" s="2" t="s">
        <v>49</v>
      </c>
      <c r="D14" t="s">
        <v>36</v>
      </c>
      <c r="E14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4" s="4">
        <v>1.9</v>
      </c>
      <c r="G14" s="7">
        <v>8</v>
      </c>
      <c r="H14" s="7">
        <v>9.9</v>
      </c>
      <c r="I14" s="4">
        <v>1.9</v>
      </c>
      <c r="J14" s="7">
        <v>8.1999999999999993</v>
      </c>
      <c r="K14" s="7">
        <v>10.1</v>
      </c>
      <c r="L14" s="4">
        <v>1.9</v>
      </c>
      <c r="M14" s="7">
        <v>8.6</v>
      </c>
      <c r="N14" s="7">
        <v>10.5</v>
      </c>
      <c r="O14" s="4">
        <v>1.9</v>
      </c>
      <c r="P14" s="7">
        <v>8.1999999999999993</v>
      </c>
      <c r="Q14" s="7">
        <v>10.1</v>
      </c>
      <c r="R14" s="4">
        <f>LARGE(CHOOSE({1;2;3;4},F14,I14,L14,O14),1)+LARGE(CHOOSE({1;2;3;4},F14,I14,L14,O14),2)+LARGE(CHOOSE({1;2;3;4},F14,I14,L14,O14),3)</f>
        <v>5.6999999999999993</v>
      </c>
      <c r="S14" s="7">
        <f>LARGE(CHOOSE({1;2;3;4},G14,J14,M14,P14),1)+LARGE(CHOOSE({1;2;3;4},G14,J14,M14,P14),2)+LARGE(CHOOSE({1;2;3;4},G14,J14,M14,P14),3)</f>
        <v>24.999999999999996</v>
      </c>
      <c r="T14" s="7">
        <f>LARGE(CHOOSE({1;2;3;4},H14,K14,N14,Q14),1)+LARGE(CHOOSE({1;2;3;4},H14,K14,N14,Q14),2)+LARGE(CHOOSE({1;2;3;4},H14,K14,N14,Q14),3)</f>
        <v>30.700000000000003</v>
      </c>
      <c r="U14" s="4" cm="1">
        <f t="array" ref="U14">IF(HB[[#This Row],[Number_of_competition]:[Number_of_competition]]&gt;=3,(LARGE(CHOOSE({1;2;3;4},F14,I14,L14,O14),1)+LARGE(CHOOSE({1;2;3;4},F14,I14,L14,O14),2)+LARGE(CHOOSE({1;2;3;4},F14,I14,L14,O14),3))/3,0)</f>
        <v>1.8999999999999997</v>
      </c>
      <c r="V14" s="7" cm="1">
        <f t="array" ref="V14">IF(HB[[#This Row],[Number_of_competition]:[Number_of_competition]]&gt;=3,(LARGE(CHOOSE({1;2;3;4},G14,J14,M14,P14),1)+LARGE(CHOOSE({1;2;3;4},G14,J14,M14,P14),2)+LARGE(CHOOSE({1;2;3;4},G14,J14,M14,P14),3))/3,0)</f>
        <v>8.3333333333333321</v>
      </c>
      <c r="W14" s="7" cm="1">
        <f t="array" ref="W14">IF(HB[[#This Row],[Number_of_competition]:[Number_of_competition]]&gt;=3,(LARGE(CHOOSE({1;2;3;4},H14,K14,N14,Q14),1)+LARGE(CHOOSE({1;2;3;4},H14,K14,N14,Q14),2)+LARGE(CHOOSE({1;2;3;4},H14,K14,N14,Q14),3))/3,0)</f>
        <v>10.233333333333334</v>
      </c>
    </row>
    <row r="15" spans="1:23" x14ac:dyDescent="0.25">
      <c r="A15" t="s">
        <v>80</v>
      </c>
      <c r="B15" s="2" t="s">
        <v>60</v>
      </c>
      <c r="C15" s="2" t="s">
        <v>81</v>
      </c>
      <c r="D15" t="s">
        <v>62</v>
      </c>
      <c r="E15" s="6">
        <f>COUNTIF(HB[[#This Row],[bydgoszcz_HB_Total_Score]],"&gt;0")+COUNTIF(HB[[#This Row],[zabrze_HB_Total_Score]],"&gt;0")+COUNTIF(HB[[#This Row],[cracow_HB_Total_Score]],"&gt;0")+COUNTIF(HB[[#This Row],[gdansk_HB_Total_Score]],"&gt;0")</f>
        <v>4</v>
      </c>
      <c r="F15" s="4">
        <v>3</v>
      </c>
      <c r="G15" s="7">
        <v>7.6</v>
      </c>
      <c r="H15" s="7">
        <v>10.6</v>
      </c>
      <c r="I15" s="4">
        <v>2.5</v>
      </c>
      <c r="J15" s="7">
        <v>7.9</v>
      </c>
      <c r="K15" s="7">
        <v>10.4</v>
      </c>
      <c r="L15" s="4">
        <v>2.5</v>
      </c>
      <c r="M15" s="7">
        <v>7.2</v>
      </c>
      <c r="N15" s="7">
        <v>9.6999999999999993</v>
      </c>
      <c r="O15" s="4">
        <v>2.2000000000000002</v>
      </c>
      <c r="P15" s="7">
        <v>1</v>
      </c>
      <c r="Q15" s="7">
        <v>3.2</v>
      </c>
      <c r="R15" s="4">
        <f>LARGE(CHOOSE({1;2;3;4},F15,I15,L15,O15),1)+LARGE(CHOOSE({1;2;3;4},F15,I15,L15,O15),2)+LARGE(CHOOSE({1;2;3;4},F15,I15,L15,O15),3)</f>
        <v>8</v>
      </c>
      <c r="S15" s="7">
        <f>LARGE(CHOOSE({1;2;3;4},G15,J15,M15,P15),1)+LARGE(CHOOSE({1;2;3;4},G15,J15,M15,P15),2)+LARGE(CHOOSE({1;2;3;4},G15,J15,M15,P15),3)</f>
        <v>22.7</v>
      </c>
      <c r="T15" s="7">
        <f>LARGE(CHOOSE({1;2;3;4},H15,K15,N15,Q15),1)+LARGE(CHOOSE({1;2;3;4},H15,K15,N15,Q15),2)+LARGE(CHOOSE({1;2;3;4},H15,K15,N15,Q15),3)</f>
        <v>30.7</v>
      </c>
      <c r="U15" s="4" cm="1">
        <f t="array" ref="U15">IF(HB[[#This Row],[Number_of_competition]:[Number_of_competition]]&gt;=3,(LARGE(CHOOSE({1;2;3;4},F15,I15,L15,O15),1)+LARGE(CHOOSE({1;2;3;4},F15,I15,L15,O15),2)+LARGE(CHOOSE({1;2;3;4},F15,I15,L15,O15),3))/3,0)</f>
        <v>2.6666666666666665</v>
      </c>
      <c r="V15" s="7" cm="1">
        <f t="array" ref="V15">IF(HB[[#This Row],[Number_of_competition]:[Number_of_competition]]&gt;=3,(LARGE(CHOOSE({1;2;3;4},G15,J15,M15,P15),1)+LARGE(CHOOSE({1;2;3;4},G15,J15,M15,P15),2)+LARGE(CHOOSE({1;2;3;4},G15,J15,M15,P15),3))/3,0)</f>
        <v>7.5666666666666664</v>
      </c>
      <c r="W15" s="7" cm="1">
        <f t="array" ref="W15">IF(HB[[#This Row],[Number_of_competition]:[Number_of_competition]]&gt;=3,(LARGE(CHOOSE({1;2;3;4},H15,K15,N15,Q15),1)+LARGE(CHOOSE({1;2;3;4},H15,K15,N15,Q15),2)+LARGE(CHOOSE({1;2;3;4},H15,K15,N15,Q15),3))/3,0)</f>
        <v>10.233333333333333</v>
      </c>
    </row>
    <row r="16" spans="1:23" x14ac:dyDescent="0.25">
      <c r="A16" t="s">
        <v>29</v>
      </c>
      <c r="B16" s="2" t="s">
        <v>26</v>
      </c>
      <c r="C16" s="2" t="s">
        <v>30</v>
      </c>
      <c r="D16" t="s">
        <v>31</v>
      </c>
      <c r="E16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16" s="4">
        <v>2.4</v>
      </c>
      <c r="G16" s="7">
        <v>7.9</v>
      </c>
      <c r="H16" s="7">
        <v>10.3</v>
      </c>
      <c r="I16" s="4">
        <v>3</v>
      </c>
      <c r="J16" s="7">
        <v>7.9</v>
      </c>
      <c r="K16" s="7">
        <v>10.9</v>
      </c>
      <c r="L16" s="4">
        <v>0</v>
      </c>
      <c r="M16" s="7">
        <v>0</v>
      </c>
      <c r="N16" s="7">
        <v>0</v>
      </c>
      <c r="O16" s="4">
        <v>2.7</v>
      </c>
      <c r="P16" s="7">
        <v>6.7</v>
      </c>
      <c r="Q16" s="7">
        <v>9.4</v>
      </c>
      <c r="R16" s="4">
        <f>LARGE(CHOOSE({1;2;3;4},F16,I16,L16,O16),1)+LARGE(CHOOSE({1;2;3;4},F16,I16,L16,O16),2)+LARGE(CHOOSE({1;2;3;4},F16,I16,L16,O16),3)</f>
        <v>8.1</v>
      </c>
      <c r="S16" s="7">
        <f>LARGE(CHOOSE({1;2;3;4},G16,J16,M16,P16),1)+LARGE(CHOOSE({1;2;3;4},G16,J16,M16,P16),2)+LARGE(CHOOSE({1;2;3;4},G16,J16,M16,P16),3)</f>
        <v>22.5</v>
      </c>
      <c r="T16" s="7">
        <f>LARGE(CHOOSE({1;2;3;4},H16,K16,N16,Q16),1)+LARGE(CHOOSE({1;2;3;4},H16,K16,N16,Q16),2)+LARGE(CHOOSE({1;2;3;4},H16,K16,N16,Q16),3)</f>
        <v>30.6</v>
      </c>
      <c r="U16" s="4" cm="1">
        <f t="array" ref="U16">IF(HB[[#This Row],[Number_of_competition]:[Number_of_competition]]&gt;=3,(LARGE(CHOOSE({1;2;3;4},F16,I16,L16,O16),1)+LARGE(CHOOSE({1;2;3;4},F16,I16,L16,O16),2)+LARGE(CHOOSE({1;2;3;4},F16,I16,L16,O16),3))/3,0)</f>
        <v>2.6999999999999997</v>
      </c>
      <c r="V16" s="7" cm="1">
        <f t="array" ref="V16">IF(HB[[#This Row],[Number_of_competition]:[Number_of_competition]]&gt;=3,(LARGE(CHOOSE({1;2;3;4},G16,J16,M16,P16),1)+LARGE(CHOOSE({1;2;3;4},G16,J16,M16,P16),2)+LARGE(CHOOSE({1;2;3;4},G16,J16,M16,P16),3))/3,0)</f>
        <v>7.5</v>
      </c>
      <c r="W16" s="7" cm="1">
        <f t="array" ref="W16">IF(HB[[#This Row],[Number_of_competition]:[Number_of_competition]]&gt;=3,(LARGE(CHOOSE({1;2;3;4},H16,K16,N16,Q16),1)+LARGE(CHOOSE({1;2;3;4},H16,K16,N16,Q16),2)+LARGE(CHOOSE({1;2;3;4},H16,K16,N16,Q16),3))/3,0)</f>
        <v>10.200000000000001</v>
      </c>
    </row>
    <row r="17" spans="1:23" x14ac:dyDescent="0.25">
      <c r="A17" t="s">
        <v>40</v>
      </c>
      <c r="B17" s="2" t="s">
        <v>26</v>
      </c>
      <c r="C17" s="2" t="s">
        <v>41</v>
      </c>
      <c r="D17" t="s">
        <v>39</v>
      </c>
      <c r="E17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17" s="4">
        <v>0</v>
      </c>
      <c r="G17" s="7">
        <v>0</v>
      </c>
      <c r="H17" s="7">
        <v>0</v>
      </c>
      <c r="I17" s="4">
        <v>2.7</v>
      </c>
      <c r="J17" s="7">
        <v>8</v>
      </c>
      <c r="K17" s="7">
        <v>10.7</v>
      </c>
      <c r="L17" s="4">
        <v>2.6</v>
      </c>
      <c r="M17" s="7">
        <v>7.65</v>
      </c>
      <c r="N17" s="7">
        <v>10.25</v>
      </c>
      <c r="O17" s="4">
        <v>2.4</v>
      </c>
      <c r="P17" s="7">
        <v>7.2</v>
      </c>
      <c r="Q17" s="7">
        <v>9.6</v>
      </c>
      <c r="R17" s="4">
        <f>LARGE(CHOOSE({1;2;3;4},F17,I17,L17,O17),1)+LARGE(CHOOSE({1;2;3;4},F17,I17,L17,O17),2)+LARGE(CHOOSE({1;2;3;4},F17,I17,L17,O17),3)</f>
        <v>7.7000000000000011</v>
      </c>
      <c r="S17" s="7">
        <f>LARGE(CHOOSE({1;2;3;4},G17,J17,M17,P17),1)+LARGE(CHOOSE({1;2;3;4},G17,J17,M17,P17),2)+LARGE(CHOOSE({1;2;3;4},G17,J17,M17,P17),3)</f>
        <v>22.85</v>
      </c>
      <c r="T17" s="7">
        <f>LARGE(CHOOSE({1;2;3;4},H17,K17,N17,Q17),1)+LARGE(CHOOSE({1;2;3;4},H17,K17,N17,Q17),2)+LARGE(CHOOSE({1;2;3;4},H17,K17,N17,Q17),3)</f>
        <v>30.549999999999997</v>
      </c>
      <c r="U17" s="4" cm="1">
        <f t="array" ref="U17">IF(HB[[#This Row],[Number_of_competition]:[Number_of_competition]]&gt;=3,(LARGE(CHOOSE({1;2;3;4},F17,I17,L17,O17),1)+LARGE(CHOOSE({1;2;3;4},F17,I17,L17,O17),2)+LARGE(CHOOSE({1;2;3;4},F17,I17,L17,O17),3))/3,0)</f>
        <v>2.5666666666666669</v>
      </c>
      <c r="V17" s="7" cm="1">
        <f t="array" ref="V17">IF(HB[[#This Row],[Number_of_competition]:[Number_of_competition]]&gt;=3,(LARGE(CHOOSE({1;2;3;4},G17,J17,M17,P17),1)+LARGE(CHOOSE({1;2;3;4},G17,J17,M17,P17),2)+LARGE(CHOOSE({1;2;3;4},G17,J17,M17,P17),3))/3,0)</f>
        <v>7.6166666666666671</v>
      </c>
      <c r="W17" s="7" cm="1">
        <f t="array" ref="W17">IF(HB[[#This Row],[Number_of_competition]:[Number_of_competition]]&gt;=3,(LARGE(CHOOSE({1;2;3;4},H17,K17,N17,Q17),1)+LARGE(CHOOSE({1;2;3;4},H17,K17,N17,Q17),2)+LARGE(CHOOSE({1;2;3;4},H17,K17,N17,Q17),3))/3,0)</f>
        <v>10.183333333333332</v>
      </c>
    </row>
    <row r="18" spans="1:23" x14ac:dyDescent="0.25">
      <c r="A18" t="s">
        <v>42</v>
      </c>
      <c r="B18" s="2" t="s">
        <v>26</v>
      </c>
      <c r="C18" s="2" t="s">
        <v>43</v>
      </c>
      <c r="D18" t="s">
        <v>36</v>
      </c>
      <c r="E18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18" s="4">
        <v>0</v>
      </c>
      <c r="G18" s="7">
        <v>0</v>
      </c>
      <c r="H18" s="7">
        <v>0</v>
      </c>
      <c r="I18" s="4">
        <v>1.8</v>
      </c>
      <c r="J18" s="7">
        <v>8.4</v>
      </c>
      <c r="K18" s="7">
        <v>10.199999999999999</v>
      </c>
      <c r="L18" s="4">
        <v>1.8</v>
      </c>
      <c r="M18" s="7">
        <v>8.4</v>
      </c>
      <c r="N18" s="7">
        <v>10.199999999999999</v>
      </c>
      <c r="O18" s="4">
        <v>1.8</v>
      </c>
      <c r="P18" s="7">
        <v>7.9</v>
      </c>
      <c r="Q18" s="7">
        <v>9.6999999999999993</v>
      </c>
      <c r="R18" s="4">
        <f>LARGE(CHOOSE({1;2;3;4},F18,I18,L18,O18),1)+LARGE(CHOOSE({1;2;3;4},F18,I18,L18,O18),2)+LARGE(CHOOSE({1;2;3;4},F18,I18,L18,O18),3)</f>
        <v>5.4</v>
      </c>
      <c r="S18" s="7">
        <f>LARGE(CHOOSE({1;2;3;4},G18,J18,M18,P18),1)+LARGE(CHOOSE({1;2;3;4},G18,J18,M18,P18),2)+LARGE(CHOOSE({1;2;3;4},G18,J18,M18,P18),3)</f>
        <v>24.700000000000003</v>
      </c>
      <c r="T18" s="7">
        <f>LARGE(CHOOSE({1;2;3;4},H18,K18,N18,Q18),1)+LARGE(CHOOSE({1;2;3;4},H18,K18,N18,Q18),2)+LARGE(CHOOSE({1;2;3;4},H18,K18,N18,Q18),3)</f>
        <v>30.099999999999998</v>
      </c>
      <c r="U18" s="4" cm="1">
        <f t="array" ref="U18">IF(HB[[#This Row],[Number_of_competition]:[Number_of_competition]]&gt;=3,(LARGE(CHOOSE({1;2;3;4},F18,I18,L18,O18),1)+LARGE(CHOOSE({1;2;3;4},F18,I18,L18,O18),2)+LARGE(CHOOSE({1;2;3;4},F18,I18,L18,O18),3))/3,0)</f>
        <v>1.8</v>
      </c>
      <c r="V18" s="7" cm="1">
        <f t="array" ref="V18">IF(HB[[#This Row],[Number_of_competition]:[Number_of_competition]]&gt;=3,(LARGE(CHOOSE({1;2;3;4},G18,J18,M18,P18),1)+LARGE(CHOOSE({1;2;3;4},G18,J18,M18,P18),2)+LARGE(CHOOSE({1;2;3;4},G18,J18,M18,P18),3))/3,0)</f>
        <v>8.2333333333333343</v>
      </c>
      <c r="W18" s="7" cm="1">
        <f t="array" ref="W18">IF(HB[[#This Row],[Number_of_competition]:[Number_of_competition]]&gt;=3,(LARGE(CHOOSE({1;2;3;4},H18,K18,N18,Q18),1)+LARGE(CHOOSE({1;2;3;4},H18,K18,N18,Q18),2)+LARGE(CHOOSE({1;2;3;4},H18,K18,N18,Q18),3))/3,0)</f>
        <v>10.033333333333333</v>
      </c>
    </row>
    <row r="19" spans="1:23" x14ac:dyDescent="0.25">
      <c r="A19" t="s">
        <v>114</v>
      </c>
      <c r="B19" s="2" t="s">
        <v>26</v>
      </c>
      <c r="C19" s="2" t="s">
        <v>115</v>
      </c>
      <c r="D19" t="s">
        <v>36</v>
      </c>
      <c r="E19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19" s="4">
        <v>1.8</v>
      </c>
      <c r="G19" s="7">
        <v>8</v>
      </c>
      <c r="H19" s="7">
        <v>9.8000000000000007</v>
      </c>
      <c r="I19" s="4">
        <v>0</v>
      </c>
      <c r="J19" s="7">
        <v>0</v>
      </c>
      <c r="K19" s="7">
        <v>0</v>
      </c>
      <c r="L19" s="4">
        <v>1.8</v>
      </c>
      <c r="M19" s="7">
        <v>8.8000000000000007</v>
      </c>
      <c r="N19" s="7">
        <v>10.6</v>
      </c>
      <c r="O19" s="4">
        <v>1.8</v>
      </c>
      <c r="P19" s="7">
        <v>7.8</v>
      </c>
      <c r="Q19" s="7">
        <v>9.6</v>
      </c>
      <c r="R19" s="4">
        <f>LARGE(CHOOSE({1;2;3;4},F19,I19,L19,O19),1)+LARGE(CHOOSE({1;2;3;4},F19,I19,L19,O19),2)+LARGE(CHOOSE({1;2;3;4},F19,I19,L19,O19),3)</f>
        <v>5.4</v>
      </c>
      <c r="S19" s="7">
        <f>LARGE(CHOOSE({1;2;3;4},G19,J19,M19,P19),1)+LARGE(CHOOSE({1;2;3;4},G19,J19,M19,P19),2)+LARGE(CHOOSE({1;2;3;4},G19,J19,M19,P19),3)</f>
        <v>24.6</v>
      </c>
      <c r="T19" s="7">
        <f>LARGE(CHOOSE({1;2;3;4},H19,K19,N19,Q19),1)+LARGE(CHOOSE({1;2;3;4},H19,K19,N19,Q19),2)+LARGE(CHOOSE({1;2;3;4},H19,K19,N19,Q19),3)</f>
        <v>30</v>
      </c>
      <c r="U19" s="4" cm="1">
        <f t="array" ref="U19">IF(HB[[#This Row],[Number_of_competition]:[Number_of_competition]]&gt;=3,(LARGE(CHOOSE({1;2;3;4},F19,I19,L19,O19),1)+LARGE(CHOOSE({1;2;3;4},F19,I19,L19,O19),2)+LARGE(CHOOSE({1;2;3;4},F19,I19,L19,O19),3))/3,0)</f>
        <v>1.8</v>
      </c>
      <c r="V19" s="7" cm="1">
        <f t="array" ref="V19">IF(HB[[#This Row],[Number_of_competition]:[Number_of_competition]]&gt;=3,(LARGE(CHOOSE({1;2;3;4},G19,J19,M19,P19),1)+LARGE(CHOOSE({1;2;3;4},G19,J19,M19,P19),2)+LARGE(CHOOSE({1;2;3;4},G19,J19,M19,P19),3))/3,0)</f>
        <v>8.2000000000000011</v>
      </c>
      <c r="W19" s="7" cm="1">
        <f t="array" ref="W19">IF(HB[[#This Row],[Number_of_competition]:[Number_of_competition]]&gt;=3,(LARGE(CHOOSE({1;2;3;4},H19,K19,N19,Q19),1)+LARGE(CHOOSE({1;2;3;4},H19,K19,N19,Q19),2)+LARGE(CHOOSE({1;2;3;4},H19,K19,N19,Q19),3))/3,0)</f>
        <v>10</v>
      </c>
    </row>
    <row r="20" spans="1:23" x14ac:dyDescent="0.25">
      <c r="A20" t="s">
        <v>100</v>
      </c>
      <c r="B20" s="2" t="s">
        <v>60</v>
      </c>
      <c r="C20" s="2" t="s">
        <v>101</v>
      </c>
      <c r="D20" t="s">
        <v>31</v>
      </c>
      <c r="E20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20" s="4">
        <v>2.7</v>
      </c>
      <c r="G20" s="7">
        <v>6.8</v>
      </c>
      <c r="H20" s="7">
        <v>9.5</v>
      </c>
      <c r="I20" s="4">
        <v>2</v>
      </c>
      <c r="J20" s="7">
        <v>5.2</v>
      </c>
      <c r="K20" s="7">
        <v>7.2</v>
      </c>
      <c r="L20" s="4">
        <v>2.1</v>
      </c>
      <c r="M20" s="7">
        <v>8.5</v>
      </c>
      <c r="N20" s="7">
        <v>10.6</v>
      </c>
      <c r="O20" s="4">
        <v>0</v>
      </c>
      <c r="P20" s="7">
        <v>0</v>
      </c>
      <c r="Q20" s="7">
        <v>0</v>
      </c>
      <c r="R20" s="4">
        <f>LARGE(CHOOSE({1;2;3;4},F20,I20,L20,O20),1)+LARGE(CHOOSE({1;2;3;4},F20,I20,L20,O20),2)+LARGE(CHOOSE({1;2;3;4},F20,I20,L20,O20),3)</f>
        <v>6.8000000000000007</v>
      </c>
      <c r="S20" s="7">
        <f>LARGE(CHOOSE({1;2;3;4},G20,J20,M20,P20),1)+LARGE(CHOOSE({1;2;3;4},G20,J20,M20,P20),2)+LARGE(CHOOSE({1;2;3;4},G20,J20,M20,P20),3)</f>
        <v>20.5</v>
      </c>
      <c r="T20" s="7">
        <f>LARGE(CHOOSE({1;2;3;4},H20,K20,N20,Q20),1)+LARGE(CHOOSE({1;2;3;4},H20,K20,N20,Q20),2)+LARGE(CHOOSE({1;2;3;4},H20,K20,N20,Q20),3)</f>
        <v>27.3</v>
      </c>
      <c r="U20" s="4" cm="1">
        <f t="array" ref="U20">IF(HB[[#This Row],[Number_of_competition]:[Number_of_competition]]&gt;=3,(LARGE(CHOOSE({1;2;3;4},F20,I20,L20,O20),1)+LARGE(CHOOSE({1;2;3;4},F20,I20,L20,O20),2)+LARGE(CHOOSE({1;2;3;4},F20,I20,L20,O20),3))/3,0)</f>
        <v>2.2666666666666671</v>
      </c>
      <c r="V20" s="7" cm="1">
        <f t="array" ref="V20">IF(HB[[#This Row],[Number_of_competition]:[Number_of_competition]]&gt;=3,(LARGE(CHOOSE({1;2;3;4},G20,J20,M20,P20),1)+LARGE(CHOOSE({1;2;3;4},G20,J20,M20,P20),2)+LARGE(CHOOSE({1;2;3;4},G20,J20,M20,P20),3))/3,0)</f>
        <v>6.833333333333333</v>
      </c>
      <c r="W20" s="7" cm="1">
        <f t="array" ref="W20">IF(HB[[#This Row],[Number_of_competition]:[Number_of_competition]]&gt;=3,(LARGE(CHOOSE({1;2;3;4},H20,K20,N20,Q20),1)+LARGE(CHOOSE({1;2;3;4},H20,K20,N20,Q20),2)+LARGE(CHOOSE({1;2;3;4},H20,K20,N20,Q20),3))/3,0)</f>
        <v>9.1</v>
      </c>
    </row>
    <row r="21" spans="1:23" x14ac:dyDescent="0.25">
      <c r="A21" t="s">
        <v>127</v>
      </c>
      <c r="B21" s="2" t="s">
        <v>60</v>
      </c>
      <c r="C21" s="2" t="s">
        <v>128</v>
      </c>
      <c r="D21" t="s">
        <v>72</v>
      </c>
      <c r="E21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1" s="4">
        <v>4.0999999999999996</v>
      </c>
      <c r="G21" s="7">
        <v>8.4</v>
      </c>
      <c r="H21" s="7">
        <v>12.5</v>
      </c>
      <c r="I21" s="4">
        <v>0</v>
      </c>
      <c r="J21" s="7">
        <v>0</v>
      </c>
      <c r="K21" s="7">
        <v>0</v>
      </c>
      <c r="L21" s="4">
        <v>4</v>
      </c>
      <c r="M21" s="7">
        <v>8.0500000000000007</v>
      </c>
      <c r="N21" s="7">
        <v>12.05</v>
      </c>
      <c r="O21" s="4">
        <v>0</v>
      </c>
      <c r="P21" s="7">
        <v>0</v>
      </c>
      <c r="Q21" s="7">
        <v>0</v>
      </c>
      <c r="R21" s="4">
        <f>LARGE(CHOOSE({1;2;3;4},F21,I21,L21,O21),1)+LARGE(CHOOSE({1;2;3;4},F21,I21,L21,O21),2)+LARGE(CHOOSE({1;2;3;4},F21,I21,L21,O21),3)</f>
        <v>8.1</v>
      </c>
      <c r="S21" s="7">
        <f>LARGE(CHOOSE({1;2;3;4},G21,J21,M21,P21),1)+LARGE(CHOOSE({1;2;3;4},G21,J21,M21,P21),2)+LARGE(CHOOSE({1;2;3;4},G21,J21,M21,P21),3)</f>
        <v>16.450000000000003</v>
      </c>
      <c r="T21" s="7">
        <f>LARGE(CHOOSE({1;2;3;4},H21,K21,N21,Q21),1)+LARGE(CHOOSE({1;2;3;4},H21,K21,N21,Q21),2)+LARGE(CHOOSE({1;2;3;4},H21,K21,N21,Q21),3)</f>
        <v>24.55</v>
      </c>
      <c r="U21" s="4" cm="1">
        <f t="array" ref="U21">IF(HB[[#This Row],[Number_of_competition]:[Number_of_competition]]&gt;=3,(LARGE(CHOOSE({1;2;3;4},F21,I21,L21,O21),1)+LARGE(CHOOSE({1;2;3;4},F21,I21,L21,O21),2)+LARGE(CHOOSE({1;2;3;4},F21,I21,L21,O21),3))/3,0)</f>
        <v>0</v>
      </c>
      <c r="V21" s="7" cm="1">
        <f t="array" ref="V21">IF(HB[[#This Row],[Number_of_competition]:[Number_of_competition]]&gt;=3,(LARGE(CHOOSE({1;2;3;4},G21,J21,M21,P21),1)+LARGE(CHOOSE({1;2;3;4},G21,J21,M21,P21),2)+LARGE(CHOOSE({1;2;3;4},G21,J21,M21,P21),3))/3,0)</f>
        <v>0</v>
      </c>
      <c r="W21" s="7" cm="1">
        <f t="array" ref="W21">IF(HB[[#This Row],[Number_of_competition]:[Number_of_competition]]&gt;=3,(LARGE(CHOOSE({1;2;3;4},H21,K21,N21,Q21),1)+LARGE(CHOOSE({1;2;3;4},H21,K21,N21,Q21),2)+LARGE(CHOOSE({1;2;3;4},H21,K21,N21,Q21),3))/3,0)</f>
        <v>0</v>
      </c>
    </row>
    <row r="22" spans="1:23" x14ac:dyDescent="0.25">
      <c r="A22" t="s">
        <v>46</v>
      </c>
      <c r="B22" s="2" t="s">
        <v>26</v>
      </c>
      <c r="C22" s="2" t="s">
        <v>47</v>
      </c>
      <c r="D22" t="s">
        <v>36</v>
      </c>
      <c r="E22" s="6">
        <f>COUNTIF(HB[[#This Row],[bydgoszcz_HB_Total_Score]],"&gt;0")+COUNTIF(HB[[#This Row],[zabrze_HB_Total_Score]],"&gt;0")+COUNTIF(HB[[#This Row],[cracow_HB_Total_Score]],"&gt;0")+COUNTIF(HB[[#This Row],[gdansk_HB_Total_Score]],"&gt;0")</f>
        <v>3</v>
      </c>
      <c r="F22" s="4">
        <v>0</v>
      </c>
      <c r="G22" s="7">
        <v>0</v>
      </c>
      <c r="H22" s="7">
        <v>0</v>
      </c>
      <c r="I22" s="4">
        <v>1.8</v>
      </c>
      <c r="J22" s="7">
        <v>7.7</v>
      </c>
      <c r="K22" s="7">
        <v>9.5</v>
      </c>
      <c r="L22" s="4">
        <v>1.9</v>
      </c>
      <c r="M22" s="7">
        <v>7.75</v>
      </c>
      <c r="N22" s="7">
        <v>9.65</v>
      </c>
      <c r="O22" s="4">
        <v>1.5</v>
      </c>
      <c r="P22" s="7">
        <v>2.5</v>
      </c>
      <c r="Q22" s="7">
        <v>4</v>
      </c>
      <c r="R22" s="4">
        <f>LARGE(CHOOSE({1;2;3;4},F22,I22,L22,O22),1)+LARGE(CHOOSE({1;2;3;4},F22,I22,L22,O22),2)+LARGE(CHOOSE({1;2;3;4},F22,I22,L22,O22),3)</f>
        <v>5.2</v>
      </c>
      <c r="S22" s="7">
        <f>LARGE(CHOOSE({1;2;3;4},G22,J22,M22,P22),1)+LARGE(CHOOSE({1;2;3;4},G22,J22,M22,P22),2)+LARGE(CHOOSE({1;2;3;4},G22,J22,M22,P22),3)</f>
        <v>17.95</v>
      </c>
      <c r="T22" s="7">
        <f>LARGE(CHOOSE({1;2;3;4},H22,K22,N22,Q22),1)+LARGE(CHOOSE({1;2;3;4},H22,K22,N22,Q22),2)+LARGE(CHOOSE({1;2;3;4},H22,K22,N22,Q22),3)</f>
        <v>23.15</v>
      </c>
      <c r="U22" s="4" cm="1">
        <f t="array" ref="U22">IF(HB[[#This Row],[Number_of_competition]:[Number_of_competition]]&gt;=3,(LARGE(CHOOSE({1;2;3;4},F22,I22,L22,O22),1)+LARGE(CHOOSE({1;2;3;4},F22,I22,L22,O22),2)+LARGE(CHOOSE({1;2;3;4},F22,I22,L22,O22),3))/3,0)</f>
        <v>1.7333333333333334</v>
      </c>
      <c r="V22" s="7" cm="1">
        <f t="array" ref="V22">IF(HB[[#This Row],[Number_of_competition]:[Number_of_competition]]&gt;=3,(LARGE(CHOOSE({1;2;3;4},G22,J22,M22,P22),1)+LARGE(CHOOSE({1;2;3;4},G22,J22,M22,P22),2)+LARGE(CHOOSE({1;2;3;4},G22,J22,M22,P22),3))/3,0)</f>
        <v>5.9833333333333334</v>
      </c>
      <c r="W22" s="7" cm="1">
        <f t="array" ref="W22">IF(HB[[#This Row],[Number_of_competition]:[Number_of_competition]]&gt;=3,(LARGE(CHOOSE({1;2;3;4},H22,K22,N22,Q22),1)+LARGE(CHOOSE({1;2;3;4},H22,K22,N22,Q22),2)+LARGE(CHOOSE({1;2;3;4},H22,K22,N22,Q22),3))/3,0)</f>
        <v>7.7166666666666659</v>
      </c>
    </row>
    <row r="23" spans="1:23" x14ac:dyDescent="0.25">
      <c r="A23" t="s">
        <v>70</v>
      </c>
      <c r="B23" s="2" t="s">
        <v>60</v>
      </c>
      <c r="C23" s="2" t="s">
        <v>71</v>
      </c>
      <c r="D23" t="s">
        <v>72</v>
      </c>
      <c r="E23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3" s="4">
        <v>0</v>
      </c>
      <c r="G23" s="7">
        <v>0</v>
      </c>
      <c r="H23" s="7">
        <v>0</v>
      </c>
      <c r="I23" s="4">
        <v>3.7</v>
      </c>
      <c r="J23" s="7">
        <v>7.95</v>
      </c>
      <c r="K23" s="7">
        <v>11.65</v>
      </c>
      <c r="L23" s="4">
        <v>3.7</v>
      </c>
      <c r="M23" s="7">
        <v>7.4</v>
      </c>
      <c r="N23" s="7">
        <v>11.1</v>
      </c>
      <c r="O23" s="4">
        <v>0</v>
      </c>
      <c r="P23" s="7">
        <v>0</v>
      </c>
      <c r="Q23" s="7">
        <v>0</v>
      </c>
      <c r="R23" s="4">
        <f>LARGE(CHOOSE({1;2;3;4},F23,I23,L23,O23),1)+LARGE(CHOOSE({1;2;3;4},F23,I23,L23,O23),2)+LARGE(CHOOSE({1;2;3;4},F23,I23,L23,O23),3)</f>
        <v>7.4</v>
      </c>
      <c r="S23" s="7">
        <f>LARGE(CHOOSE({1;2;3;4},G23,J23,M23,P23),1)+LARGE(CHOOSE({1;2;3;4},G23,J23,M23,P23),2)+LARGE(CHOOSE({1;2;3;4},G23,J23,M23,P23),3)</f>
        <v>15.350000000000001</v>
      </c>
      <c r="T23" s="7">
        <f>LARGE(CHOOSE({1;2;3;4},H23,K23,N23,Q23),1)+LARGE(CHOOSE({1;2;3;4},H23,K23,N23,Q23),2)+LARGE(CHOOSE({1;2;3;4},H23,K23,N23,Q23),3)</f>
        <v>22.75</v>
      </c>
      <c r="U23" s="4" cm="1">
        <f t="array" ref="U23">IF(HB[[#This Row],[Number_of_competition]:[Number_of_competition]]&gt;=3,(LARGE(CHOOSE({1;2;3;4},F23,I23,L23,O23),1)+LARGE(CHOOSE({1;2;3;4},F23,I23,L23,O23),2)+LARGE(CHOOSE({1;2;3;4},F23,I23,L23,O23),3))/3,0)</f>
        <v>0</v>
      </c>
      <c r="V23" s="7" cm="1">
        <f t="array" ref="V23">IF(HB[[#This Row],[Number_of_competition]:[Number_of_competition]]&gt;=3,(LARGE(CHOOSE({1;2;3;4},G23,J23,M23,P23),1)+LARGE(CHOOSE({1;2;3;4},G23,J23,M23,P23),2)+LARGE(CHOOSE({1;2;3;4},G23,J23,M23,P23),3))/3,0)</f>
        <v>0</v>
      </c>
      <c r="W23" s="7" cm="1">
        <f t="array" ref="W23">IF(HB[[#This Row],[Number_of_competition]:[Number_of_competition]]&gt;=3,(LARGE(CHOOSE({1;2;3;4},H23,K23,N23,Q23),1)+LARGE(CHOOSE({1;2;3;4},H23,K23,N23,Q23),2)+LARGE(CHOOSE({1;2;3;4},H23,K23,N23,Q23),3))/3,0)</f>
        <v>0</v>
      </c>
    </row>
    <row r="24" spans="1:23" x14ac:dyDescent="0.25">
      <c r="A24" t="s">
        <v>65</v>
      </c>
      <c r="B24" s="2" t="s">
        <v>60</v>
      </c>
      <c r="C24" s="2" t="s">
        <v>66</v>
      </c>
      <c r="D24" t="s">
        <v>67</v>
      </c>
      <c r="E24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4" s="4">
        <v>0</v>
      </c>
      <c r="G24" s="7">
        <v>0</v>
      </c>
      <c r="H24" s="7">
        <v>0</v>
      </c>
      <c r="I24" s="4">
        <v>3.6</v>
      </c>
      <c r="J24" s="7">
        <v>7.1</v>
      </c>
      <c r="K24" s="7">
        <v>10.7</v>
      </c>
      <c r="L24" s="4">
        <v>0</v>
      </c>
      <c r="M24" s="7">
        <v>0</v>
      </c>
      <c r="N24" s="7">
        <v>0</v>
      </c>
      <c r="O24" s="4">
        <v>3.6</v>
      </c>
      <c r="P24" s="7">
        <v>8.3000000000000007</v>
      </c>
      <c r="Q24" s="7">
        <v>11.9</v>
      </c>
      <c r="R24" s="4">
        <f>LARGE(CHOOSE({1;2;3;4},F24,I24,L24,O24),1)+LARGE(CHOOSE({1;2;3;4},F24,I24,L24,O24),2)+LARGE(CHOOSE({1;2;3;4},F24,I24,L24,O24),3)</f>
        <v>7.2</v>
      </c>
      <c r="S24" s="7">
        <f>LARGE(CHOOSE({1;2;3;4},G24,J24,M24,P24),1)+LARGE(CHOOSE({1;2;3;4},G24,J24,M24,P24),2)+LARGE(CHOOSE({1;2;3;4},G24,J24,M24,P24),3)</f>
        <v>15.4</v>
      </c>
      <c r="T24" s="7">
        <f>LARGE(CHOOSE({1;2;3;4},H24,K24,N24,Q24),1)+LARGE(CHOOSE({1;2;3;4},H24,K24,N24,Q24),2)+LARGE(CHOOSE({1;2;3;4},H24,K24,N24,Q24),3)</f>
        <v>22.6</v>
      </c>
      <c r="U24" s="4" cm="1">
        <f t="array" ref="U24">IF(HB[[#This Row],[Number_of_competition]:[Number_of_competition]]&gt;=3,(LARGE(CHOOSE({1;2;3;4},F24,I24,L24,O24),1)+LARGE(CHOOSE({1;2;3;4},F24,I24,L24,O24),2)+LARGE(CHOOSE({1;2;3;4},F24,I24,L24,O24),3))/3,0)</f>
        <v>0</v>
      </c>
      <c r="V24" s="7" cm="1">
        <f t="array" ref="V24">IF(HB[[#This Row],[Number_of_competition]:[Number_of_competition]]&gt;=3,(LARGE(CHOOSE({1;2;3;4},G24,J24,M24,P24),1)+LARGE(CHOOSE({1;2;3;4},G24,J24,M24,P24),2)+LARGE(CHOOSE({1;2;3;4},G24,J24,M24,P24),3))/3,0)</f>
        <v>0</v>
      </c>
      <c r="W24" s="7" cm="1">
        <f t="array" ref="W24">IF(HB[[#This Row],[Number_of_competition]:[Number_of_competition]]&gt;=3,(LARGE(CHOOSE({1;2;3;4},H24,K24,N24,Q24),1)+LARGE(CHOOSE({1;2;3;4},H24,K24,N24,Q24),2)+LARGE(CHOOSE({1;2;3;4},H24,K24,N24,Q24),3))/3,0)</f>
        <v>0</v>
      </c>
    </row>
    <row r="25" spans="1:23" x14ac:dyDescent="0.25">
      <c r="A25" t="s">
        <v>50</v>
      </c>
      <c r="B25" s="2" t="s">
        <v>26</v>
      </c>
      <c r="C25" s="2" t="s">
        <v>51</v>
      </c>
      <c r="D25" t="s">
        <v>36</v>
      </c>
      <c r="E25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5" s="4">
        <v>0</v>
      </c>
      <c r="G25" s="7">
        <v>0</v>
      </c>
      <c r="H25" s="7">
        <v>0</v>
      </c>
      <c r="I25" s="4">
        <v>2.7</v>
      </c>
      <c r="J25" s="7">
        <v>8</v>
      </c>
      <c r="K25" s="7">
        <v>10.7</v>
      </c>
      <c r="L25" s="4">
        <v>2.7</v>
      </c>
      <c r="M25" s="7">
        <v>9.1</v>
      </c>
      <c r="N25" s="7">
        <v>11.8</v>
      </c>
      <c r="O25" s="4">
        <v>0</v>
      </c>
      <c r="P25" s="7">
        <v>0</v>
      </c>
      <c r="Q25" s="7">
        <v>0</v>
      </c>
      <c r="R25" s="4">
        <f>LARGE(CHOOSE({1;2;3;4},F25,I25,L25,O25),1)+LARGE(CHOOSE({1;2;3;4},F25,I25,L25,O25),2)+LARGE(CHOOSE({1;2;3;4},F25,I25,L25,O25),3)</f>
        <v>5.4</v>
      </c>
      <c r="S25" s="7">
        <f>LARGE(CHOOSE({1;2;3;4},G25,J25,M25,P25),1)+LARGE(CHOOSE({1;2;3;4},G25,J25,M25,P25),2)+LARGE(CHOOSE({1;2;3;4},G25,J25,M25,P25),3)</f>
        <v>17.100000000000001</v>
      </c>
      <c r="T25" s="7">
        <f>LARGE(CHOOSE({1;2;3;4},H25,K25,N25,Q25),1)+LARGE(CHOOSE({1;2;3;4},H25,K25,N25,Q25),2)+LARGE(CHOOSE({1;2;3;4},H25,K25,N25,Q25),3)</f>
        <v>22.5</v>
      </c>
      <c r="U25" s="4" cm="1">
        <f t="array" ref="U25">IF(HB[[#This Row],[Number_of_competition]:[Number_of_competition]]&gt;=3,(LARGE(CHOOSE({1;2;3;4},F25,I25,L25,O25),1)+LARGE(CHOOSE({1;2;3;4},F25,I25,L25,O25),2)+LARGE(CHOOSE({1;2;3;4},F25,I25,L25,O25),3))/3,0)</f>
        <v>0</v>
      </c>
      <c r="V25" s="7" cm="1">
        <f t="array" ref="V25">IF(HB[[#This Row],[Number_of_competition]:[Number_of_competition]]&gt;=3,(LARGE(CHOOSE({1;2;3;4},G25,J25,M25,P25),1)+LARGE(CHOOSE({1;2;3;4},G25,J25,M25,P25),2)+LARGE(CHOOSE({1;2;3;4},G25,J25,M25,P25),3))/3,0)</f>
        <v>0</v>
      </c>
      <c r="W25" s="7" cm="1">
        <f t="array" ref="W25">IF(HB[[#This Row],[Number_of_competition]:[Number_of_competition]]&gt;=3,(LARGE(CHOOSE({1;2;3;4},H25,K25,N25,Q25),1)+LARGE(CHOOSE({1;2;3;4},H25,K25,N25,Q25),2)+LARGE(CHOOSE({1;2;3;4},H25,K25,N25,Q25),3))/3,0)</f>
        <v>0</v>
      </c>
    </row>
    <row r="26" spans="1:23" x14ac:dyDescent="0.25">
      <c r="A26" t="s">
        <v>116</v>
      </c>
      <c r="B26" s="2" t="s">
        <v>60</v>
      </c>
      <c r="C26" s="2" t="s">
        <v>117</v>
      </c>
      <c r="D26" t="s">
        <v>62</v>
      </c>
      <c r="E26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6" s="4">
        <v>0</v>
      </c>
      <c r="G26" s="7">
        <v>0</v>
      </c>
      <c r="H26" s="7">
        <v>0</v>
      </c>
      <c r="I26" s="4">
        <v>0</v>
      </c>
      <c r="J26" s="7">
        <v>0</v>
      </c>
      <c r="K26" s="7">
        <v>0</v>
      </c>
      <c r="L26" s="4">
        <v>4.5999999999999996</v>
      </c>
      <c r="M26" s="7">
        <v>6.65</v>
      </c>
      <c r="N26" s="7">
        <v>11.25</v>
      </c>
      <c r="O26" s="4">
        <v>4.8</v>
      </c>
      <c r="P26" s="7">
        <v>6.3</v>
      </c>
      <c r="Q26" s="7">
        <v>11.1</v>
      </c>
      <c r="R26" s="4">
        <f>LARGE(CHOOSE({1;2;3;4},F26,I26,L26,O26),1)+LARGE(CHOOSE({1;2;3;4},F26,I26,L26,O26),2)+LARGE(CHOOSE({1;2;3;4},F26,I26,L26,O26),3)</f>
        <v>9.3999999999999986</v>
      </c>
      <c r="S26" s="7">
        <f>LARGE(CHOOSE({1;2;3;4},G26,J26,M26,P26),1)+LARGE(CHOOSE({1;2;3;4},G26,J26,M26,P26),2)+LARGE(CHOOSE({1;2;3;4},G26,J26,M26,P26),3)</f>
        <v>12.95</v>
      </c>
      <c r="T26" s="7">
        <f>LARGE(CHOOSE({1;2;3;4},H26,K26,N26,Q26),1)+LARGE(CHOOSE({1;2;3;4},H26,K26,N26,Q26),2)+LARGE(CHOOSE({1;2;3;4},H26,K26,N26,Q26),3)</f>
        <v>22.35</v>
      </c>
      <c r="U26" s="4" cm="1">
        <f t="array" ref="U26">IF(HB[[#This Row],[Number_of_competition]:[Number_of_competition]]&gt;=3,(LARGE(CHOOSE({1;2;3;4},F26,I26,L26,O26),1)+LARGE(CHOOSE({1;2;3;4},F26,I26,L26,O26),2)+LARGE(CHOOSE({1;2;3;4},F26,I26,L26,O26),3))/3,0)</f>
        <v>0</v>
      </c>
      <c r="V26" s="7" cm="1">
        <f t="array" ref="V26">IF(HB[[#This Row],[Number_of_competition]:[Number_of_competition]]&gt;=3,(LARGE(CHOOSE({1;2;3;4},G26,J26,M26,P26),1)+LARGE(CHOOSE({1;2;3;4},G26,J26,M26,P26),2)+LARGE(CHOOSE({1;2;3;4},G26,J26,M26,P26),3))/3,0)</f>
        <v>0</v>
      </c>
      <c r="W26" s="7" cm="1">
        <f t="array" ref="W26">IF(HB[[#This Row],[Number_of_competition]:[Number_of_competition]]&gt;=3,(LARGE(CHOOSE({1;2;3;4},H26,K26,N26,Q26),1)+LARGE(CHOOSE({1;2;3;4},H26,K26,N26,Q26),2)+LARGE(CHOOSE({1;2;3;4},H26,K26,N26,Q26),3))/3,0)</f>
        <v>0</v>
      </c>
    </row>
    <row r="27" spans="1:23" x14ac:dyDescent="0.25">
      <c r="A27" t="s">
        <v>112</v>
      </c>
      <c r="B27" s="2" t="s">
        <v>26</v>
      </c>
      <c r="C27" s="2" t="s">
        <v>113</v>
      </c>
      <c r="D27" t="s">
        <v>31</v>
      </c>
      <c r="E27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7" s="4">
        <v>3.4</v>
      </c>
      <c r="G27" s="7">
        <v>7.8</v>
      </c>
      <c r="H27" s="7">
        <v>11.2</v>
      </c>
      <c r="I27" s="4">
        <v>0</v>
      </c>
      <c r="J27" s="7">
        <v>0</v>
      </c>
      <c r="K27" s="7">
        <v>0</v>
      </c>
      <c r="L27" s="4">
        <v>0</v>
      </c>
      <c r="M27" s="7">
        <v>0</v>
      </c>
      <c r="N27" s="7">
        <v>0</v>
      </c>
      <c r="O27" s="4">
        <v>3.2</v>
      </c>
      <c r="P27" s="7">
        <v>7.5</v>
      </c>
      <c r="Q27" s="7">
        <v>10.7</v>
      </c>
      <c r="R27" s="4">
        <f>LARGE(CHOOSE({1;2;3;4},F27,I27,L27,O27),1)+LARGE(CHOOSE({1;2;3;4},F27,I27,L27,O27),2)+LARGE(CHOOSE({1;2;3;4},F27,I27,L27,O27),3)</f>
        <v>6.6</v>
      </c>
      <c r="S27" s="7">
        <f>LARGE(CHOOSE({1;2;3;4},G27,J27,M27,P27),1)+LARGE(CHOOSE({1;2;3;4},G27,J27,M27,P27),2)+LARGE(CHOOSE({1;2;3;4},G27,J27,M27,P27),3)</f>
        <v>15.3</v>
      </c>
      <c r="T27" s="7">
        <f>LARGE(CHOOSE({1;2;3;4},H27,K27,N27,Q27),1)+LARGE(CHOOSE({1;2;3;4},H27,K27,N27,Q27),2)+LARGE(CHOOSE({1;2;3;4},H27,K27,N27,Q27),3)</f>
        <v>21.9</v>
      </c>
      <c r="U27" s="4" cm="1">
        <f t="array" ref="U27">IF(HB[[#This Row],[Number_of_competition]:[Number_of_competition]]&gt;=3,(LARGE(CHOOSE({1;2;3;4},F27,I27,L27,O27),1)+LARGE(CHOOSE({1;2;3;4},F27,I27,L27,O27),2)+LARGE(CHOOSE({1;2;3;4},F27,I27,L27,O27),3))/3,0)</f>
        <v>0</v>
      </c>
      <c r="V27" s="7" cm="1">
        <f t="array" ref="V27">IF(HB[[#This Row],[Number_of_competition]:[Number_of_competition]]&gt;=3,(LARGE(CHOOSE({1;2;3;4},G27,J27,M27,P27),1)+LARGE(CHOOSE({1;2;3;4},G27,J27,M27,P27),2)+LARGE(CHOOSE({1;2;3;4},G27,J27,M27,P27),3))/3,0)</f>
        <v>0</v>
      </c>
      <c r="W27" s="7" cm="1">
        <f t="array" ref="W27">IF(HB[[#This Row],[Number_of_competition]:[Number_of_competition]]&gt;=3,(LARGE(CHOOSE({1;2;3;4},H27,K27,N27,Q27),1)+LARGE(CHOOSE({1;2;3;4},H27,K27,N27,Q27),2)+LARGE(CHOOSE({1;2;3;4},H27,K27,N27,Q27),3))/3,0)</f>
        <v>0</v>
      </c>
    </row>
    <row r="28" spans="1:23" x14ac:dyDescent="0.25">
      <c r="A28" t="s">
        <v>75</v>
      </c>
      <c r="B28" s="2" t="s">
        <v>60</v>
      </c>
      <c r="C28" s="2" t="s">
        <v>76</v>
      </c>
      <c r="D28" t="s">
        <v>28</v>
      </c>
      <c r="E28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8" s="4">
        <v>0</v>
      </c>
      <c r="G28" s="7">
        <v>0</v>
      </c>
      <c r="H28" s="7">
        <v>0</v>
      </c>
      <c r="I28" s="4">
        <v>2.2000000000000002</v>
      </c>
      <c r="J28" s="7">
        <v>8.1</v>
      </c>
      <c r="K28" s="7">
        <v>10.3</v>
      </c>
      <c r="L28" s="4">
        <v>2.5</v>
      </c>
      <c r="M28" s="7">
        <v>8.15</v>
      </c>
      <c r="N28" s="7">
        <v>10.65</v>
      </c>
      <c r="O28" s="4">
        <v>0</v>
      </c>
      <c r="P28" s="7">
        <v>0</v>
      </c>
      <c r="Q28" s="7">
        <v>0</v>
      </c>
      <c r="R28" s="4">
        <f>LARGE(CHOOSE({1;2;3;4},F28,I28,L28,O28),1)+LARGE(CHOOSE({1;2;3;4},F28,I28,L28,O28),2)+LARGE(CHOOSE({1;2;3;4},F28,I28,L28,O28),3)</f>
        <v>4.7</v>
      </c>
      <c r="S28" s="7">
        <f>LARGE(CHOOSE({1;2;3;4},G28,J28,M28,P28),1)+LARGE(CHOOSE({1;2;3;4},G28,J28,M28,P28),2)+LARGE(CHOOSE({1;2;3;4},G28,J28,M28,P28),3)</f>
        <v>16.25</v>
      </c>
      <c r="T28" s="7">
        <f>LARGE(CHOOSE({1;2;3;4},H28,K28,N28,Q28),1)+LARGE(CHOOSE({1;2;3;4},H28,K28,N28,Q28),2)+LARGE(CHOOSE({1;2;3;4},H28,K28,N28,Q28),3)</f>
        <v>20.950000000000003</v>
      </c>
      <c r="U28" s="4" cm="1">
        <f t="array" ref="U28">IF(HB[[#This Row],[Number_of_competition]:[Number_of_competition]]&gt;=3,(LARGE(CHOOSE({1;2;3;4},F28,I28,L28,O28),1)+LARGE(CHOOSE({1;2;3;4},F28,I28,L28,O28),2)+LARGE(CHOOSE({1;2;3;4},F28,I28,L28,O28),3))/3,0)</f>
        <v>0</v>
      </c>
      <c r="V28" s="7" cm="1">
        <f t="array" ref="V28">IF(HB[[#This Row],[Number_of_competition]:[Number_of_competition]]&gt;=3,(LARGE(CHOOSE({1;2;3;4},G28,J28,M28,P28),1)+LARGE(CHOOSE({1;2;3;4},G28,J28,M28,P28),2)+LARGE(CHOOSE({1;2;3;4},G28,J28,M28,P28),3))/3,0)</f>
        <v>0</v>
      </c>
      <c r="W28" s="7" cm="1">
        <f t="array" ref="W28">IF(HB[[#This Row],[Number_of_competition]:[Number_of_competition]]&gt;=3,(LARGE(CHOOSE({1;2;3;4},H28,K28,N28,Q28),1)+LARGE(CHOOSE({1;2;3;4},H28,K28,N28,Q28),2)+LARGE(CHOOSE({1;2;3;4},H28,K28,N28,Q28),3))/3,0)</f>
        <v>0</v>
      </c>
    </row>
    <row r="29" spans="1:23" x14ac:dyDescent="0.25">
      <c r="A29" t="s">
        <v>88</v>
      </c>
      <c r="B29" s="2" t="s">
        <v>60</v>
      </c>
      <c r="C29" s="2" t="s">
        <v>89</v>
      </c>
      <c r="D29" t="s">
        <v>36</v>
      </c>
      <c r="E29" s="6">
        <f>COUNTIF(HB[[#This Row],[bydgoszcz_HB_Total_Score]],"&gt;0")+COUNTIF(HB[[#This Row],[zabrze_HB_Total_Score]],"&gt;0")+COUNTIF(HB[[#This Row],[cracow_HB_Total_Score]],"&gt;0")+COUNTIF(HB[[#This Row],[gdansk_HB_Total_Score]],"&gt;0")</f>
        <v>2</v>
      </c>
      <c r="F29" s="4">
        <v>0</v>
      </c>
      <c r="G29" s="7">
        <v>0</v>
      </c>
      <c r="H29" s="7">
        <v>0</v>
      </c>
      <c r="I29" s="4">
        <v>2.1</v>
      </c>
      <c r="J29" s="7">
        <v>6.9</v>
      </c>
      <c r="K29" s="7">
        <v>9</v>
      </c>
      <c r="L29" s="4">
        <v>0</v>
      </c>
      <c r="M29" s="7">
        <v>0</v>
      </c>
      <c r="N29" s="7">
        <v>0</v>
      </c>
      <c r="O29" s="4">
        <v>1.9</v>
      </c>
      <c r="P29" s="7">
        <v>4.2</v>
      </c>
      <c r="Q29" s="7">
        <v>6.1</v>
      </c>
      <c r="R29" s="4">
        <f>LARGE(CHOOSE({1;2;3;4},F29,I29,L29,O29),1)+LARGE(CHOOSE({1;2;3;4},F29,I29,L29,O29),2)+LARGE(CHOOSE({1;2;3;4},F29,I29,L29,O29),3)</f>
        <v>4</v>
      </c>
      <c r="S29" s="7">
        <f>LARGE(CHOOSE({1;2;3;4},G29,J29,M29,P29),1)+LARGE(CHOOSE({1;2;3;4},G29,J29,M29,P29),2)+LARGE(CHOOSE({1;2;3;4},G29,J29,M29,P29),3)</f>
        <v>11.100000000000001</v>
      </c>
      <c r="T29" s="7">
        <f>LARGE(CHOOSE({1;2;3;4},H29,K29,N29,Q29),1)+LARGE(CHOOSE({1;2;3;4},H29,K29,N29,Q29),2)+LARGE(CHOOSE({1;2;3;4},H29,K29,N29,Q29),3)</f>
        <v>15.1</v>
      </c>
      <c r="U29" s="4" cm="1">
        <f t="array" ref="U29">IF(HB[[#This Row],[Number_of_competition]:[Number_of_competition]]&gt;=3,(LARGE(CHOOSE({1;2;3;4},F29,I29,L29,O29),1)+LARGE(CHOOSE({1;2;3;4},F29,I29,L29,O29),2)+LARGE(CHOOSE({1;2;3;4},F29,I29,L29,O29),3))/3,0)</f>
        <v>0</v>
      </c>
      <c r="V29" s="7" cm="1">
        <f t="array" ref="V29">IF(HB[[#This Row],[Number_of_competition]:[Number_of_competition]]&gt;=3,(LARGE(CHOOSE({1;2;3;4},G29,J29,M29,P29),1)+LARGE(CHOOSE({1;2;3;4},G29,J29,M29,P29),2)+LARGE(CHOOSE({1;2;3;4},G29,J29,M29,P29),3))/3,0)</f>
        <v>0</v>
      </c>
      <c r="W29" s="7" cm="1">
        <f t="array" ref="W29">IF(HB[[#This Row],[Number_of_competition]:[Number_of_competition]]&gt;=3,(LARGE(CHOOSE({1;2;3;4},H29,K29,N29,Q29),1)+LARGE(CHOOSE({1;2;3;4},H29,K29,N29,Q29),2)+LARGE(CHOOSE({1;2;3;4},H29,K29,N29,Q29),3))/3,0)</f>
        <v>0</v>
      </c>
    </row>
    <row r="30" spans="1:23" x14ac:dyDescent="0.25">
      <c r="A30" t="s">
        <v>118</v>
      </c>
      <c r="B30" s="2" t="s">
        <v>60</v>
      </c>
      <c r="C30" s="2" t="s">
        <v>119</v>
      </c>
      <c r="D30" t="s">
        <v>31</v>
      </c>
      <c r="E30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0" s="4">
        <v>0</v>
      </c>
      <c r="G30" s="7">
        <v>0</v>
      </c>
      <c r="H30" s="7">
        <v>0</v>
      </c>
      <c r="I30" s="4">
        <v>0</v>
      </c>
      <c r="J30" s="7">
        <v>0</v>
      </c>
      <c r="K30" s="7">
        <v>0</v>
      </c>
      <c r="L30" s="4">
        <v>3.7</v>
      </c>
      <c r="M30" s="7">
        <v>8.15</v>
      </c>
      <c r="N30" s="7">
        <v>11.85</v>
      </c>
      <c r="O30" s="4">
        <v>0</v>
      </c>
      <c r="P30" s="7">
        <v>0</v>
      </c>
      <c r="Q30" s="7">
        <v>0</v>
      </c>
      <c r="R30" s="4">
        <f>LARGE(CHOOSE({1;2;3;4},F30,I30,L30,O30),1)+LARGE(CHOOSE({1;2;3;4},F30,I30,L30,O30),2)+LARGE(CHOOSE({1;2;3;4},F30,I30,L30,O30),3)</f>
        <v>3.7</v>
      </c>
      <c r="S30" s="7">
        <f>LARGE(CHOOSE({1;2;3;4},G30,J30,M30,P30),1)+LARGE(CHOOSE({1;2;3;4},G30,J30,M30,P30),2)+LARGE(CHOOSE({1;2;3;4},G30,J30,M30,P30),3)</f>
        <v>8.15</v>
      </c>
      <c r="T30" s="7">
        <f>LARGE(CHOOSE({1;2;3;4},H30,K30,N30,Q30),1)+LARGE(CHOOSE({1;2;3;4},H30,K30,N30,Q30),2)+LARGE(CHOOSE({1;2;3;4},H30,K30,N30,Q30),3)</f>
        <v>11.85</v>
      </c>
      <c r="U30" s="4" cm="1">
        <f t="array" ref="U30">IF(HB[[#This Row],[Number_of_competition]:[Number_of_competition]]&gt;=3,(LARGE(CHOOSE({1;2;3;4},F30,I30,L30,O30),1)+LARGE(CHOOSE({1;2;3;4},F30,I30,L30,O30),2)+LARGE(CHOOSE({1;2;3;4},F30,I30,L30,O30),3))/3,0)</f>
        <v>0</v>
      </c>
      <c r="V30" s="7" cm="1">
        <f t="array" ref="V30">IF(HB[[#This Row],[Number_of_competition]:[Number_of_competition]]&gt;=3,(LARGE(CHOOSE({1;2;3;4},G30,J30,M30,P30),1)+LARGE(CHOOSE({1;2;3;4},G30,J30,M30,P30),2)+LARGE(CHOOSE({1;2;3;4},G30,J30,M30,P30),3))/3,0)</f>
        <v>0</v>
      </c>
      <c r="W30" s="7" cm="1">
        <f t="array" ref="W30">IF(HB[[#This Row],[Number_of_competition]:[Number_of_competition]]&gt;=3,(LARGE(CHOOSE({1;2;3;4},H30,K30,N30,Q30),1)+LARGE(CHOOSE({1;2;3;4},H30,K30,N30,Q30),2)+LARGE(CHOOSE({1;2;3;4},H30,K30,N30,Q30),3))/3,0)</f>
        <v>0</v>
      </c>
    </row>
    <row r="31" spans="1:23" x14ac:dyDescent="0.25">
      <c r="A31" t="s">
        <v>142</v>
      </c>
      <c r="B31" s="2" t="s">
        <v>60</v>
      </c>
      <c r="C31" s="2" t="s">
        <v>143</v>
      </c>
      <c r="D31" t="s">
        <v>62</v>
      </c>
      <c r="E31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1" s="4">
        <v>3.6</v>
      </c>
      <c r="G31" s="7">
        <v>8</v>
      </c>
      <c r="H31" s="7">
        <v>11.6</v>
      </c>
      <c r="I31" s="4">
        <v>0</v>
      </c>
      <c r="J31" s="7">
        <v>0</v>
      </c>
      <c r="K31" s="7">
        <v>0</v>
      </c>
      <c r="L31" s="4">
        <v>0</v>
      </c>
      <c r="M31" s="7">
        <v>0</v>
      </c>
      <c r="N31" s="7">
        <v>0</v>
      </c>
      <c r="O31" s="4">
        <v>0</v>
      </c>
      <c r="P31" s="7">
        <v>0</v>
      </c>
      <c r="Q31" s="7">
        <v>0</v>
      </c>
      <c r="R31" s="4">
        <f>LARGE(CHOOSE({1;2;3;4},F31,I31,L31,O31),1)+LARGE(CHOOSE({1;2;3;4},F31,I31,L31,O31),2)+LARGE(CHOOSE({1;2;3;4},F31,I31,L31,O31),3)</f>
        <v>3.6</v>
      </c>
      <c r="S31" s="7">
        <f>LARGE(CHOOSE({1;2;3;4},G31,J31,M31,P31),1)+LARGE(CHOOSE({1;2;3;4},G31,J31,M31,P31),2)+LARGE(CHOOSE({1;2;3;4},G31,J31,M31,P31),3)</f>
        <v>8</v>
      </c>
      <c r="T31" s="7">
        <f>LARGE(CHOOSE({1;2;3;4},H31,K31,N31,Q31),1)+LARGE(CHOOSE({1;2;3;4},H31,K31,N31,Q31),2)+LARGE(CHOOSE({1;2;3;4},H31,K31,N31,Q31),3)</f>
        <v>11.6</v>
      </c>
      <c r="U31" s="4" cm="1">
        <f t="array" ref="U31">IF(HB[[#This Row],[Number_of_competition]:[Number_of_competition]]&gt;=3,(LARGE(CHOOSE({1;2;3;4},F31,I31,L31,O31),1)+LARGE(CHOOSE({1;2;3;4},F31,I31,L31,O31),2)+LARGE(CHOOSE({1;2;3;4},F31,I31,L31,O31),3))/3,0)</f>
        <v>0</v>
      </c>
      <c r="V31" s="7" cm="1">
        <f t="array" ref="V31">IF(HB[[#This Row],[Number_of_competition]:[Number_of_competition]]&gt;=3,(LARGE(CHOOSE({1;2;3;4},G31,J31,M31,P31),1)+LARGE(CHOOSE({1;2;3;4},G31,J31,M31,P31),2)+LARGE(CHOOSE({1;2;3;4},G31,J31,M31,P31),3))/3,0)</f>
        <v>0</v>
      </c>
      <c r="W31" s="7" cm="1">
        <f t="array" ref="W31">IF(HB[[#This Row],[Number_of_competition]:[Number_of_competition]]&gt;=3,(LARGE(CHOOSE({1;2;3;4},H31,K31,N31,Q31),1)+LARGE(CHOOSE({1;2;3;4},H31,K31,N31,Q31),2)+LARGE(CHOOSE({1;2;3;4},H31,K31,N31,Q31),3))/3,0)</f>
        <v>0</v>
      </c>
    </row>
    <row r="32" spans="1:23" x14ac:dyDescent="0.25">
      <c r="A32" t="s">
        <v>132</v>
      </c>
      <c r="B32" s="2" t="s">
        <v>26</v>
      </c>
      <c r="C32" s="2" t="s">
        <v>133</v>
      </c>
      <c r="D32" t="s">
        <v>39</v>
      </c>
      <c r="E32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2" s="4">
        <v>2.4</v>
      </c>
      <c r="G32" s="7">
        <v>9.1</v>
      </c>
      <c r="H32" s="7">
        <v>11.5</v>
      </c>
      <c r="I32" s="4">
        <v>0</v>
      </c>
      <c r="J32" s="7">
        <v>0</v>
      </c>
      <c r="K32" s="7">
        <v>0</v>
      </c>
      <c r="L32" s="4">
        <v>0</v>
      </c>
      <c r="M32" s="7">
        <v>0</v>
      </c>
      <c r="N32" s="7">
        <v>0</v>
      </c>
      <c r="O32" s="4">
        <v>0</v>
      </c>
      <c r="P32" s="7">
        <v>0</v>
      </c>
      <c r="Q32" s="7">
        <v>0</v>
      </c>
      <c r="R32" s="4">
        <f>LARGE(CHOOSE({1;2;3;4},F32,I32,L32,O32),1)+LARGE(CHOOSE({1;2;3;4},F32,I32,L32,O32),2)+LARGE(CHOOSE({1;2;3;4},F32,I32,L32,O32),3)</f>
        <v>2.4</v>
      </c>
      <c r="S32" s="7">
        <f>LARGE(CHOOSE({1;2;3;4},G32,J32,M32,P32),1)+LARGE(CHOOSE({1;2;3;4},G32,J32,M32,P32),2)+LARGE(CHOOSE({1;2;3;4},G32,J32,M32,P32),3)</f>
        <v>9.1</v>
      </c>
      <c r="T32" s="7">
        <f>LARGE(CHOOSE({1;2;3;4},H32,K32,N32,Q32),1)+LARGE(CHOOSE({1;2;3;4},H32,K32,N32,Q32),2)+LARGE(CHOOSE({1;2;3;4},H32,K32,N32,Q32),3)</f>
        <v>11.5</v>
      </c>
      <c r="U32" s="4" cm="1">
        <f t="array" ref="U32">IF(HB[[#This Row],[Number_of_competition]:[Number_of_competition]]&gt;=3,(LARGE(CHOOSE({1;2;3;4},F32,I32,L32,O32),1)+LARGE(CHOOSE({1;2;3;4},F32,I32,L32,O32),2)+LARGE(CHOOSE({1;2;3;4},F32,I32,L32,O32),3))/3,0)</f>
        <v>0</v>
      </c>
      <c r="V32" s="7" cm="1">
        <f t="array" ref="V32">IF(HB[[#This Row],[Number_of_competition]:[Number_of_competition]]&gt;=3,(LARGE(CHOOSE({1;2;3;4},G32,J32,M32,P32),1)+LARGE(CHOOSE({1;2;3;4},G32,J32,M32,P32),2)+LARGE(CHOOSE({1;2;3;4},G32,J32,M32,P32),3))/3,0)</f>
        <v>0</v>
      </c>
      <c r="W32" s="7" cm="1">
        <f t="array" ref="W32">IF(HB[[#This Row],[Number_of_competition]:[Number_of_competition]]&gt;=3,(LARGE(CHOOSE({1;2;3;4},H32,K32,N32,Q32),1)+LARGE(CHOOSE({1;2;3;4},H32,K32,N32,Q32),2)+LARGE(CHOOSE({1;2;3;4},H32,K32,N32,Q32),3))/3,0)</f>
        <v>0</v>
      </c>
    </row>
    <row r="33" spans="1:23" x14ac:dyDescent="0.25">
      <c r="A33" t="s">
        <v>57</v>
      </c>
      <c r="B33" s="2" t="s">
        <v>26</v>
      </c>
      <c r="C33" s="2" t="s">
        <v>58</v>
      </c>
      <c r="D33" t="s">
        <v>36</v>
      </c>
      <c r="E33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3" s="4">
        <v>1.9</v>
      </c>
      <c r="G33" s="7">
        <v>8.1</v>
      </c>
      <c r="H33" s="7">
        <v>10</v>
      </c>
      <c r="I33" s="4">
        <v>0</v>
      </c>
      <c r="J33" s="7">
        <v>0</v>
      </c>
      <c r="K33" s="7">
        <v>0</v>
      </c>
      <c r="L33" s="4">
        <v>0</v>
      </c>
      <c r="M33" s="7">
        <v>0</v>
      </c>
      <c r="N33" s="7">
        <v>0</v>
      </c>
      <c r="O33" s="4">
        <v>0</v>
      </c>
      <c r="P33" s="7">
        <v>0</v>
      </c>
      <c r="Q33" s="7">
        <v>0</v>
      </c>
      <c r="R33" s="4">
        <f>LARGE(CHOOSE({1;2;3;4},F33,I33,L33,O33),1)+LARGE(CHOOSE({1;2;3;4},F33,I33,L33,O33),2)+LARGE(CHOOSE({1;2;3;4},F33,I33,L33,O33),3)</f>
        <v>1.9</v>
      </c>
      <c r="S33" s="7">
        <f>LARGE(CHOOSE({1;2;3;4},G33,J33,M33,P33),1)+LARGE(CHOOSE({1;2;3;4},G33,J33,M33,P33),2)+LARGE(CHOOSE({1;2;3;4},G33,J33,M33,P33),3)</f>
        <v>8.1</v>
      </c>
      <c r="T33" s="7">
        <f>LARGE(CHOOSE({1;2;3;4},H33,K33,N33,Q33),1)+LARGE(CHOOSE({1;2;3;4},H33,K33,N33,Q33),2)+LARGE(CHOOSE({1;2;3;4},H33,K33,N33,Q33),3)</f>
        <v>10</v>
      </c>
      <c r="U33" s="4" cm="1">
        <f t="array" ref="U33">IF(HB[[#This Row],[Number_of_competition]:[Number_of_competition]]&gt;=3,(LARGE(CHOOSE({1;2;3;4},F33,I33,L33,O33),1)+LARGE(CHOOSE({1;2;3;4},F33,I33,L33,O33),2)+LARGE(CHOOSE({1;2;3;4},F33,I33,L33,O33),3))/3,0)</f>
        <v>0</v>
      </c>
      <c r="V33" s="7" cm="1">
        <f t="array" ref="V33">IF(HB[[#This Row],[Number_of_competition]:[Number_of_competition]]&gt;=3,(LARGE(CHOOSE({1;2;3;4},G33,J33,M33,P33),1)+LARGE(CHOOSE({1;2;3;4},G33,J33,M33,P33),2)+LARGE(CHOOSE({1;2;3;4},G33,J33,M33,P33),3))/3,0)</f>
        <v>0</v>
      </c>
      <c r="W33" s="7" cm="1">
        <f t="array" ref="W33">IF(HB[[#This Row],[Number_of_competition]:[Number_of_competition]]&gt;=3,(LARGE(CHOOSE({1;2;3;4},H33,K33,N33,Q33),1)+LARGE(CHOOSE({1;2;3;4},H33,K33,N33,Q33),2)+LARGE(CHOOSE({1;2;3;4},H33,K33,N33,Q33),3))/3,0)</f>
        <v>0</v>
      </c>
    </row>
    <row r="34" spans="1:23" x14ac:dyDescent="0.25">
      <c r="A34" t="s">
        <v>98</v>
      </c>
      <c r="B34" s="2" t="s">
        <v>60</v>
      </c>
      <c r="C34" s="2" t="s">
        <v>99</v>
      </c>
      <c r="D34" t="s">
        <v>72</v>
      </c>
      <c r="E34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4" s="4">
        <v>0</v>
      </c>
      <c r="G34" s="7">
        <v>0</v>
      </c>
      <c r="H34" s="7">
        <v>0</v>
      </c>
      <c r="I34" s="4">
        <v>0</v>
      </c>
      <c r="J34" s="7">
        <v>0</v>
      </c>
      <c r="K34" s="7">
        <v>0</v>
      </c>
      <c r="L34" s="4">
        <v>2.6</v>
      </c>
      <c r="M34" s="7">
        <v>6.95</v>
      </c>
      <c r="N34" s="7">
        <v>9.5500000000000007</v>
      </c>
      <c r="O34" s="4">
        <v>0</v>
      </c>
      <c r="P34" s="7">
        <v>0</v>
      </c>
      <c r="Q34" s="7">
        <v>0</v>
      </c>
      <c r="R34" s="4">
        <f>LARGE(CHOOSE({1;2;3;4},F34,I34,L34,O34),1)+LARGE(CHOOSE({1;2;3;4},F34,I34,L34,O34),2)+LARGE(CHOOSE({1;2;3;4},F34,I34,L34,O34),3)</f>
        <v>2.6</v>
      </c>
      <c r="S34" s="7">
        <f>LARGE(CHOOSE({1;2;3;4},G34,J34,M34,P34),1)+LARGE(CHOOSE({1;2;3;4},G34,J34,M34,P34),2)+LARGE(CHOOSE({1;2;3;4},G34,J34,M34,P34),3)</f>
        <v>6.95</v>
      </c>
      <c r="T34" s="7">
        <f>LARGE(CHOOSE({1;2;3;4},H34,K34,N34,Q34),1)+LARGE(CHOOSE({1;2;3;4},H34,K34,N34,Q34),2)+LARGE(CHOOSE({1;2;3;4},H34,K34,N34,Q34),3)</f>
        <v>9.5500000000000007</v>
      </c>
      <c r="U34" s="4" cm="1">
        <f t="array" ref="U34">IF(HB[[#This Row],[Number_of_competition]:[Number_of_competition]]&gt;=3,(LARGE(CHOOSE({1;2;3;4},F34,I34,L34,O34),1)+LARGE(CHOOSE({1;2;3;4},F34,I34,L34,O34),2)+LARGE(CHOOSE({1;2;3;4},F34,I34,L34,O34),3))/3,0)</f>
        <v>0</v>
      </c>
      <c r="V34" s="7" cm="1">
        <f t="array" ref="V34">IF(HB[[#This Row],[Number_of_competition]:[Number_of_competition]]&gt;=3,(LARGE(CHOOSE({1;2;3;4},G34,J34,M34,P34),1)+LARGE(CHOOSE({1;2;3;4},G34,J34,M34,P34),2)+LARGE(CHOOSE({1;2;3;4},G34,J34,M34,P34),3))/3,0)</f>
        <v>0</v>
      </c>
      <c r="W34" s="7" cm="1">
        <f t="array" ref="W34">IF(HB[[#This Row],[Number_of_competition]:[Number_of_competition]]&gt;=3,(LARGE(CHOOSE({1;2;3;4},H34,K34,N34,Q34),1)+LARGE(CHOOSE({1;2;3;4},H34,K34,N34,Q34),2)+LARGE(CHOOSE({1;2;3;4},H34,K34,N34,Q34),3))/3,0)</f>
        <v>0</v>
      </c>
    </row>
    <row r="35" spans="1:23" x14ac:dyDescent="0.25">
      <c r="A35" t="s">
        <v>122</v>
      </c>
      <c r="B35" s="2" t="s">
        <v>26</v>
      </c>
      <c r="C35" s="2" t="s">
        <v>123</v>
      </c>
      <c r="D35" t="s">
        <v>124</v>
      </c>
      <c r="E35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5" s="4">
        <v>0</v>
      </c>
      <c r="G35" s="7">
        <v>0</v>
      </c>
      <c r="H35" s="7">
        <v>0</v>
      </c>
      <c r="I35" s="4">
        <v>0</v>
      </c>
      <c r="J35" s="7">
        <v>0</v>
      </c>
      <c r="K35" s="7">
        <v>0</v>
      </c>
      <c r="L35" s="4">
        <v>2</v>
      </c>
      <c r="M35" s="7">
        <v>6.6</v>
      </c>
      <c r="N35" s="7">
        <v>8.6</v>
      </c>
      <c r="O35" s="4">
        <v>0</v>
      </c>
      <c r="P35" s="7">
        <v>0</v>
      </c>
      <c r="Q35" s="7">
        <v>0</v>
      </c>
      <c r="R35" s="4">
        <f>LARGE(CHOOSE({1;2;3;4},F35,I35,L35,O35),1)+LARGE(CHOOSE({1;2;3;4},F35,I35,L35,O35),2)+LARGE(CHOOSE({1;2;3;4},F35,I35,L35,O35),3)</f>
        <v>2</v>
      </c>
      <c r="S35" s="7">
        <f>LARGE(CHOOSE({1;2;3;4},G35,J35,M35,P35),1)+LARGE(CHOOSE({1;2;3;4},G35,J35,M35,P35),2)+LARGE(CHOOSE({1;2;3;4},G35,J35,M35,P35),3)</f>
        <v>6.6</v>
      </c>
      <c r="T35" s="7">
        <f>LARGE(CHOOSE({1;2;3;4},H35,K35,N35,Q35),1)+LARGE(CHOOSE({1;2;3;4},H35,K35,N35,Q35),2)+LARGE(CHOOSE({1;2;3;4},H35,K35,N35,Q35),3)</f>
        <v>8.6</v>
      </c>
      <c r="U35" s="4" cm="1">
        <f t="array" ref="U35">IF(HB[[#This Row],[Number_of_competition]:[Number_of_competition]]&gt;=3,(LARGE(CHOOSE({1;2;3;4},F35,I35,L35,O35),1)+LARGE(CHOOSE({1;2;3;4},F35,I35,L35,O35),2)+LARGE(CHOOSE({1;2;3;4},F35,I35,L35,O35),3))/3,0)</f>
        <v>0</v>
      </c>
      <c r="V35" s="7" cm="1">
        <f t="array" ref="V35">IF(HB[[#This Row],[Number_of_competition]:[Number_of_competition]]&gt;=3,(LARGE(CHOOSE({1;2;3;4},G35,J35,M35,P35),1)+LARGE(CHOOSE({1;2;3;4},G35,J35,M35,P35),2)+LARGE(CHOOSE({1;2;3;4},G35,J35,M35,P35),3))/3,0)</f>
        <v>0</v>
      </c>
      <c r="W35" s="7" cm="1">
        <f t="array" ref="W35">IF(HB[[#This Row],[Number_of_competition]:[Number_of_competition]]&gt;=3,(LARGE(CHOOSE({1;2;3;4},H35,K35,N35,Q35),1)+LARGE(CHOOSE({1;2;3;4},H35,K35,N35,Q35),2)+LARGE(CHOOSE({1;2;3;4},H35,K35,N35,Q35),3))/3,0)</f>
        <v>0</v>
      </c>
    </row>
    <row r="36" spans="1:23" x14ac:dyDescent="0.25">
      <c r="A36" t="s">
        <v>135</v>
      </c>
      <c r="B36" s="2" t="s">
        <v>26</v>
      </c>
      <c r="C36" s="2" t="s">
        <v>136</v>
      </c>
      <c r="D36" t="s">
        <v>124</v>
      </c>
      <c r="E36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6" s="4">
        <v>1.5</v>
      </c>
      <c r="G36" s="7">
        <v>5</v>
      </c>
      <c r="H36" s="7">
        <v>6.5</v>
      </c>
      <c r="I36" s="4">
        <v>0</v>
      </c>
      <c r="J36" s="7">
        <v>0</v>
      </c>
      <c r="K36" s="7">
        <v>0</v>
      </c>
      <c r="L36" s="4">
        <v>0</v>
      </c>
      <c r="M36" s="7">
        <v>0</v>
      </c>
      <c r="N36" s="7">
        <v>0</v>
      </c>
      <c r="O36" s="4">
        <v>0</v>
      </c>
      <c r="P36" s="7">
        <v>0</v>
      </c>
      <c r="Q36" s="7">
        <v>0</v>
      </c>
      <c r="R36" s="4">
        <f>LARGE(CHOOSE({1;2;3;4},F36,I36,L36,O36),1)+LARGE(CHOOSE({1;2;3;4},F36,I36,L36,O36),2)+LARGE(CHOOSE({1;2;3;4},F36,I36,L36,O36),3)</f>
        <v>1.5</v>
      </c>
      <c r="S36" s="7">
        <f>LARGE(CHOOSE({1;2;3;4},G36,J36,M36,P36),1)+LARGE(CHOOSE({1;2;3;4},G36,J36,M36,P36),2)+LARGE(CHOOSE({1;2;3;4},G36,J36,M36,P36),3)</f>
        <v>5</v>
      </c>
      <c r="T36" s="7">
        <f>LARGE(CHOOSE({1;2;3;4},H36,K36,N36,Q36),1)+LARGE(CHOOSE({1;2;3;4},H36,K36,N36,Q36),2)+LARGE(CHOOSE({1;2;3;4},H36,K36,N36,Q36),3)</f>
        <v>6.5</v>
      </c>
      <c r="U36" s="4" cm="1">
        <f t="array" ref="U36">IF(HB[[#This Row],[Number_of_competition]:[Number_of_competition]]&gt;=3,(LARGE(CHOOSE({1;2;3;4},F36,I36,L36,O36),1)+LARGE(CHOOSE({1;2;3;4},F36,I36,L36,O36),2)+LARGE(CHOOSE({1;2;3;4},F36,I36,L36,O36),3))/3,0)</f>
        <v>0</v>
      </c>
      <c r="V36" s="7" cm="1">
        <f t="array" ref="V36">IF(HB[[#This Row],[Number_of_competition]:[Number_of_competition]]&gt;=3,(LARGE(CHOOSE({1;2;3;4},G36,J36,M36,P36),1)+LARGE(CHOOSE({1;2;3;4},G36,J36,M36,P36),2)+LARGE(CHOOSE({1;2;3;4},G36,J36,M36,P36),3))/3,0)</f>
        <v>0</v>
      </c>
      <c r="W36" s="7" cm="1">
        <f t="array" ref="W36">IF(HB[[#This Row],[Number_of_competition]:[Number_of_competition]]&gt;=3,(LARGE(CHOOSE({1;2;3;4},H36,K36,N36,Q36),1)+LARGE(CHOOSE({1;2;3;4},H36,K36,N36,Q36),2)+LARGE(CHOOSE({1;2;3;4},H36,K36,N36,Q36),3))/3,0)</f>
        <v>0</v>
      </c>
    </row>
    <row r="37" spans="1:23" x14ac:dyDescent="0.25">
      <c r="A37" t="s">
        <v>139</v>
      </c>
      <c r="B37" s="2" t="s">
        <v>26</v>
      </c>
      <c r="C37" s="2" t="s">
        <v>140</v>
      </c>
      <c r="D37" t="s">
        <v>124</v>
      </c>
      <c r="E37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7" s="4">
        <v>1</v>
      </c>
      <c r="G37" s="7">
        <v>3.1</v>
      </c>
      <c r="H37" s="7">
        <v>4.0999999999999996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f>LARGE(CHOOSE({1;2;3;4},F37,I37,L37,O37),1)+LARGE(CHOOSE({1;2;3;4},F37,I37,L37,O37),2)+LARGE(CHOOSE({1;2;3;4},F37,I37,L37,O37),3)</f>
        <v>1</v>
      </c>
      <c r="S37" s="7">
        <f>LARGE(CHOOSE({1;2;3;4},G37,J37,M37,P37),1)+LARGE(CHOOSE({1;2;3;4},G37,J37,M37,P37),2)+LARGE(CHOOSE({1;2;3;4},G37,J37,M37,P37),3)</f>
        <v>3.1</v>
      </c>
      <c r="T37" s="7">
        <f>LARGE(CHOOSE({1;2;3;4},H37,K37,N37,Q37),1)+LARGE(CHOOSE({1;2;3;4},H37,K37,N37,Q37),2)+LARGE(CHOOSE({1;2;3;4},H37,K37,N37,Q37),3)</f>
        <v>4.0999999999999996</v>
      </c>
      <c r="U37" s="4" cm="1">
        <f t="array" ref="U37">IF(HB[[#This Row],[Number_of_competition]:[Number_of_competition]]&gt;=3,(LARGE(CHOOSE({1;2;3;4},F37,I37,L37,O37),1)+LARGE(CHOOSE({1;2;3;4},F37,I37,L37,O37),2)+LARGE(CHOOSE({1;2;3;4},F37,I37,L37,O37),3))/3,0)</f>
        <v>0</v>
      </c>
      <c r="V37" s="7" cm="1">
        <f t="array" ref="V37">IF(HB[[#This Row],[Number_of_competition]:[Number_of_competition]]&gt;=3,(LARGE(CHOOSE({1;2;3;4},G37,J37,M37,P37),1)+LARGE(CHOOSE({1;2;3;4},G37,J37,M37,P37),2)+LARGE(CHOOSE({1;2;3;4},G37,J37,M37,P37),3))/3,0)</f>
        <v>0</v>
      </c>
      <c r="W37" s="7" cm="1">
        <f t="array" ref="W37">IF(HB[[#This Row],[Number_of_competition]:[Number_of_competition]]&gt;=3,(LARGE(CHOOSE({1;2;3;4},H37,K37,N37,Q37),1)+LARGE(CHOOSE({1;2;3;4},H37,K37,N37,Q37),2)+LARGE(CHOOSE({1;2;3;4},H37,K37,N37,Q37),3))/3,0)</f>
        <v>0</v>
      </c>
    </row>
    <row r="38" spans="1:23" x14ac:dyDescent="0.25">
      <c r="A38" t="s">
        <v>137</v>
      </c>
      <c r="B38" s="2" t="s">
        <v>26</v>
      </c>
      <c r="C38" s="2" t="s">
        <v>138</v>
      </c>
      <c r="D38" t="s">
        <v>124</v>
      </c>
      <c r="E38" s="6">
        <f>COUNTIF(HB[[#This Row],[bydgoszcz_HB_Total_Score]],"&gt;0")+COUNTIF(HB[[#This Row],[zabrze_HB_Total_Score]],"&gt;0")+COUNTIF(HB[[#This Row],[cracow_HB_Total_Score]],"&gt;0")+COUNTIF(HB[[#This Row],[gdansk_HB_Total_Score]],"&gt;0")</f>
        <v>1</v>
      </c>
      <c r="F38" s="4">
        <v>0.1</v>
      </c>
      <c r="G38" s="7">
        <v>1</v>
      </c>
      <c r="H38" s="7">
        <v>1.1000000000000001</v>
      </c>
      <c r="I38" s="4">
        <v>0</v>
      </c>
      <c r="J38" s="7">
        <v>0</v>
      </c>
      <c r="K38" s="7">
        <v>0</v>
      </c>
      <c r="L38" s="4">
        <v>0</v>
      </c>
      <c r="M38" s="7">
        <v>0</v>
      </c>
      <c r="N38" s="7">
        <v>0</v>
      </c>
      <c r="O38" s="4">
        <v>0</v>
      </c>
      <c r="P38" s="7">
        <v>0</v>
      </c>
      <c r="Q38" s="7">
        <v>0</v>
      </c>
      <c r="R38" s="4">
        <f>LARGE(CHOOSE({1;2;3;4},F38,I38,L38,O38),1)+LARGE(CHOOSE({1;2;3;4},F38,I38,L38,O38),2)+LARGE(CHOOSE({1;2;3;4},F38,I38,L38,O38),3)</f>
        <v>0.1</v>
      </c>
      <c r="S38" s="7">
        <f>LARGE(CHOOSE({1;2;3;4},G38,J38,M38,P38),1)+LARGE(CHOOSE({1;2;3;4},G38,J38,M38,P38),2)+LARGE(CHOOSE({1;2;3;4},G38,J38,M38,P38),3)</f>
        <v>1</v>
      </c>
      <c r="T38" s="7">
        <f>LARGE(CHOOSE({1;2;3;4},H38,K38,N38,Q38),1)+LARGE(CHOOSE({1;2;3;4},H38,K38,N38,Q38),2)+LARGE(CHOOSE({1;2;3;4},H38,K38,N38,Q38),3)</f>
        <v>1.1000000000000001</v>
      </c>
      <c r="U38" s="4" cm="1">
        <f t="array" ref="U38">IF(HB[[#This Row],[Number_of_competition]:[Number_of_competition]]&gt;=3,(LARGE(CHOOSE({1;2;3;4},F38,I38,L38,O38),1)+LARGE(CHOOSE({1;2;3;4},F38,I38,L38,O38),2)+LARGE(CHOOSE({1;2;3;4},F38,I38,L38,O38),3))/3,0)</f>
        <v>0</v>
      </c>
      <c r="V38" s="7" cm="1">
        <f t="array" ref="V38">IF(HB[[#This Row],[Number_of_competition]:[Number_of_competition]]&gt;=3,(LARGE(CHOOSE({1;2;3;4},G38,J38,M38,P38),1)+LARGE(CHOOSE({1;2;3;4},G38,J38,M38,P38),2)+LARGE(CHOOSE({1;2;3;4},G38,J38,M38,P38),3))/3,0)</f>
        <v>0</v>
      </c>
      <c r="W38" s="7" cm="1">
        <f t="array" ref="W38">IF(HB[[#This Row],[Number_of_competition]:[Number_of_competition]]&gt;=3,(LARGE(CHOOSE({1;2;3;4},H38,K38,N38,Q38),1)+LARGE(CHOOSE({1;2;3;4},H38,K38,N38,Q38),2)+LARGE(CHOOSE({1;2;3;4},H38,K38,N38,Q38),3))/3,0)</f>
        <v>0</v>
      </c>
    </row>
    <row r="41" spans="1:23" x14ac:dyDescent="0.25">
      <c r="A41" s="2" t="s">
        <v>244</v>
      </c>
      <c r="B41" s="7" t="s">
        <v>256</v>
      </c>
      <c r="C41" s="7" t="s">
        <v>260</v>
      </c>
      <c r="D41" s="2" t="s">
        <v>255</v>
      </c>
    </row>
    <row r="42" spans="1:23" x14ac:dyDescent="0.25">
      <c r="A42" s="4" cm="1">
        <f t="array" ref="A42">SUM(_xlfn._xlws.FILTER(HB[bydgoszcz_HB_Dscore],HB[Category]="junior"),_xlfn._xlws.FILTER(HB[zabrze_HB_Dscore],HB[Category]="junior"),_xlfn._xlws.FILTER(HB[cracow_HB_Dscore],HB[Category]="junior"),_xlfn._xlws.FILTER(HB[gdansk_HB_Dscore],HB[Category]="junior"))/(COUNTIFS(HB[bydgoszcz_HB_Dscore],"&gt;0",HB[Category],"junior")+COUNTIFS(HB[zabrze_HB_Dscore],"&gt;0",HB[Category],"junior")+COUNTIFS(HB[cracow_HB_Dscore],"&gt;0",HB[Category],"junior")+COUNTIFS(HB[gdansk_HB_Dscore],"&gt;0",HB[Category],"junior"))</f>
        <v>2.406122448979592</v>
      </c>
      <c r="B42" s="4" cm="1">
        <f t="array" ref="B42">_xlfn.STDEV.S(_xlfn._xlws.FILTER(HB[bydgoszcz_HB_Dscore],(HB[Category]="junior")*(HB[bydgoszcz_HB_Dscore])&gt;0),_xlfn._xlws.FILTER(HB[zabrze_HB_Dscore],(HB[Category]="junior")*(HB[zabrze_HB_Dscore])&gt;0),_xlfn._xlws.FILTER(HB[cracow_HB_Dscore],(HB[Category]="junior")*(HB[cracow_HB_Dscore])&gt;0),_xlfn._xlws.FILTER(HB[gdansk_HB_Dscore],(HB[Category]="junior")*(HB[gdansk_HB_Dscore])&gt;0))</f>
        <v>0.67989219833775683</v>
      </c>
      <c r="C42" s="4" cm="1">
        <f t="array" ref="C42">MAX(_xlfn._xlws.FILTER(PB[bydgoszcz_PB_Dscore],PB[Category]="junior"),_xlfn._xlws.FILTER(PB[zabrze_PB_Dscore],PB[Category]="junior"),_xlfn._xlws.FILTER(PB[cracow_PB_Dscore],PB[Category]="junior"),_xlfn._xlws.FILTER(PB[gdansk_PB_Dscore],PB[Category]="junior"))</f>
        <v>4.2</v>
      </c>
      <c r="D42" s="2" t="str" cm="1">
        <f t="array" ref="D42">_xlfn.XLOOKUP(C42,_xlfn._xlws.FILTER(PB[bydgoszcz_PB_Dscore],PB[Category]="junior"),_xlfn._xlws.FILTER(PB[Name],PB[Category]="junior"),_xlfn.XLOOKUP(C42,_xlfn._xlws.FILTER(PB[zabrze_PB_Dscore],PB[Category]="junior"),_xlfn._xlws.FILTER(PB[Name],PB[Category]="junior"),_xlfn.XLOOKUP(C42,_xlfn._xlws.FILTER(PB[cracow_PB_Dscore],PB[Category]="junior"),_xlfn._xlws.FILTER(PB[Name],PB[Category]="junior"),_xlfn.XLOOKUP(C42,_xlfn._xlws.FILTER(PB[gdansk_PB_Dscore],PB[Category]="junior"),_xlfn._xlws.FILTER(PB[Name],PB[Category]="junior")))))</f>
        <v>LEKHAC Tomasz</v>
      </c>
    </row>
    <row r="43" spans="1:23" x14ac:dyDescent="0.25">
      <c r="A43" s="4" cm="1">
        <f t="array" ref="A43">SUM(_xlfn._xlws.FILTER(HB[bydgoszcz_HB_Dscore],HB[Category]="senior"),_xlfn._xlws.FILTER(HB[zabrze_HB_Dscore],HB[Category]="senior"),_xlfn._xlws.FILTER(HB[cracow_HB_Dscore],HB[Category]="senior"),_xlfn._xlws.FILTER(HB[gdansk_HB_Dscore],HB[Category]="senior"))/(COUNTIFS(HB[bydgoszcz_HB_Dscore],"&gt;0",HB[Category],"senior")+COUNTIFS(HB[zabrze_HB_Dscore],"&gt;0",HB[Category],"senior")+COUNTIFS(HB[cracow_HB_Dscore],"&gt;0",HB[Category],"senior")+COUNTIFS(HB[gdansk_HB_Dscore],"&gt;0",HB[Category],"senior"))</f>
        <v>3.1875</v>
      </c>
      <c r="B43" s="4" cm="1">
        <f t="array" ref="B43">_xlfn.STDEV.S(_xlfn._xlws.FILTER(HB[bydgoszcz_HB_Dscore],(HB[Category]="senior")*(HB[bydgoszcz_HB_Dscore])&gt;0),_xlfn._xlws.FILTER(HB[zabrze_HB_Dscore],(HB[Category]="senior")*(HB[zabrze_HB_Dscore])&gt;0),_xlfn._xlws.FILTER(HB[cracow_HB_Dscore],(HB[Category]="senior")*(HB[cracow_HB_Dscore])&gt;0),_xlfn._xlws.FILTER(HB[gdansk_HB_Dscore],(HB[Category]="senior")*(HB[gdansk_HB_Dscore])&gt;0))</f>
        <v>0.86285646349537393</v>
      </c>
      <c r="C43" s="4" cm="1">
        <f t="array" ref="C43">MAX(_xlfn._xlws.FILTER(PB[bydgoszcz_PB_Dscore],PB[Category]="senior"),_xlfn._xlws.FILTER(PB[zabrze_PB_Dscore],PB[Category]="senior"),_xlfn._xlws.FILTER(PB[cracow_PB_Dscore],PB[Category]="senior"),_xlfn._xlws.FILTER(PB[gdansk_PB_Dscore],PB[Category]="senior"))</f>
        <v>5.3</v>
      </c>
      <c r="D43" s="2" t="str" cm="1">
        <f t="array" ref="D43">_xlfn.XLOOKUP(C43,_xlfn._xlws.FILTER(PB[bydgoszcz_PB_Dscore],PB[Category]="senior"),_xlfn._xlws.FILTER(PB[Name],PB[Category]="senior"),_xlfn.XLOOKUP(C43,_xlfn._xlws.FILTER(PB[zabrze_PB_Dscore],PB[Category]="senior"),_xlfn._xlws.FILTER(PB[Name],PB[Category]="senior"),_xlfn.XLOOKUP(C43,_xlfn._xlws.FILTER(PB[cracow_PB_Dscore],PB[Category]="senior"),_xlfn._xlws.FILTER(PB[Name],PB[Category]="senior"),_xlfn.XLOOKUP(C43,_xlfn._xlws.FILTER(PB[gdansk_PB_Dscore],PB[Category]="senior"),_xlfn._xlws.FILTER(PB[Name],PB[Category]="senior")))))</f>
        <v>GARNCZAREK Kacper</v>
      </c>
    </row>
    <row r="44" spans="1:23" x14ac:dyDescent="0.25">
      <c r="A44" s="2"/>
      <c r="B44"/>
      <c r="C44" s="3"/>
      <c r="D44" s="5"/>
    </row>
    <row r="45" spans="1:23" x14ac:dyDescent="0.25">
      <c r="A45" s="2" t="s">
        <v>257</v>
      </c>
      <c r="B45" s="7" t="s">
        <v>258</v>
      </c>
      <c r="C45" s="7" t="s">
        <v>261</v>
      </c>
      <c r="D45" s="2" t="s">
        <v>255</v>
      </c>
    </row>
    <row r="46" spans="1:23" x14ac:dyDescent="0.25">
      <c r="A46" s="7" cm="1">
        <f t="array" ref="A46">SUM(_xlfn._xlws.FILTER(HB[bydgoszcz_HB_Escore],HB[Category]="junior"),_xlfn._xlws.FILTER(HB[zabrze_HB_Escore],HB[Category]="junior"),_xlfn._xlws.FILTER(HB[cracow_HB_Escore],HB[Category]="junior"),_xlfn._xlws.FILTER(HB[gdansk_HB_Escore],HB[Category]="junior"))/(COUNTIFS(HB[bydgoszcz_HB_Escore],"&gt;0",HB[Category],"junior")+COUNTIFS(HB[zabrze_HB_Escore],"&gt;0",HB[Category],"junior")+COUNTIFS(HB[cracow_HB_Escore],"&gt;0",HB[Category],"junior")+COUNTIFS(HB[gdansk_HB_Escore],"&gt;0",HB[Category],"junior"))</f>
        <v>7.4622448979591836</v>
      </c>
      <c r="B46" s="7" cm="1">
        <f t="array" ref="B46">_xlfn.STDEV.S(_xlfn._xlws.FILTER(HB[bydgoszcz_HB_Escore],(HB[Category]="junior")*(HB[bydgoszcz_HB_Escore])&gt;0),_xlfn._xlws.FILTER(HB[zabrze_HB_Escore],(HB[Category]="junior")*(HB[zabrze_HB_Escore])&gt;0),_xlfn._xlws.FILTER(HB[cracow_HB_Escore],(HB[Category]="junior")*(HB[cracow_HB_Escore])&gt;0),_xlfn._xlws.FILTER(HB[gdansk_HB_Escore],(HB[Category]="junior")*(HB[gdansk_HB_Escore])&gt;0))</f>
        <v>1.656443561401604</v>
      </c>
      <c r="C46" s="7" cm="1">
        <f t="array" ref="C46">MAX(_xlfn._xlws.FILTER(PB[bydgoszcz_PB_Escore],PB[Category]="junior"),_xlfn._xlws.FILTER(PB[zabrze_PB_Escore],PB[Category]="junior"),_xlfn._xlws.FILTER(PB[cracow_PB_Escore],PB[Category]="junior"),_xlfn._xlws.FILTER(PB[gdansk_PB_Escore],PB[Category]="junior"))</f>
        <v>9.1</v>
      </c>
      <c r="D46" s="2" t="str" cm="1">
        <f t="array" ref="D46">_xlfn.XLOOKUP(C46,_xlfn._xlws.FILTER(PB[bydgoszcz_PB_Escore],PB[Category]="junior"),_xlfn._xlws.FILTER(PB[Name],PB[Category]="junior"),_xlfn.XLOOKUP(C46,_xlfn._xlws.FILTER(PB[zabrze_PB_Escore],PB[Category]="junior"),_xlfn._xlws.FILTER(PB[Name],PB[Category]="junior"),_xlfn.XLOOKUP(C46,_xlfn._xlws.FILTER(PB[cracow_PB_Escore],PB[Category]="junior"),_xlfn._xlws.FILTER(PB[Name],PB[Category]="junior"),_xlfn.XLOOKUP(C46,_xlfn._xlws.FILTER(PB[gdansk_PB_Escore],PB[Category]="junior"),_xlfn._xlws.FILTER(PB[Name],PB[Category]="junior")))))</f>
        <v>LEKHAC Tomasz</v>
      </c>
    </row>
    <row r="47" spans="1:23" x14ac:dyDescent="0.25">
      <c r="A47" s="7" cm="1">
        <f t="array" ref="A47">SUM(_xlfn._xlws.FILTER(HB[bydgoszcz_HB_Escore],HB[Category]="senior"),_xlfn._xlws.FILTER(HB[zabrze_HB_Escore],HB[Category]="senior"),_xlfn._xlws.FILTER(HB[cracow_HB_Escore],HB[Category]="senior"),_xlfn._xlws.FILTER(HB[gdansk_HB_Escore],HB[Category]="senior"))/(COUNTIFS(HB[bydgoszcz_HB_Escore],"&gt;0",HB[Category],"senior")+COUNTIFS(HB[zabrze_HB_Escore],"&gt;0",HB[Category],"senior")+COUNTIFS(HB[cracow_HB_Escore],"&gt;0",HB[Category],"senior")+COUNTIFS(HB[gdansk_HB_Escore],"&gt;0",HB[Category],"senior"))</f>
        <v>7.4031249999999984</v>
      </c>
      <c r="B47" s="7" cm="1">
        <f t="array" ref="B47">_xlfn.STDEV.S(_xlfn._xlws.FILTER(HB[bydgoszcz_HB_Escore],(HB[Category]="senior")*(HB[bydgoszcz_HB_Escore])&gt;0),_xlfn._xlws.FILTER(HB[zabrze_HB_Escore],(HB[Category]="senior")*(HB[zabrze_HB_Escore])&gt;0),_xlfn._xlws.FILTER(HB[cracow_HB_Escore],(HB[Category]="senior")*(HB[cracow_HB_Escore])&gt;0),_xlfn._xlws.FILTER(HB[gdansk_HB_Escore],(HB[Category]="senior")*(HB[gdansk_HB_Escore])&gt;0))</f>
        <v>1.2906128451078793</v>
      </c>
      <c r="C47" s="7" cm="1">
        <f t="array" ref="C47">MAX(_xlfn._xlws.FILTER(PB[bydgoszcz_PB_Escore],PB[Category]="senior"),_xlfn._xlws.FILTER(PB[zabrze_PB_Escore],PB[Category]="senior"),_xlfn._xlws.FILTER(PB[cracow_PB_Escore],PB[Category]="senior"),_xlfn._xlws.FILTER(PB[gdansk_PB_Escore],PB[Category]="senior"))</f>
        <v>9.35</v>
      </c>
      <c r="D47" s="2" t="str" cm="1">
        <f t="array" ref="D47">_xlfn.XLOOKUP(C47,_xlfn._xlws.FILTER(PB[bydgoszcz_PB_Escore],PB[Category]="senior"),_xlfn._xlws.FILTER(PB[Name],PB[Category]="senior"),_xlfn.XLOOKUP(C47,_xlfn._xlws.FILTER(PB[zabrze_PB_Escore],PB[Category]="senior"),_xlfn._xlws.FILTER(PB[Name],PB[Category]="senior"),_xlfn.XLOOKUP(C47,_xlfn._xlws.FILTER(PB[cracow_PB_Escore],PB[Category]="senior"),_xlfn._xlws.FILTER(PB[Name],PB[Category]="senior"),_xlfn.XLOOKUP(C47,_xlfn._xlws.FILTER(PB[gdansk_PB_Escore],PB[Category]="senior"),_xlfn._xlws.FILTER(PB[Name],PB[Category]="senior")))))</f>
        <v>WROŃSKI Filip</v>
      </c>
    </row>
    <row r="48" spans="1:23" x14ac:dyDescent="0.25">
      <c r="A48" s="2"/>
      <c r="B48"/>
      <c r="C48" s="3"/>
      <c r="D48" s="5"/>
    </row>
    <row r="49" spans="1:4" x14ac:dyDescent="0.25">
      <c r="A49" s="2" t="s">
        <v>246</v>
      </c>
      <c r="B49" s="2" t="s">
        <v>259</v>
      </c>
      <c r="C49" s="7" t="s">
        <v>262</v>
      </c>
      <c r="D49" s="2" t="s">
        <v>255</v>
      </c>
    </row>
    <row r="50" spans="1:4" x14ac:dyDescent="0.25">
      <c r="A50" s="7" cm="1">
        <f t="array" ref="A50">SUM(_xlfn._xlws.FILTER(HB[bydgoszcz_HB_Total_Score],HB[Category]="junior"),_xlfn._xlws.FILTER(HB[zabrze_HB_Total_Score],HB[Category]="junior"),_xlfn._xlws.FILTER(HB[cracow_HB_Total_Score],HB[Category]="junior"),_xlfn._xlws.FILTER(HB[gdansk_HB_Total_Score],HB[Category]="junior"))/(COUNTIFS(HB[bydgoszcz_HB_Total_Score],"&gt;0",HB[Category],"junior")+COUNTIFS(HB[zabrze_HB_Total_Score],"&gt;0",HB[Category],"junior")+COUNTIFS(HB[cracow_HB_Total_Score],"&gt;0",HB[Category],"junior")+COUNTIFS(HB[gdansk_HB_Total_Score],"&gt;0",HB[Category],"junior"))</f>
        <v>9.8683673469387774</v>
      </c>
      <c r="B50" s="7" cm="1">
        <f t="array" ref="B50">_xlfn.STDEV.S(_xlfn._xlws.FILTER(HB[bydgoszcz_HB_Total_Score],(HB[Category]="junior")*(HB[bydgoszcz_HB_Total_Score])&gt;0),_xlfn._xlws.FILTER(HB[zabrze_HB_Total_Score],(HB[Category]="junior")*(HB[zabrze_HB_Total_Score])&gt;0),_xlfn._xlws.FILTER(HB[cracow_HB_Total_Score],(HB[Category]="junior")*(HB[cracow_HB_Total_Score])&gt;0),_xlfn._xlws.FILTER(HB[gdansk_HB_Total_Score],(HB[Category]="junior")*(HB[gdansk_HB_Total_Score])&gt;0))</f>
        <v>2.0639437845004838</v>
      </c>
      <c r="C50" s="7" cm="1">
        <f t="array" ref="C50">MAX(_xlfn._xlws.FILTER(PB[bydgoszcz_PB_Total_Score],PB[Category]="junior"),_xlfn._xlws.FILTER(PB[zabrze_PB_Total_Score],PB[Category]="junior"),_xlfn._xlws.FILTER(PB[cracow_PB_Total_Score],PB[Category]="junior"),_xlfn._xlws.FILTER(PB[gdansk_PB_Total_Score],PB[Category]="junior"))</f>
        <v>13.3</v>
      </c>
      <c r="D50" s="2" t="str" cm="1">
        <f t="array" ref="D50">_xlfn.XLOOKUP(C50,_xlfn._xlws.FILTER(PB[bydgoszcz_PB_Total_Score],PB[Category]="junior"),_xlfn._xlws.FILTER(PB[Name],PB[Category]="junior"),_xlfn.XLOOKUP(C50,_xlfn._xlws.FILTER(PB[zabrze_PB_Total_Score],PB[Category]="junior"),_xlfn._xlws.FILTER(PB[Name],PB[Category]="junior"),_xlfn.XLOOKUP(C50,_xlfn._xlws.FILTER(PB[cracow_PB_Total_Score],PB[Category]="junior"),_xlfn._xlws.FILTER(PB[Name],PB[Category]="junior"),_xlfn.XLOOKUP(C50,_xlfn._xlws.FILTER(PB[gdansk_PB_Total_Score],PB[Category]="junior"),_xlfn._xlws.FILTER(PB[Name],PB[Category]="junior")))))</f>
        <v>LEKHAC Tomasz</v>
      </c>
    </row>
    <row r="51" spans="1:4" x14ac:dyDescent="0.25">
      <c r="A51" s="7" cm="1">
        <f t="array" ref="A51">SUM(_xlfn._xlws.FILTER(HB[bydgoszcz_HB_Total_Score],HB[Category]="senior"),_xlfn._xlws.FILTER(HB[zabrze_HB_Total_Score],HB[Category]="senior"),_xlfn._xlws.FILTER(HB[cracow_HB_Total_Score],HB[Category]="senior"),_xlfn._xlws.FILTER(HB[gdansk_HB_Total_Score],HB[Category]="senior"))/(COUNTIFS(HB[bydgoszcz_HB_Total_Score],"&gt;0",HB[Category],"senior")+COUNTIFS(HB[zabrze_HB_Total_Score],"&gt;0",HB[Category],"senior")+COUNTIFS(HB[cracow_HB_Total_Score],"&gt;0",HB[Category],"senior")+COUNTIFS(HB[gdansk_HB_Total_Score],"&gt;0",HB[Category],"senior"))</f>
        <v>10.590624999999999</v>
      </c>
      <c r="B51" s="7" cm="1">
        <f t="array" ref="B51">_xlfn.STDEV.S(_xlfn._xlws.FILTER(HB[bydgoszcz_HB_Total_Score],(HB[Category]="senior")*(HB[bydgoszcz_HB_Total_Score])&gt;0),_xlfn._xlws.FILTER(HB[zabrze_HB_Total_Score],(HB[Category]="senior")*(HB[zabrze_HB_Total_Score])&gt;0),_xlfn._xlws.FILTER(HB[cracow_HB_Total_Score],(HB[Category]="senior")*(HB[cracow_HB_Total_Score])&gt;0),_xlfn._xlws.FILTER(HB[gdansk_HB_Total_Score],(HB[Category]="senior")*(HB[gdansk_HB_Total_Score])&gt;0))</f>
        <v>1.6950069431226658</v>
      </c>
      <c r="C51" s="7" cm="1">
        <f t="array" ref="C51">MAX(_xlfn._xlws.FILTER(PB[bydgoszcz_PB_Total_Score],PB[Category]="senior"),_xlfn._xlws.FILTER(PB[zabrze_PB_Total_Score],PB[Category]="senior"),_xlfn._xlws.FILTER(PB[cracow_PB_Total_Score],PB[Category]="senior"),_xlfn._xlws.FILTER(PB[gdansk_PB_Total_Score],PB[Category]="senior"))</f>
        <v>13.4</v>
      </c>
      <c r="D51" s="2" t="str" cm="1">
        <f t="array" ref="D51">_xlfn.XLOOKUP(C51,_xlfn._xlws.FILTER(PB[bydgoszcz_PB_Total_Score],PB[Category]="senior"),_xlfn._xlws.FILTER(PB[Name],PB[Category]="senior"),_xlfn.XLOOKUP(C51,_xlfn._xlws.FILTER(PB[zabrze_PB_Total_Score],PB[Category]="senior"),_xlfn._xlws.FILTER(PB[Name],PB[Category]="senior"),_xlfn.XLOOKUP(C51,_xlfn._xlws.FILTER(PB[cracow_PB_Total_Score],PB[Category]="senior"),_xlfn._xlws.FILTER(PB[Name],PB[Category]="senior"),_xlfn.XLOOKUP(C51,_xlfn._xlws.FILTER(PB[gdansk_PB_Total_Score],PB[Category]="senior"),_xlfn._xlws.FILTER(PB[Name],PB[Category]="senior")))))</f>
        <v>SASNAL Filip</v>
      </c>
    </row>
  </sheetData>
  <conditionalFormatting sqref="F2:W38">
    <cfRule type="cellIs" dxfId="1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0802-9EC6-2A47-AD7E-AC059655761E}">
  <sheetPr>
    <tabColor theme="5" tint="0.39997558519241921"/>
  </sheetPr>
  <dimension ref="A1:CU69"/>
  <sheetViews>
    <sheetView tabSelected="1" zoomScale="62" zoomScaleNormal="62" workbookViewId="0">
      <selection activeCell="CR39" sqref="CR39"/>
    </sheetView>
  </sheetViews>
  <sheetFormatPr defaultColWidth="11" defaultRowHeight="15.75" x14ac:dyDescent="0.25"/>
  <cols>
    <col min="1" max="1" width="22.125" bestFit="1" customWidth="1"/>
    <col min="2" max="2" width="17" style="2" bestFit="1" customWidth="1"/>
    <col min="3" max="3" width="17" bestFit="1" customWidth="1"/>
    <col min="4" max="4" width="25.125" bestFit="1" customWidth="1"/>
    <col min="5" max="5" width="8" customWidth="1"/>
    <col min="6" max="6" width="8" style="4" customWidth="1"/>
    <col min="7" max="8" width="8" style="7" customWidth="1"/>
    <col min="9" max="9" width="8" style="4" customWidth="1"/>
    <col min="10" max="11" width="8" style="7" customWidth="1"/>
    <col min="12" max="12" width="8" style="4" customWidth="1"/>
    <col min="13" max="14" width="8" style="7" customWidth="1"/>
    <col min="15" max="15" width="8" style="4" customWidth="1"/>
    <col min="16" max="17" width="8" style="7" customWidth="1"/>
    <col min="18" max="18" width="8" style="4" customWidth="1"/>
    <col min="19" max="20" width="8" style="7" customWidth="1"/>
    <col min="21" max="21" width="8" style="4" customWidth="1"/>
    <col min="22" max="23" width="8" style="7" customWidth="1"/>
    <col min="24" max="24" width="8" style="2" customWidth="1"/>
    <col min="25" max="28" width="8" style="7" customWidth="1"/>
    <col min="29" max="99" width="8" style="2" customWidth="1"/>
  </cols>
  <sheetData>
    <row r="1" spans="1:99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264</v>
      </c>
      <c r="F1" s="2" t="s">
        <v>145</v>
      </c>
      <c r="G1" s="2" t="s">
        <v>146</v>
      </c>
      <c r="H1" s="2" t="s">
        <v>147</v>
      </c>
      <c r="I1" s="2" t="s">
        <v>157</v>
      </c>
      <c r="J1" s="2" t="s">
        <v>158</v>
      </c>
      <c r="K1" s="2" t="s">
        <v>159</v>
      </c>
      <c r="L1" s="2" t="s">
        <v>169</v>
      </c>
      <c r="M1" s="2" t="s">
        <v>170</v>
      </c>
      <c r="N1" s="2" t="s">
        <v>171</v>
      </c>
      <c r="O1" s="2" t="s">
        <v>181</v>
      </c>
      <c r="P1" s="2" t="s">
        <v>182</v>
      </c>
      <c r="Q1" s="2" t="s">
        <v>183</v>
      </c>
      <c r="R1" s="2" t="s">
        <v>193</v>
      </c>
      <c r="S1" s="2" t="s">
        <v>194</v>
      </c>
      <c r="T1" s="2" t="s">
        <v>195</v>
      </c>
      <c r="U1" s="2" t="s">
        <v>205</v>
      </c>
      <c r="V1" s="2" t="s">
        <v>206</v>
      </c>
      <c r="W1" s="2" t="s">
        <v>207</v>
      </c>
      <c r="X1" s="2" t="s">
        <v>229</v>
      </c>
      <c r="Y1" s="2" t="s">
        <v>222</v>
      </c>
      <c r="Z1" s="2" t="s">
        <v>223</v>
      </c>
      <c r="AA1" s="2" t="s">
        <v>265</v>
      </c>
      <c r="AB1" s="2" t="s">
        <v>148</v>
      </c>
      <c r="AC1" s="2" t="s">
        <v>149</v>
      </c>
      <c r="AD1" s="2" t="s">
        <v>150</v>
      </c>
      <c r="AE1" s="2" t="s">
        <v>160</v>
      </c>
      <c r="AF1" s="2" t="s">
        <v>161</v>
      </c>
      <c r="AG1" s="2" t="s">
        <v>162</v>
      </c>
      <c r="AH1" s="2" t="s">
        <v>172</v>
      </c>
      <c r="AI1" s="2" t="s">
        <v>173</v>
      </c>
      <c r="AJ1" s="2" t="s">
        <v>174</v>
      </c>
      <c r="AK1" s="2" t="s">
        <v>184</v>
      </c>
      <c r="AL1" s="2" t="s">
        <v>185</v>
      </c>
      <c r="AM1" s="2" t="s">
        <v>186</v>
      </c>
      <c r="AN1" s="2" t="s">
        <v>196</v>
      </c>
      <c r="AO1" s="2" t="s">
        <v>197</v>
      </c>
      <c r="AP1" s="2" t="s">
        <v>198</v>
      </c>
      <c r="AQ1" s="2" t="s">
        <v>208</v>
      </c>
      <c r="AR1" s="2" t="s">
        <v>209</v>
      </c>
      <c r="AS1" s="2" t="s">
        <v>210</v>
      </c>
      <c r="AT1" s="2" t="s">
        <v>230</v>
      </c>
      <c r="AU1" s="2" t="s">
        <v>231</v>
      </c>
      <c r="AV1" s="2" t="s">
        <v>224</v>
      </c>
      <c r="AW1" s="2" t="s">
        <v>267</v>
      </c>
      <c r="AX1" s="2" t="s">
        <v>151</v>
      </c>
      <c r="AY1" s="2" t="s">
        <v>152</v>
      </c>
      <c r="AZ1" s="2" t="s">
        <v>153</v>
      </c>
      <c r="BA1" s="2" t="s">
        <v>163</v>
      </c>
      <c r="BB1" s="2" t="s">
        <v>164</v>
      </c>
      <c r="BC1" s="2" t="s">
        <v>165</v>
      </c>
      <c r="BD1" s="2" t="s">
        <v>175</v>
      </c>
      <c r="BE1" s="2" t="s">
        <v>176</v>
      </c>
      <c r="BF1" s="2" t="s">
        <v>177</v>
      </c>
      <c r="BG1" s="2" t="s">
        <v>187</v>
      </c>
      <c r="BH1" s="2" t="s">
        <v>188</v>
      </c>
      <c r="BI1" s="2" t="s">
        <v>189</v>
      </c>
      <c r="BJ1" s="2" t="s">
        <v>199</v>
      </c>
      <c r="BK1" s="2" t="s">
        <v>200</v>
      </c>
      <c r="BL1" s="2" t="s">
        <v>201</v>
      </c>
      <c r="BM1" s="2" t="s">
        <v>211</v>
      </c>
      <c r="BN1" s="2" t="s">
        <v>212</v>
      </c>
      <c r="BO1" s="2" t="s">
        <v>213</v>
      </c>
      <c r="BP1" s="2" t="s">
        <v>232</v>
      </c>
      <c r="BQ1" s="2" t="s">
        <v>263</v>
      </c>
      <c r="BR1" s="2" t="s">
        <v>225</v>
      </c>
      <c r="BS1" s="7" t="s">
        <v>266</v>
      </c>
      <c r="BT1" s="2" t="s">
        <v>154</v>
      </c>
      <c r="BU1" s="2" t="s">
        <v>155</v>
      </c>
      <c r="BV1" s="2" t="s">
        <v>156</v>
      </c>
      <c r="BW1" s="2" t="s">
        <v>166</v>
      </c>
      <c r="BX1" s="2" t="s">
        <v>167</v>
      </c>
      <c r="BY1" s="2" t="s">
        <v>168</v>
      </c>
      <c r="BZ1" s="2" t="s">
        <v>178</v>
      </c>
      <c r="CA1" s="2" t="s">
        <v>179</v>
      </c>
      <c r="CB1" s="2" t="s">
        <v>180</v>
      </c>
      <c r="CC1" s="2" t="s">
        <v>190</v>
      </c>
      <c r="CD1" s="2" t="s">
        <v>191</v>
      </c>
      <c r="CE1" s="2" t="s">
        <v>192</v>
      </c>
      <c r="CF1" s="2" t="s">
        <v>202</v>
      </c>
      <c r="CG1" s="2" t="s">
        <v>203</v>
      </c>
      <c r="CH1" s="2" t="s">
        <v>204</v>
      </c>
      <c r="CI1" s="2" t="s">
        <v>214</v>
      </c>
      <c r="CJ1" s="2" t="s">
        <v>215</v>
      </c>
      <c r="CK1" s="2" t="s">
        <v>216</v>
      </c>
      <c r="CL1" s="2" t="s">
        <v>233</v>
      </c>
      <c r="CM1" s="2" t="s">
        <v>234</v>
      </c>
      <c r="CN1" s="2" t="s">
        <v>226</v>
      </c>
      <c r="CO1" s="2" t="s">
        <v>268</v>
      </c>
      <c r="CP1" s="2" t="s">
        <v>276</v>
      </c>
      <c r="CQ1" s="2" t="s">
        <v>277</v>
      </c>
      <c r="CR1" s="2" t="s">
        <v>278</v>
      </c>
      <c r="CS1" s="2" t="s">
        <v>273</v>
      </c>
      <c r="CT1" s="2" t="s">
        <v>274</v>
      </c>
      <c r="CU1" s="2" t="s">
        <v>275</v>
      </c>
    </row>
    <row r="2" spans="1:99" x14ac:dyDescent="0.25">
      <c r="A2" t="s">
        <v>59</v>
      </c>
      <c r="B2" s="2" t="s">
        <v>60</v>
      </c>
      <c r="C2" s="2" t="s">
        <v>61</v>
      </c>
      <c r="D2" t="s">
        <v>62</v>
      </c>
      <c r="E2" s="2">
        <f>SUM(COUNTIF(AA[[#This Row],[Bydgoszcz_all_around]],"Yes"),COUNTIF(AA[[#This Row],[Zabrze_all_around]],"Yes"),COUNTIF(AA[[#This Row],[Cracow_all_around]],"Yes"),COUNTIF(AA[[#This Row],[Gdansk_all_Around]],"Yes"))</f>
        <v>3</v>
      </c>
      <c r="F2" s="4">
        <v>0</v>
      </c>
      <c r="G2" s="7">
        <v>0</v>
      </c>
      <c r="H2" s="7">
        <v>0</v>
      </c>
      <c r="I2" s="4">
        <v>0</v>
      </c>
      <c r="J2" s="7">
        <v>0</v>
      </c>
      <c r="K2" s="7">
        <v>0</v>
      </c>
      <c r="L2" s="4">
        <v>0</v>
      </c>
      <c r="M2" s="7">
        <v>0</v>
      </c>
      <c r="N2" s="7">
        <v>0</v>
      </c>
      <c r="O2" s="4">
        <v>0</v>
      </c>
      <c r="P2" s="7">
        <v>0</v>
      </c>
      <c r="Q2" s="7">
        <v>0</v>
      </c>
      <c r="R2" s="4">
        <v>0</v>
      </c>
      <c r="S2" s="7">
        <v>0</v>
      </c>
      <c r="T2" s="7">
        <v>0</v>
      </c>
      <c r="U2" s="4">
        <v>0</v>
      </c>
      <c r="V2" s="7">
        <v>0</v>
      </c>
      <c r="W2" s="7">
        <v>0</v>
      </c>
      <c r="X2" s="4">
        <f>SUM(F2,I2,L2,O2,R2,U2)</f>
        <v>0</v>
      </c>
      <c r="Y2" s="7">
        <f>SUM(G2,J2,M2,P2,S2,V2)</f>
        <v>0</v>
      </c>
      <c r="Z2" s="7">
        <f>SUM(H2,K2,N2,Q2,T2,W2)</f>
        <v>0</v>
      </c>
      <c r="AA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" s="4">
        <v>5.3</v>
      </c>
      <c r="AC2" s="7">
        <v>8.15</v>
      </c>
      <c r="AD2" s="7">
        <v>13.45</v>
      </c>
      <c r="AE2" s="4">
        <v>4.9000000000000004</v>
      </c>
      <c r="AF2" s="7">
        <v>7.4</v>
      </c>
      <c r="AG2" s="7">
        <v>12.3</v>
      </c>
      <c r="AH2" s="4">
        <v>4.0999999999999996</v>
      </c>
      <c r="AI2" s="7">
        <v>8.35</v>
      </c>
      <c r="AJ2" s="7">
        <v>12.45</v>
      </c>
      <c r="AK2" s="4">
        <v>4.4000000000000004</v>
      </c>
      <c r="AL2" s="7">
        <v>9.1</v>
      </c>
      <c r="AM2" s="7">
        <v>13.5</v>
      </c>
      <c r="AN2" s="4">
        <v>5</v>
      </c>
      <c r="AO2" s="7">
        <v>7.45</v>
      </c>
      <c r="AP2" s="7">
        <v>12.45</v>
      </c>
      <c r="AQ2" s="4">
        <v>4.5999999999999996</v>
      </c>
      <c r="AR2" s="7">
        <v>7.4</v>
      </c>
      <c r="AS2" s="7">
        <v>12</v>
      </c>
      <c r="AT2" s="4">
        <f>SUM(AB2,AE2,AH2,AK2,AN2,AQ2)</f>
        <v>28.299999999999997</v>
      </c>
      <c r="AU2" s="7">
        <f>SUM(AC2,AF2,AI2,AL2,AO2,AR2)</f>
        <v>47.85</v>
      </c>
      <c r="AV2" s="7">
        <f>SUM(AD2,AG2,AJ2,AM2,AP2,AS2)</f>
        <v>76.150000000000006</v>
      </c>
      <c r="AW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2" s="4">
        <v>5.3</v>
      </c>
      <c r="AY2" s="7">
        <v>7.25</v>
      </c>
      <c r="AZ2" s="7">
        <v>12.55</v>
      </c>
      <c r="BA2" s="4">
        <v>5.2</v>
      </c>
      <c r="BB2" s="7">
        <v>7.7</v>
      </c>
      <c r="BC2" s="7">
        <v>12.9</v>
      </c>
      <c r="BD2" s="4">
        <v>4.0999999999999996</v>
      </c>
      <c r="BE2" s="7">
        <v>8.1</v>
      </c>
      <c r="BF2" s="7">
        <v>12.2</v>
      </c>
      <c r="BG2" s="4">
        <v>4.4000000000000004</v>
      </c>
      <c r="BH2" s="7">
        <v>9.15</v>
      </c>
      <c r="BI2" s="7">
        <v>13.55</v>
      </c>
      <c r="BJ2" s="4">
        <v>5.3</v>
      </c>
      <c r="BK2" s="7">
        <v>6.6</v>
      </c>
      <c r="BL2" s="7">
        <v>11.9</v>
      </c>
      <c r="BM2" s="4">
        <v>4.5999999999999996</v>
      </c>
      <c r="BN2" s="7">
        <v>8.15</v>
      </c>
      <c r="BO2" s="7">
        <v>12.75</v>
      </c>
      <c r="BP2" s="4">
        <f>SUM(AX2,BA2,BD2,BG2,BJ2,BM2)</f>
        <v>28.9</v>
      </c>
      <c r="BQ2" s="7">
        <f>SUM(AY2,BB2,BE2,BH2,BK2,BN2)</f>
        <v>46.949999999999996</v>
      </c>
      <c r="BR2" s="7">
        <f>SUM(AZ2,BC2,BF2,BI2,BL2,BO2)</f>
        <v>75.849999999999994</v>
      </c>
      <c r="BS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2" s="4">
        <v>5.4</v>
      </c>
      <c r="BU2" s="7">
        <v>7.4</v>
      </c>
      <c r="BV2" s="7">
        <v>12.8</v>
      </c>
      <c r="BW2" s="4">
        <v>4.9000000000000004</v>
      </c>
      <c r="BX2" s="7">
        <v>6</v>
      </c>
      <c r="BY2" s="7">
        <v>10.9</v>
      </c>
      <c r="BZ2" s="4">
        <v>2.8</v>
      </c>
      <c r="CA2" s="7">
        <v>9.1999999999999993</v>
      </c>
      <c r="CB2" s="7">
        <v>12</v>
      </c>
      <c r="CC2" s="4">
        <v>4.4000000000000004</v>
      </c>
      <c r="CD2" s="7">
        <v>8.3000000000000007</v>
      </c>
      <c r="CE2" s="7">
        <v>12.7</v>
      </c>
      <c r="CF2" s="4">
        <v>5.3</v>
      </c>
      <c r="CG2" s="7">
        <v>7</v>
      </c>
      <c r="CH2" s="7">
        <v>12.3</v>
      </c>
      <c r="CI2" s="4">
        <v>4.9000000000000004</v>
      </c>
      <c r="CJ2" s="7">
        <v>6.9</v>
      </c>
      <c r="CK2" s="7">
        <v>11.8</v>
      </c>
      <c r="CL2" s="4">
        <f>SUM(BT2,BW2,BZ2,CC2,CF2,CI2)</f>
        <v>27.700000000000003</v>
      </c>
      <c r="CM2" s="7">
        <f>SUM(BU2,BX2,CA2,CD2,CG2,CJ2)</f>
        <v>44.800000000000004</v>
      </c>
      <c r="CN2" s="7">
        <f>SUM(BV2,BY2,CB2,CE2,CH2,CK2)</f>
        <v>72.5</v>
      </c>
      <c r="CO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84.9</v>
      </c>
      <c r="CQ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139.6</v>
      </c>
      <c r="CR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224.5</v>
      </c>
      <c r="CS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28.3</v>
      </c>
      <c r="CT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46.533333333333331</v>
      </c>
      <c r="CU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74.833333333333329</v>
      </c>
    </row>
    <row r="3" spans="1:99" x14ac:dyDescent="0.25">
      <c r="A3" t="s">
        <v>63</v>
      </c>
      <c r="B3" s="2" t="s">
        <v>60</v>
      </c>
      <c r="C3" s="2" t="s">
        <v>64</v>
      </c>
      <c r="D3" t="s">
        <v>39</v>
      </c>
      <c r="E3" s="2">
        <f>SUM(COUNTIF(AA[[#This Row],[Bydgoszcz_all_around]],"Yes"),COUNTIF(AA[[#This Row],[Zabrze_all_around]],"Yes"),COUNTIF(AA[[#This Row],[Cracow_all_around]],"Yes"),COUNTIF(AA[[#This Row],[Gdansk_all_Around]],"Yes"))</f>
        <v>4</v>
      </c>
      <c r="F3" s="4">
        <v>5.8</v>
      </c>
      <c r="G3" s="7">
        <v>7.8</v>
      </c>
      <c r="H3" s="7">
        <v>13.6</v>
      </c>
      <c r="I3" s="4">
        <v>4.4000000000000004</v>
      </c>
      <c r="J3" s="7">
        <v>7.1</v>
      </c>
      <c r="K3" s="7">
        <v>11.5</v>
      </c>
      <c r="L3" s="4">
        <v>4.5999999999999996</v>
      </c>
      <c r="M3" s="7">
        <v>7.2</v>
      </c>
      <c r="N3" s="7">
        <v>11.8</v>
      </c>
      <c r="O3" s="4">
        <v>4.8</v>
      </c>
      <c r="P3" s="7">
        <v>8.6999999999999993</v>
      </c>
      <c r="Q3" s="7">
        <v>13.5</v>
      </c>
      <c r="R3" s="4">
        <v>4.2</v>
      </c>
      <c r="S3" s="7">
        <v>8.6</v>
      </c>
      <c r="T3" s="7">
        <v>12.8</v>
      </c>
      <c r="U3" s="4">
        <v>4.4000000000000004</v>
      </c>
      <c r="V3" s="7">
        <v>8</v>
      </c>
      <c r="W3" s="7">
        <v>12.4</v>
      </c>
      <c r="X3" s="4">
        <f>SUM(F3,I3,L3,O3,R3,U3)</f>
        <v>28.199999999999996</v>
      </c>
      <c r="Y3" s="7">
        <f>SUM(G3,J3,M3,P3,S3,V3)</f>
        <v>47.4</v>
      </c>
      <c r="Z3" s="7">
        <f>SUM(H3,K3,N3,Q3,T3,W3)</f>
        <v>75.600000000000009</v>
      </c>
      <c r="AA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3" s="4">
        <v>6</v>
      </c>
      <c r="AC3" s="7">
        <v>6.6</v>
      </c>
      <c r="AD3" s="7">
        <v>12.6</v>
      </c>
      <c r="AE3" s="4">
        <v>4.5999999999999996</v>
      </c>
      <c r="AF3" s="7">
        <v>6.4</v>
      </c>
      <c r="AG3" s="7">
        <v>11</v>
      </c>
      <c r="AH3" s="4">
        <v>3.9</v>
      </c>
      <c r="AI3" s="7">
        <v>8.1</v>
      </c>
      <c r="AJ3" s="7">
        <v>12</v>
      </c>
      <c r="AK3" s="4">
        <v>5.2</v>
      </c>
      <c r="AL3" s="7">
        <v>9.6</v>
      </c>
      <c r="AM3" s="7">
        <v>14.8</v>
      </c>
      <c r="AN3" s="4">
        <v>4.2</v>
      </c>
      <c r="AO3" s="7">
        <v>8.1999999999999993</v>
      </c>
      <c r="AP3" s="7">
        <v>12.4</v>
      </c>
      <c r="AQ3" s="4">
        <v>4.4000000000000004</v>
      </c>
      <c r="AR3" s="7">
        <v>6.8</v>
      </c>
      <c r="AS3" s="7">
        <v>11.2</v>
      </c>
      <c r="AT3" s="4">
        <f>SUM(AB3,AE3,AH3,AK3,AN3,AQ3)</f>
        <v>28.299999999999997</v>
      </c>
      <c r="AU3" s="7">
        <f>SUM(AC3,AF3,AI3,AL3,AO3,AR3)</f>
        <v>45.7</v>
      </c>
      <c r="AV3" s="7">
        <f>SUM(AD3,AG3,AJ3,AM3,AP3,AS3)</f>
        <v>74</v>
      </c>
      <c r="AW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3" s="4">
        <v>5.6</v>
      </c>
      <c r="AY3" s="7">
        <v>7.65</v>
      </c>
      <c r="AZ3" s="7">
        <v>13.25</v>
      </c>
      <c r="BA3" s="4">
        <v>4.4000000000000004</v>
      </c>
      <c r="BB3" s="7">
        <v>7</v>
      </c>
      <c r="BC3" s="7">
        <v>11.4</v>
      </c>
      <c r="BD3" s="4">
        <v>4.3</v>
      </c>
      <c r="BE3" s="7">
        <v>7.85</v>
      </c>
      <c r="BF3" s="7">
        <v>12.15</v>
      </c>
      <c r="BG3" s="4">
        <v>5.2</v>
      </c>
      <c r="BH3" s="7">
        <v>8.0500000000000007</v>
      </c>
      <c r="BI3" s="7">
        <v>13.25</v>
      </c>
      <c r="BJ3" s="4">
        <v>4.2</v>
      </c>
      <c r="BK3" s="7">
        <v>8.8000000000000007</v>
      </c>
      <c r="BL3" s="7">
        <v>13</v>
      </c>
      <c r="BM3" s="4">
        <v>4.4000000000000004</v>
      </c>
      <c r="BN3" s="7">
        <v>8.4</v>
      </c>
      <c r="BO3" s="7">
        <v>12.8</v>
      </c>
      <c r="BP3" s="4">
        <f>SUM(AX3,BA3,BD3,BG3,BJ3,BM3)</f>
        <v>28.1</v>
      </c>
      <c r="BQ3" s="7">
        <f>SUM(AY3,BB3,BE3,BH3,BK3,BN3)</f>
        <v>47.75</v>
      </c>
      <c r="BR3" s="7">
        <f>SUM(AZ3,BC3,BF3,BI3,BL3,BO3)</f>
        <v>75.849999999999994</v>
      </c>
      <c r="BS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3" s="4">
        <v>5.6</v>
      </c>
      <c r="BU3" s="7">
        <v>6.65</v>
      </c>
      <c r="BV3" s="7">
        <v>12.25</v>
      </c>
      <c r="BW3" s="4">
        <v>4.4000000000000004</v>
      </c>
      <c r="BX3" s="7">
        <v>5</v>
      </c>
      <c r="BY3" s="7">
        <v>9.4</v>
      </c>
      <c r="BZ3" s="4">
        <v>4.2</v>
      </c>
      <c r="CA3" s="7">
        <v>8</v>
      </c>
      <c r="CB3" s="7">
        <v>12.2</v>
      </c>
      <c r="CC3" s="4">
        <v>4.8</v>
      </c>
      <c r="CD3" s="7">
        <v>8.3000000000000007</v>
      </c>
      <c r="CE3" s="7">
        <v>13.1</v>
      </c>
      <c r="CF3" s="4">
        <v>4.2</v>
      </c>
      <c r="CG3" s="7">
        <v>9.1999999999999993</v>
      </c>
      <c r="CH3" s="7">
        <v>13.4</v>
      </c>
      <c r="CI3" s="4">
        <v>4.2</v>
      </c>
      <c r="CJ3" s="7">
        <v>8</v>
      </c>
      <c r="CK3" s="7">
        <v>12.2</v>
      </c>
      <c r="CL3" s="4">
        <f>SUM(BT3,BW3,BZ3,CC3,CF3,CI3)</f>
        <v>27.4</v>
      </c>
      <c r="CM3" s="7">
        <f>SUM(BU3,BX3,CA3,CD3,CG3,CJ3)</f>
        <v>45.15</v>
      </c>
      <c r="CN3" s="7">
        <f>SUM(BV3,BY3,CB3,CE3,CH3,CK3)</f>
        <v>72.55</v>
      </c>
      <c r="CO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84.6</v>
      </c>
      <c r="CQ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140.85000000000002</v>
      </c>
      <c r="CR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225.45</v>
      </c>
      <c r="CS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28.2</v>
      </c>
      <c r="CT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46.95000000000001</v>
      </c>
      <c r="CU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75.149999999999991</v>
      </c>
    </row>
    <row r="4" spans="1:99" x14ac:dyDescent="0.25">
      <c r="A4" t="s">
        <v>77</v>
      </c>
      <c r="B4" s="2" t="s">
        <v>60</v>
      </c>
      <c r="C4" s="2" t="s">
        <v>78</v>
      </c>
      <c r="D4" t="s">
        <v>79</v>
      </c>
      <c r="E4" s="2">
        <f>SUM(COUNTIF(AA[[#This Row],[Bydgoszcz_all_around]],"Yes"),COUNTIF(AA[[#This Row],[Zabrze_all_around]],"Yes"),COUNTIF(AA[[#This Row],[Cracow_all_around]],"Yes"),COUNTIF(AA[[#This Row],[Gdansk_all_Around]],"Yes"))</f>
        <v>4</v>
      </c>
      <c r="F4" s="4">
        <v>4.2</v>
      </c>
      <c r="G4" s="7">
        <v>6.3</v>
      </c>
      <c r="H4" s="7">
        <v>10.5</v>
      </c>
      <c r="I4" s="4">
        <v>3.9</v>
      </c>
      <c r="J4" s="7">
        <v>7.8</v>
      </c>
      <c r="K4" s="7">
        <v>11.7</v>
      </c>
      <c r="L4" s="4">
        <v>4</v>
      </c>
      <c r="M4" s="7">
        <v>7.3</v>
      </c>
      <c r="N4" s="7">
        <v>11.3</v>
      </c>
      <c r="O4" s="4">
        <v>3.6</v>
      </c>
      <c r="P4" s="7">
        <v>7.8</v>
      </c>
      <c r="Q4" s="7">
        <v>11.4</v>
      </c>
      <c r="R4" s="4">
        <v>4</v>
      </c>
      <c r="S4" s="7">
        <v>8.15</v>
      </c>
      <c r="T4" s="7">
        <v>12.15</v>
      </c>
      <c r="U4" s="4">
        <v>3</v>
      </c>
      <c r="V4" s="7">
        <v>7.2</v>
      </c>
      <c r="W4" s="7">
        <v>10.199999999999999</v>
      </c>
      <c r="X4" s="4">
        <f>SUM(F4,I4,L4,O4,R4,U4)</f>
        <v>22.7</v>
      </c>
      <c r="Y4" s="7">
        <f>SUM(G4,J4,M4,P4,S4,V4)</f>
        <v>44.550000000000004</v>
      </c>
      <c r="Z4" s="7">
        <f>SUM(H4,K4,N4,Q4,T4,W4)</f>
        <v>67.25</v>
      </c>
      <c r="AA4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4" s="4">
        <v>3.9</v>
      </c>
      <c r="AC4" s="7">
        <v>7.85</v>
      </c>
      <c r="AD4" s="7">
        <v>11.75</v>
      </c>
      <c r="AE4" s="4">
        <v>3.8</v>
      </c>
      <c r="AF4" s="7">
        <v>6.2</v>
      </c>
      <c r="AG4" s="7">
        <v>10</v>
      </c>
      <c r="AH4" s="4">
        <v>3.8</v>
      </c>
      <c r="AI4" s="7">
        <v>8.4</v>
      </c>
      <c r="AJ4" s="7">
        <v>12.2</v>
      </c>
      <c r="AK4" s="4">
        <v>3.2</v>
      </c>
      <c r="AL4" s="7">
        <v>9.15</v>
      </c>
      <c r="AM4" s="7">
        <v>12.35</v>
      </c>
      <c r="AN4" s="4">
        <v>3.8</v>
      </c>
      <c r="AO4" s="7">
        <v>8.75</v>
      </c>
      <c r="AP4" s="7">
        <v>12.55</v>
      </c>
      <c r="AQ4" s="4">
        <v>2.6</v>
      </c>
      <c r="AR4" s="7">
        <v>7.5</v>
      </c>
      <c r="AS4" s="7">
        <v>10.1</v>
      </c>
      <c r="AT4" s="4">
        <f>SUM(AB4,AE4,AH4,AK4,AN4,AQ4)</f>
        <v>21.1</v>
      </c>
      <c r="AU4" s="7">
        <f>SUM(AC4,AF4,AI4,AL4,AO4,AR4)</f>
        <v>47.85</v>
      </c>
      <c r="AV4" s="7">
        <f>SUM(AD4,AG4,AJ4,AM4,AP4,AS4)</f>
        <v>68.95</v>
      </c>
      <c r="AW4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4" s="4">
        <v>3.9</v>
      </c>
      <c r="AY4" s="7">
        <v>8</v>
      </c>
      <c r="AZ4" s="7">
        <v>11.9</v>
      </c>
      <c r="BA4" s="4">
        <v>3.7</v>
      </c>
      <c r="BB4" s="7">
        <v>7</v>
      </c>
      <c r="BC4" s="7">
        <v>10.7</v>
      </c>
      <c r="BD4" s="4">
        <v>3.8</v>
      </c>
      <c r="BE4" s="7">
        <v>8.0500000000000007</v>
      </c>
      <c r="BF4" s="7">
        <v>11.85</v>
      </c>
      <c r="BG4" s="4">
        <v>3.2</v>
      </c>
      <c r="BH4" s="7">
        <v>9.0500000000000007</v>
      </c>
      <c r="BI4" s="7">
        <v>12.25</v>
      </c>
      <c r="BJ4" s="4">
        <v>3.8</v>
      </c>
      <c r="BK4" s="7">
        <v>8.5</v>
      </c>
      <c r="BL4" s="7">
        <v>12.3</v>
      </c>
      <c r="BM4" s="4">
        <v>3</v>
      </c>
      <c r="BN4" s="7">
        <v>8.1</v>
      </c>
      <c r="BO4" s="7">
        <v>11.1</v>
      </c>
      <c r="BP4" s="4">
        <f>SUM(AX4,BA4,BD4,BG4,BJ4,BM4)</f>
        <v>21.4</v>
      </c>
      <c r="BQ4" s="7">
        <f>SUM(AY4,BB4,BE4,BH4,BK4,BN4)</f>
        <v>48.7</v>
      </c>
      <c r="BR4" s="7">
        <f>SUM(AZ4,BC4,BF4,BI4,BL4,BO4)</f>
        <v>70.099999999999994</v>
      </c>
      <c r="BS4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4" s="4">
        <v>3.8</v>
      </c>
      <c r="BU4" s="7">
        <v>7.4</v>
      </c>
      <c r="BV4" s="7">
        <v>11.2</v>
      </c>
      <c r="BW4" s="4">
        <v>3.1</v>
      </c>
      <c r="BX4" s="7">
        <v>7.6</v>
      </c>
      <c r="BY4" s="7">
        <v>10.7</v>
      </c>
      <c r="BZ4" s="4">
        <v>3.4</v>
      </c>
      <c r="CA4" s="7">
        <v>6</v>
      </c>
      <c r="CB4" s="7">
        <v>9.4</v>
      </c>
      <c r="CC4" s="4">
        <v>3.2</v>
      </c>
      <c r="CD4" s="7">
        <v>8.3000000000000007</v>
      </c>
      <c r="CE4" s="7">
        <v>11.5</v>
      </c>
      <c r="CF4" s="4">
        <v>3.1</v>
      </c>
      <c r="CG4" s="7">
        <v>6.9</v>
      </c>
      <c r="CH4" s="7">
        <v>10</v>
      </c>
      <c r="CI4" s="4">
        <v>2.6</v>
      </c>
      <c r="CJ4" s="7">
        <v>7.3</v>
      </c>
      <c r="CK4" s="7">
        <v>9.9</v>
      </c>
      <c r="CL4" s="4">
        <f>SUM(BT4,BW4,BZ4,CC4,CF4,CI4)</f>
        <v>19.200000000000003</v>
      </c>
      <c r="CM4" s="7">
        <f>SUM(BU4,BX4,CA4,CD4,CG4,CJ4)</f>
        <v>43.5</v>
      </c>
      <c r="CN4" s="7">
        <f>SUM(BV4,BY4,CB4,CE4,CH4,CK4)</f>
        <v>62.699999999999996</v>
      </c>
      <c r="CO4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65.199999999999989</v>
      </c>
      <c r="CQ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141.10000000000002</v>
      </c>
      <c r="CR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206.3</v>
      </c>
      <c r="CS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21.733333333333331</v>
      </c>
      <c r="CT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47.033333333333339</v>
      </c>
      <c r="CU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68.766666666666666</v>
      </c>
    </row>
    <row r="5" spans="1:99" x14ac:dyDescent="0.25">
      <c r="A5" t="s">
        <v>68</v>
      </c>
      <c r="B5" s="2" t="s">
        <v>60</v>
      </c>
      <c r="C5" s="2" t="s">
        <v>69</v>
      </c>
      <c r="D5" t="s">
        <v>31</v>
      </c>
      <c r="E5" s="2">
        <f>SUM(COUNTIF(AA[[#This Row],[Bydgoszcz_all_around]],"Yes"),COUNTIF(AA[[#This Row],[Zabrze_all_around]],"Yes"),COUNTIF(AA[[#This Row],[Cracow_all_around]],"Yes"),COUNTIF(AA[[#This Row],[Gdansk_all_Around]],"Yes"))</f>
        <v>3</v>
      </c>
      <c r="F5" s="4">
        <v>0</v>
      </c>
      <c r="G5" s="7">
        <v>0</v>
      </c>
      <c r="H5" s="7">
        <v>0</v>
      </c>
      <c r="I5" s="4">
        <v>0</v>
      </c>
      <c r="J5" s="7">
        <v>0</v>
      </c>
      <c r="K5" s="7">
        <v>0</v>
      </c>
      <c r="L5" s="4">
        <v>3.2</v>
      </c>
      <c r="M5" s="7">
        <v>7.4</v>
      </c>
      <c r="N5" s="7">
        <v>10.6</v>
      </c>
      <c r="O5" s="4">
        <v>0</v>
      </c>
      <c r="P5" s="7">
        <v>0</v>
      </c>
      <c r="Q5" s="7">
        <v>0</v>
      </c>
      <c r="R5" s="4">
        <v>2.7</v>
      </c>
      <c r="S5" s="7">
        <v>6.85</v>
      </c>
      <c r="T5" s="7">
        <v>9.5500000000000007</v>
      </c>
      <c r="U5" s="4">
        <v>2.1</v>
      </c>
      <c r="V5" s="7">
        <v>8.4</v>
      </c>
      <c r="W5" s="7">
        <v>10.5</v>
      </c>
      <c r="X5" s="4">
        <f>SUM(F5,I5,L5,O5,R5,U5)</f>
        <v>8</v>
      </c>
      <c r="Y5" s="7">
        <f>SUM(G5,J5,M5,P5,S5,V5)</f>
        <v>22.65</v>
      </c>
      <c r="Z5" s="7">
        <f>SUM(H5,K5,N5,Q5,T5,W5)</f>
        <v>30.65</v>
      </c>
      <c r="AA5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5" s="4">
        <v>4.2</v>
      </c>
      <c r="AC5" s="7">
        <v>8.35</v>
      </c>
      <c r="AD5" s="7">
        <v>12.55</v>
      </c>
      <c r="AE5" s="4">
        <v>3.8</v>
      </c>
      <c r="AF5" s="7">
        <v>7.75</v>
      </c>
      <c r="AG5" s="7">
        <v>11.55</v>
      </c>
      <c r="AH5" s="4">
        <v>3.8</v>
      </c>
      <c r="AI5" s="7">
        <v>7.7</v>
      </c>
      <c r="AJ5" s="7">
        <v>11.5</v>
      </c>
      <c r="AK5" s="4">
        <v>4</v>
      </c>
      <c r="AL5" s="7">
        <v>9.6</v>
      </c>
      <c r="AM5" s="7">
        <v>13.6</v>
      </c>
      <c r="AN5" s="4">
        <v>3.5</v>
      </c>
      <c r="AO5" s="7">
        <v>8.6999999999999993</v>
      </c>
      <c r="AP5" s="7">
        <v>12.2</v>
      </c>
      <c r="AQ5" s="4">
        <v>2.2000000000000002</v>
      </c>
      <c r="AR5" s="7">
        <v>7.85</v>
      </c>
      <c r="AS5" s="7">
        <v>10.050000000000001</v>
      </c>
      <c r="AT5" s="4">
        <f>SUM(AB5,AE5,AH5,AK5,AN5,AQ5)</f>
        <v>21.5</v>
      </c>
      <c r="AU5" s="7">
        <f>SUM(AC5,AF5,AI5,AL5,AO5,AR5)</f>
        <v>49.949999999999996</v>
      </c>
      <c r="AV5" s="7">
        <f>SUM(AD5,AG5,AJ5,AM5,AP5,AS5)</f>
        <v>71.45</v>
      </c>
      <c r="AW5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5" s="4">
        <v>4.5</v>
      </c>
      <c r="AY5" s="7">
        <v>8</v>
      </c>
      <c r="AZ5" s="7">
        <v>12.5</v>
      </c>
      <c r="BA5" s="4">
        <v>3.8</v>
      </c>
      <c r="BB5" s="7">
        <v>8</v>
      </c>
      <c r="BC5" s="7">
        <v>11.8</v>
      </c>
      <c r="BD5" s="4">
        <v>3.8</v>
      </c>
      <c r="BE5" s="7">
        <v>8.5500000000000007</v>
      </c>
      <c r="BF5" s="7">
        <v>12.35</v>
      </c>
      <c r="BG5" s="4">
        <v>4</v>
      </c>
      <c r="BH5" s="7">
        <v>9.35</v>
      </c>
      <c r="BI5" s="7">
        <v>13.35</v>
      </c>
      <c r="BJ5" s="4">
        <v>3.4</v>
      </c>
      <c r="BK5" s="7">
        <v>8.75</v>
      </c>
      <c r="BL5" s="7">
        <v>12.15</v>
      </c>
      <c r="BM5" s="4">
        <v>2.6</v>
      </c>
      <c r="BN5" s="7">
        <v>8.9</v>
      </c>
      <c r="BO5" s="7">
        <v>11.5</v>
      </c>
      <c r="BP5" s="4">
        <f>SUM(AX5,BA5,BD5,BG5,BJ5,BM5)</f>
        <v>22.1</v>
      </c>
      <c r="BQ5" s="7">
        <f>SUM(AY5,BB5,BE5,BH5,BK5,BN5)</f>
        <v>51.55</v>
      </c>
      <c r="BR5" s="7">
        <f>SUM(AZ5,BC5,BF5,BI5,BL5,BO5)</f>
        <v>73.650000000000006</v>
      </c>
      <c r="BS5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5" s="4">
        <v>4</v>
      </c>
      <c r="BU5" s="7">
        <v>6.3</v>
      </c>
      <c r="BV5" s="7">
        <v>10.3</v>
      </c>
      <c r="BW5" s="4">
        <v>3.2</v>
      </c>
      <c r="BX5" s="7">
        <v>7.4</v>
      </c>
      <c r="BY5" s="7">
        <v>10.6</v>
      </c>
      <c r="BZ5" s="4">
        <v>3.7</v>
      </c>
      <c r="CA5" s="7">
        <v>7.3</v>
      </c>
      <c r="CB5" s="7">
        <v>11</v>
      </c>
      <c r="CC5" s="4">
        <v>4</v>
      </c>
      <c r="CD5" s="7">
        <v>8.8000000000000007</v>
      </c>
      <c r="CE5" s="7">
        <v>12.8</v>
      </c>
      <c r="CF5" s="4">
        <v>3.2</v>
      </c>
      <c r="CG5" s="7">
        <v>5.8</v>
      </c>
      <c r="CH5" s="7">
        <v>9</v>
      </c>
      <c r="CI5" s="4">
        <v>2.6</v>
      </c>
      <c r="CJ5" s="7">
        <v>7.6</v>
      </c>
      <c r="CK5" s="7">
        <v>10.199999999999999</v>
      </c>
      <c r="CL5" s="4">
        <f>SUM(BT5,BW5,BZ5,CC5,CF5,CI5)</f>
        <v>20.700000000000003</v>
      </c>
      <c r="CM5" s="7">
        <f>SUM(BU5,BX5,CA5,CD5,CG5,CJ5)</f>
        <v>43.2</v>
      </c>
      <c r="CN5" s="7">
        <f>SUM(BV5,BY5,CB5,CE5,CH5,CK5)</f>
        <v>63.900000000000006</v>
      </c>
      <c r="CO5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64.300000000000011</v>
      </c>
      <c r="CQ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144.69999999999999</v>
      </c>
      <c r="CR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209.00000000000003</v>
      </c>
      <c r="CS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21.433333333333337</v>
      </c>
      <c r="CT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48.233333333333327</v>
      </c>
      <c r="CU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69.666666666666671</v>
      </c>
    </row>
    <row r="6" spans="1:99" x14ac:dyDescent="0.25">
      <c r="A6" t="s">
        <v>80</v>
      </c>
      <c r="B6" s="2" t="s">
        <v>60</v>
      </c>
      <c r="C6" s="2" t="s">
        <v>81</v>
      </c>
      <c r="D6" t="s">
        <v>62</v>
      </c>
      <c r="E6" s="2">
        <f>SUM(COUNTIF(AA[[#This Row],[Bydgoszcz_all_around]],"Yes"),COUNTIF(AA[[#This Row],[Zabrze_all_around]],"Yes"),COUNTIF(AA[[#This Row],[Cracow_all_around]],"Yes"),COUNTIF(AA[[#This Row],[Gdansk_all_Around]],"Yes"))</f>
        <v>4</v>
      </c>
      <c r="F6" s="4">
        <v>3.6</v>
      </c>
      <c r="G6" s="7">
        <v>9</v>
      </c>
      <c r="H6" s="7">
        <v>12.6</v>
      </c>
      <c r="I6" s="4">
        <v>3.6</v>
      </c>
      <c r="J6" s="7">
        <v>7.55</v>
      </c>
      <c r="K6" s="7">
        <v>11.15</v>
      </c>
      <c r="L6" s="4">
        <v>3.9</v>
      </c>
      <c r="M6" s="7">
        <v>6.4</v>
      </c>
      <c r="N6" s="7">
        <v>10.3</v>
      </c>
      <c r="O6" s="4">
        <v>3.6</v>
      </c>
      <c r="P6" s="7">
        <v>8.4</v>
      </c>
      <c r="Q6" s="7">
        <v>12</v>
      </c>
      <c r="R6" s="4">
        <v>3.7</v>
      </c>
      <c r="S6" s="7">
        <v>8.4499999999999993</v>
      </c>
      <c r="T6" s="7">
        <v>12.15</v>
      </c>
      <c r="U6" s="4">
        <v>3</v>
      </c>
      <c r="V6" s="7">
        <v>7.6</v>
      </c>
      <c r="W6" s="7">
        <v>10.6</v>
      </c>
      <c r="X6" s="4">
        <f>SUM(F6,I6,L6,O6,R6,U6)</f>
        <v>21.4</v>
      </c>
      <c r="Y6" s="7">
        <f>SUM(G6,J6,M6,P6,S6,V6)</f>
        <v>47.4</v>
      </c>
      <c r="Z6" s="7">
        <f>SUM(H6,K6,N6,Q6,T6,W6)</f>
        <v>68.8</v>
      </c>
      <c r="AA6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6" s="4">
        <v>3.4</v>
      </c>
      <c r="AC6" s="7">
        <v>8.6999999999999993</v>
      </c>
      <c r="AD6" s="7">
        <v>12.1</v>
      </c>
      <c r="AE6" s="4">
        <v>4.0999999999999996</v>
      </c>
      <c r="AF6" s="7">
        <v>6.7</v>
      </c>
      <c r="AG6" s="7">
        <v>10.8</v>
      </c>
      <c r="AH6" s="4">
        <v>3.7</v>
      </c>
      <c r="AI6" s="7">
        <v>7.9</v>
      </c>
      <c r="AJ6" s="7">
        <v>11.6</v>
      </c>
      <c r="AK6" s="4">
        <v>3.6</v>
      </c>
      <c r="AL6" s="7">
        <v>8.15</v>
      </c>
      <c r="AM6" s="7">
        <v>11.75</v>
      </c>
      <c r="AN6" s="4">
        <v>3.6</v>
      </c>
      <c r="AO6" s="7">
        <v>8.65</v>
      </c>
      <c r="AP6" s="7">
        <v>12.25</v>
      </c>
      <c r="AQ6" s="4">
        <v>2.5</v>
      </c>
      <c r="AR6" s="7">
        <v>7.9</v>
      </c>
      <c r="AS6" s="7">
        <v>10.4</v>
      </c>
      <c r="AT6" s="4">
        <f>SUM(AB6,AE6,AH6,AK6,AN6,AQ6)</f>
        <v>20.9</v>
      </c>
      <c r="AU6" s="7">
        <f>SUM(AC6,AF6,AI6,AL6,AO6,AR6)</f>
        <v>47.999999999999993</v>
      </c>
      <c r="AV6" s="7">
        <f>SUM(AD6,AG6,AJ6,AM6,AP6,AS6)</f>
        <v>68.900000000000006</v>
      </c>
      <c r="AW6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6" s="4">
        <v>3.6</v>
      </c>
      <c r="AY6" s="7">
        <v>8.4</v>
      </c>
      <c r="AZ6" s="7">
        <v>12</v>
      </c>
      <c r="BA6" s="4">
        <v>3.6</v>
      </c>
      <c r="BB6" s="7">
        <v>8</v>
      </c>
      <c r="BC6" s="7">
        <v>11.6</v>
      </c>
      <c r="BD6" s="4">
        <v>3.9</v>
      </c>
      <c r="BE6" s="7">
        <v>8.1999999999999993</v>
      </c>
      <c r="BF6" s="7">
        <v>12.1</v>
      </c>
      <c r="BG6" s="4">
        <v>4</v>
      </c>
      <c r="BH6" s="7">
        <v>8.65</v>
      </c>
      <c r="BI6" s="7">
        <v>12.65</v>
      </c>
      <c r="BJ6" s="4">
        <v>4</v>
      </c>
      <c r="BK6" s="7">
        <v>8.85</v>
      </c>
      <c r="BL6" s="7">
        <v>12.85</v>
      </c>
      <c r="BM6" s="4">
        <v>2.5</v>
      </c>
      <c r="BN6" s="7">
        <v>7.2</v>
      </c>
      <c r="BO6" s="7">
        <v>9.6999999999999993</v>
      </c>
      <c r="BP6" s="4">
        <f>SUM(AX6,BA6,BD6,BG6,BJ6,BM6)</f>
        <v>21.6</v>
      </c>
      <c r="BQ6" s="7">
        <f>SUM(AY6,BB6,BE6,BH6,BK6,BN6)</f>
        <v>49.300000000000004</v>
      </c>
      <c r="BR6" s="7">
        <f>SUM(AZ6,BC6,BF6,BI6,BL6,BO6)</f>
        <v>70.900000000000006</v>
      </c>
      <c r="BS6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6" s="4">
        <v>3.6</v>
      </c>
      <c r="BU6" s="7">
        <v>7.45</v>
      </c>
      <c r="BV6" s="7">
        <v>11.05</v>
      </c>
      <c r="BW6" s="4">
        <v>4.0999999999999996</v>
      </c>
      <c r="BX6" s="7">
        <v>6.7</v>
      </c>
      <c r="BY6" s="7">
        <v>10.8</v>
      </c>
      <c r="BZ6" s="4">
        <v>3.5</v>
      </c>
      <c r="CA6" s="7">
        <v>8.3000000000000007</v>
      </c>
      <c r="CB6" s="7">
        <v>11.8</v>
      </c>
      <c r="CC6" s="4">
        <v>2.4</v>
      </c>
      <c r="CD6" s="7">
        <v>8.3000000000000007</v>
      </c>
      <c r="CE6" s="7">
        <v>10.7</v>
      </c>
      <c r="CF6" s="4">
        <v>2.7</v>
      </c>
      <c r="CG6" s="7">
        <v>6</v>
      </c>
      <c r="CH6" s="7">
        <v>8.6999999999999993</v>
      </c>
      <c r="CI6" s="4">
        <v>2.2000000000000002</v>
      </c>
      <c r="CJ6" s="7">
        <v>1</v>
      </c>
      <c r="CK6" s="7">
        <v>3.2</v>
      </c>
      <c r="CL6" s="4">
        <f>SUM(BT6,BW6,BZ6,CC6,CF6,CI6)</f>
        <v>18.5</v>
      </c>
      <c r="CM6" s="7">
        <f>SUM(BU6,BX6,CA6,CD6,CG6,CJ6)</f>
        <v>37.75</v>
      </c>
      <c r="CN6" s="7">
        <f>SUM(BV6,BY6,CB6,CE6,CH6,CK6)</f>
        <v>56.250000000000014</v>
      </c>
      <c r="CO6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63.9</v>
      </c>
      <c r="CQ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144.69999999999999</v>
      </c>
      <c r="CR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208.60000000000002</v>
      </c>
      <c r="CS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21.3</v>
      </c>
      <c r="CT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48.233333333333327</v>
      </c>
      <c r="CU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69.533333333333346</v>
      </c>
    </row>
    <row r="7" spans="1:99" x14ac:dyDescent="0.25">
      <c r="A7" t="s">
        <v>73</v>
      </c>
      <c r="B7" s="2" t="s">
        <v>60</v>
      </c>
      <c r="C7" s="2" t="s">
        <v>74</v>
      </c>
      <c r="D7" t="s">
        <v>62</v>
      </c>
      <c r="E7" s="2">
        <f>SUM(COUNTIF(AA[[#This Row],[Bydgoszcz_all_around]],"Yes"),COUNTIF(AA[[#This Row],[Zabrze_all_around]],"Yes"),COUNTIF(AA[[#This Row],[Cracow_all_around]],"Yes"),COUNTIF(AA[[#This Row],[Gdansk_all_Around]],"Yes"))</f>
        <v>4</v>
      </c>
      <c r="F7" s="4">
        <v>4.7</v>
      </c>
      <c r="G7" s="7">
        <v>8.1</v>
      </c>
      <c r="H7" s="7">
        <v>12.8</v>
      </c>
      <c r="I7" s="4">
        <v>3</v>
      </c>
      <c r="J7" s="7">
        <v>6.3</v>
      </c>
      <c r="K7" s="7">
        <v>9.3000000000000007</v>
      </c>
      <c r="L7" s="4">
        <v>2.7</v>
      </c>
      <c r="M7" s="7">
        <v>7.7</v>
      </c>
      <c r="N7" s="7">
        <v>10.4</v>
      </c>
      <c r="O7" s="4">
        <v>4</v>
      </c>
      <c r="P7" s="7">
        <v>8.6</v>
      </c>
      <c r="Q7" s="7">
        <v>12.6</v>
      </c>
      <c r="R7" s="4">
        <v>3.5</v>
      </c>
      <c r="S7" s="7">
        <v>8</v>
      </c>
      <c r="T7" s="7">
        <v>11.5</v>
      </c>
      <c r="U7" s="4">
        <v>3.1</v>
      </c>
      <c r="V7" s="7">
        <v>7.3</v>
      </c>
      <c r="W7" s="7">
        <v>10.4</v>
      </c>
      <c r="X7" s="4">
        <f>SUM(F7,I7,L7,O7,R7,U7)</f>
        <v>21</v>
      </c>
      <c r="Y7" s="7">
        <f>SUM(G7,J7,M7,P7,S7,V7)</f>
        <v>45.999999999999993</v>
      </c>
      <c r="Z7" s="7">
        <f>SUM(H7,K7,N7,Q7,T7,W7)</f>
        <v>67</v>
      </c>
      <c r="AA7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7" s="4">
        <v>4.7</v>
      </c>
      <c r="AC7" s="7">
        <v>8.6999999999999993</v>
      </c>
      <c r="AD7" s="7">
        <v>13.4</v>
      </c>
      <c r="AE7" s="4">
        <v>3</v>
      </c>
      <c r="AF7" s="7">
        <v>7.5</v>
      </c>
      <c r="AG7" s="7">
        <v>10.5</v>
      </c>
      <c r="AH7" s="4">
        <v>2.5</v>
      </c>
      <c r="AI7" s="7">
        <v>8.15</v>
      </c>
      <c r="AJ7" s="7">
        <v>10.65</v>
      </c>
      <c r="AK7" s="4">
        <v>4</v>
      </c>
      <c r="AL7" s="7">
        <v>9.1</v>
      </c>
      <c r="AM7" s="7">
        <v>13.1</v>
      </c>
      <c r="AN7" s="4">
        <v>4.0999999999999996</v>
      </c>
      <c r="AO7" s="7">
        <v>7.9</v>
      </c>
      <c r="AP7" s="7">
        <v>12</v>
      </c>
      <c r="AQ7" s="4">
        <v>2.7</v>
      </c>
      <c r="AR7" s="7">
        <v>7.55</v>
      </c>
      <c r="AS7" s="7">
        <v>10.25</v>
      </c>
      <c r="AT7" s="4">
        <f>SUM(AB7,AE7,AH7,AK7,AN7,AQ7)</f>
        <v>20.999999999999996</v>
      </c>
      <c r="AU7" s="7">
        <f>SUM(AC7,AF7,AI7,AL7,AO7,AR7)</f>
        <v>48.9</v>
      </c>
      <c r="AV7" s="7">
        <f>SUM(AD7,AG7,AJ7,AM7,AP7,AS7)</f>
        <v>69.900000000000006</v>
      </c>
      <c r="AW7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7" s="4">
        <v>4.5</v>
      </c>
      <c r="AY7" s="7">
        <v>8.15</v>
      </c>
      <c r="AZ7" s="7">
        <v>12.65</v>
      </c>
      <c r="BA7" s="4">
        <v>3.1</v>
      </c>
      <c r="BB7" s="7">
        <v>3.05</v>
      </c>
      <c r="BC7" s="7">
        <v>6.15</v>
      </c>
      <c r="BD7" s="4">
        <v>2.8</v>
      </c>
      <c r="BE7" s="7">
        <v>7.1</v>
      </c>
      <c r="BF7" s="7">
        <v>9.9</v>
      </c>
      <c r="BG7" s="4">
        <v>4</v>
      </c>
      <c r="BH7" s="7">
        <v>9.35</v>
      </c>
      <c r="BI7" s="7">
        <v>13.35</v>
      </c>
      <c r="BJ7" s="4">
        <v>3.7</v>
      </c>
      <c r="BK7" s="7">
        <v>6.85</v>
      </c>
      <c r="BL7" s="7">
        <v>10.55</v>
      </c>
      <c r="BM7" s="4">
        <v>2.7</v>
      </c>
      <c r="BN7" s="7">
        <v>8.1999999999999993</v>
      </c>
      <c r="BO7" s="7">
        <v>10.9</v>
      </c>
      <c r="BP7" s="4">
        <f>SUM(AX7,BA7,BD7,BG7,BJ7,BM7)</f>
        <v>20.799999999999997</v>
      </c>
      <c r="BQ7" s="7">
        <f>SUM(AY7,BB7,BE7,BH7,BK7,BN7)</f>
        <v>42.7</v>
      </c>
      <c r="BR7" s="7">
        <f>SUM(AZ7,BC7,BF7,BI7,BL7,BO7)</f>
        <v>63.500000000000007</v>
      </c>
      <c r="BS7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7" s="4">
        <v>4.7</v>
      </c>
      <c r="BU7" s="7">
        <v>6.7</v>
      </c>
      <c r="BV7" s="7">
        <v>11.4</v>
      </c>
      <c r="BW7" s="4">
        <v>2.9</v>
      </c>
      <c r="BX7" s="7">
        <v>7.1</v>
      </c>
      <c r="BY7" s="7">
        <v>10</v>
      </c>
      <c r="BZ7" s="4">
        <v>2.7</v>
      </c>
      <c r="CA7" s="7">
        <v>7.4</v>
      </c>
      <c r="CB7" s="7">
        <v>10.1</v>
      </c>
      <c r="CC7" s="4">
        <v>4</v>
      </c>
      <c r="CD7" s="7">
        <v>8.6999999999999993</v>
      </c>
      <c r="CE7" s="7">
        <v>12.7</v>
      </c>
      <c r="CF7" s="4">
        <v>3.6</v>
      </c>
      <c r="CG7" s="7">
        <v>7.4</v>
      </c>
      <c r="CH7" s="7">
        <v>11</v>
      </c>
      <c r="CI7" s="4">
        <v>2.6</v>
      </c>
      <c r="CJ7" s="7">
        <v>5.8</v>
      </c>
      <c r="CK7" s="7">
        <v>8.4</v>
      </c>
      <c r="CL7" s="4">
        <f>SUM(BT7,BW7,BZ7,CC7,CF7,CI7)</f>
        <v>20.500000000000004</v>
      </c>
      <c r="CM7" s="7">
        <f>SUM(BU7,BX7,CA7,CD7,CG7,CJ7)</f>
        <v>43.1</v>
      </c>
      <c r="CN7" s="7">
        <f>SUM(BV7,BY7,CB7,CE7,CH7,CK7)</f>
        <v>63.6</v>
      </c>
      <c r="CO7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62.8</v>
      </c>
      <c r="CQ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138</v>
      </c>
      <c r="CR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200.5</v>
      </c>
      <c r="CS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20.933333333333334</v>
      </c>
      <c r="CT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46</v>
      </c>
      <c r="CU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66.833333333333329</v>
      </c>
    </row>
    <row r="8" spans="1:99" x14ac:dyDescent="0.25">
      <c r="A8" t="s">
        <v>84</v>
      </c>
      <c r="B8" s="2" t="s">
        <v>60</v>
      </c>
      <c r="C8" s="2" t="s">
        <v>85</v>
      </c>
      <c r="D8" t="s">
        <v>39</v>
      </c>
      <c r="E8" s="2">
        <f>SUM(COUNTIF(AA[[#This Row],[Bydgoszcz_all_around]],"Yes"),COUNTIF(AA[[#This Row],[Zabrze_all_around]],"Yes"),COUNTIF(AA[[#This Row],[Cracow_all_around]],"Yes"),COUNTIF(AA[[#This Row],[Gdansk_all_Around]],"Yes"))</f>
        <v>4</v>
      </c>
      <c r="F8" s="4">
        <v>4.5</v>
      </c>
      <c r="G8" s="7">
        <v>7.35</v>
      </c>
      <c r="H8" s="7">
        <v>11.85</v>
      </c>
      <c r="I8" s="4">
        <v>3.2</v>
      </c>
      <c r="J8" s="7">
        <v>6.1</v>
      </c>
      <c r="K8" s="7">
        <v>9.3000000000000007</v>
      </c>
      <c r="L8" s="4">
        <v>3.6</v>
      </c>
      <c r="M8" s="7">
        <v>7.5</v>
      </c>
      <c r="N8" s="7">
        <v>11.1</v>
      </c>
      <c r="O8" s="4">
        <v>3</v>
      </c>
      <c r="P8" s="7">
        <v>9.3000000000000007</v>
      </c>
      <c r="Q8" s="7">
        <v>12.3</v>
      </c>
      <c r="R8" s="4">
        <v>3.7</v>
      </c>
      <c r="S8" s="7">
        <v>7.85</v>
      </c>
      <c r="T8" s="7">
        <v>11.55</v>
      </c>
      <c r="U8" s="4">
        <v>3.2</v>
      </c>
      <c r="V8" s="7">
        <v>7.2</v>
      </c>
      <c r="W8" s="7">
        <v>10.4</v>
      </c>
      <c r="X8" s="4">
        <f>SUM(F8,I8,L8,O8,R8,U8)</f>
        <v>21.2</v>
      </c>
      <c r="Y8" s="7">
        <f>SUM(G8,J8,M8,P8,S8,V8)</f>
        <v>45.300000000000004</v>
      </c>
      <c r="Z8" s="7">
        <f>SUM(H8,K8,N8,Q8,T8,W8)</f>
        <v>66.5</v>
      </c>
      <c r="AA8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8" s="4">
        <v>4.0999999999999996</v>
      </c>
      <c r="AC8" s="7">
        <v>6.25</v>
      </c>
      <c r="AD8" s="7">
        <v>10.35</v>
      </c>
      <c r="AE8" s="4">
        <v>3.2</v>
      </c>
      <c r="AF8" s="7">
        <v>4.75</v>
      </c>
      <c r="AG8" s="7">
        <v>7.95</v>
      </c>
      <c r="AH8" s="4">
        <v>3.4</v>
      </c>
      <c r="AI8" s="7">
        <v>7.3</v>
      </c>
      <c r="AJ8" s="7">
        <v>10.7</v>
      </c>
      <c r="AK8" s="4">
        <v>3.2</v>
      </c>
      <c r="AL8" s="7">
        <v>9.25</v>
      </c>
      <c r="AM8" s="7">
        <v>12.45</v>
      </c>
      <c r="AN8" s="4">
        <v>4.2</v>
      </c>
      <c r="AO8" s="7">
        <v>7.5</v>
      </c>
      <c r="AP8" s="7">
        <v>11.7</v>
      </c>
      <c r="AQ8" s="4">
        <v>2.8</v>
      </c>
      <c r="AR8" s="7">
        <v>8</v>
      </c>
      <c r="AS8" s="7">
        <v>10.8</v>
      </c>
      <c r="AT8" s="4">
        <f>SUM(AB8,AE8,AH8,AK8,AN8,AQ8)</f>
        <v>20.9</v>
      </c>
      <c r="AU8" s="7">
        <f>SUM(AC8,AF8,AI8,AL8,AO8,AR8)</f>
        <v>43.05</v>
      </c>
      <c r="AV8" s="7">
        <f>SUM(AD8,AG8,AJ8,AM8,AP8,AS8)</f>
        <v>63.95</v>
      </c>
      <c r="AW8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8" s="4">
        <v>4.0999999999999996</v>
      </c>
      <c r="AY8" s="7">
        <v>8.4</v>
      </c>
      <c r="AZ8" s="7">
        <v>12.5</v>
      </c>
      <c r="BA8" s="4">
        <v>3.2</v>
      </c>
      <c r="BB8" s="7">
        <v>4.5999999999999996</v>
      </c>
      <c r="BC8" s="7">
        <v>7.8</v>
      </c>
      <c r="BD8" s="4">
        <v>2.9</v>
      </c>
      <c r="BE8" s="7">
        <v>6.15</v>
      </c>
      <c r="BF8" s="7">
        <v>9.0500000000000007</v>
      </c>
      <c r="BG8" s="4">
        <v>3.2</v>
      </c>
      <c r="BH8" s="7">
        <v>9.3000000000000007</v>
      </c>
      <c r="BI8" s="7">
        <v>12.5</v>
      </c>
      <c r="BJ8" s="4">
        <v>3.6</v>
      </c>
      <c r="BK8" s="7">
        <v>7.9</v>
      </c>
      <c r="BL8" s="7">
        <v>11.5</v>
      </c>
      <c r="BM8" s="4">
        <v>2.9</v>
      </c>
      <c r="BN8" s="7">
        <v>7.25</v>
      </c>
      <c r="BO8" s="7">
        <v>10.15</v>
      </c>
      <c r="BP8" s="4">
        <f>SUM(AX8,BA8,BD8,BG8,BJ8,BM8)</f>
        <v>19.899999999999999</v>
      </c>
      <c r="BQ8" s="7">
        <f>SUM(AY8,BB8,BE8,BH8,BK8,BN8)</f>
        <v>43.6</v>
      </c>
      <c r="BR8" s="7">
        <f>SUM(AZ8,BC8,BF8,BI8,BL8,BO8)</f>
        <v>63.5</v>
      </c>
      <c r="BS8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8" s="4">
        <v>4.0999999999999996</v>
      </c>
      <c r="BU8" s="7">
        <v>7.3</v>
      </c>
      <c r="BV8" s="7">
        <v>11.4</v>
      </c>
      <c r="BW8" s="4">
        <v>3.5</v>
      </c>
      <c r="BX8" s="7">
        <v>5.5</v>
      </c>
      <c r="BY8" s="7">
        <v>9</v>
      </c>
      <c r="BZ8" s="4">
        <v>3.1</v>
      </c>
      <c r="CA8" s="7">
        <v>7.3</v>
      </c>
      <c r="CB8" s="7">
        <v>10.4</v>
      </c>
      <c r="CC8" s="4">
        <v>3.2</v>
      </c>
      <c r="CD8" s="7">
        <v>8.3000000000000007</v>
      </c>
      <c r="CE8" s="7">
        <v>11.5</v>
      </c>
      <c r="CF8" s="4">
        <v>4.2</v>
      </c>
      <c r="CG8" s="7">
        <v>7.7</v>
      </c>
      <c r="CH8" s="7">
        <v>11.9</v>
      </c>
      <c r="CI8" s="4">
        <v>2.5</v>
      </c>
      <c r="CJ8" s="7">
        <v>8.6999999999999993</v>
      </c>
      <c r="CK8" s="7">
        <v>11.2</v>
      </c>
      <c r="CL8" s="4">
        <f>SUM(BT8,BW8,BZ8,CC8,CF8,CI8)</f>
        <v>20.599999999999998</v>
      </c>
      <c r="CM8" s="7">
        <f>SUM(BU8,BX8,CA8,CD8,CG8,CJ8)</f>
        <v>44.8</v>
      </c>
      <c r="CN8" s="7">
        <f>SUM(BV8,BY8,CB8,CE8,CH8,CK8)</f>
        <v>65.399999999999991</v>
      </c>
      <c r="CO8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62.699999999999989</v>
      </c>
      <c r="CQ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133.69999999999999</v>
      </c>
      <c r="CR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195.84999999999997</v>
      </c>
      <c r="CS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20.899999999999995</v>
      </c>
      <c r="CT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44.566666666666663</v>
      </c>
      <c r="CU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65.283333333333317</v>
      </c>
    </row>
    <row r="9" spans="1:99" x14ac:dyDescent="0.25">
      <c r="A9" t="s">
        <v>34</v>
      </c>
      <c r="B9" s="2" t="s">
        <v>26</v>
      </c>
      <c r="C9" s="2" t="s">
        <v>35</v>
      </c>
      <c r="D9" t="s">
        <v>36</v>
      </c>
      <c r="E9" s="2">
        <f>SUM(COUNTIF(AA[[#This Row],[Bydgoszcz_all_around]],"Yes"),COUNTIF(AA[[#This Row],[Zabrze_all_around]],"Yes"),COUNTIF(AA[[#This Row],[Cracow_all_around]],"Yes"),COUNTIF(AA[[#This Row],[Gdansk_all_Around]],"Yes"))</f>
        <v>4</v>
      </c>
      <c r="F9" s="4">
        <v>3.8</v>
      </c>
      <c r="G9" s="7">
        <v>8.6999999999999993</v>
      </c>
      <c r="H9" s="7">
        <v>12.5</v>
      </c>
      <c r="I9" s="4">
        <v>4.4000000000000004</v>
      </c>
      <c r="J9" s="7">
        <v>7</v>
      </c>
      <c r="K9" s="7">
        <v>11.4</v>
      </c>
      <c r="L9" s="4">
        <v>3.6</v>
      </c>
      <c r="M9" s="7">
        <v>7.8</v>
      </c>
      <c r="N9" s="7">
        <v>11.4</v>
      </c>
      <c r="O9" s="4">
        <v>1.6</v>
      </c>
      <c r="P9" s="7">
        <v>8.8000000000000007</v>
      </c>
      <c r="Q9" s="7">
        <v>10.4</v>
      </c>
      <c r="R9" s="4">
        <v>3.2</v>
      </c>
      <c r="S9" s="7">
        <v>8.6</v>
      </c>
      <c r="T9" s="7">
        <v>11.8</v>
      </c>
      <c r="U9" s="4">
        <v>3.4</v>
      </c>
      <c r="V9" s="7">
        <v>7.4</v>
      </c>
      <c r="W9" s="7">
        <v>10.8</v>
      </c>
      <c r="X9" s="4">
        <f>SUM(F9,I9,L9,O9,R9,U9)</f>
        <v>19.999999999999996</v>
      </c>
      <c r="Y9" s="7">
        <f>SUM(G9,J9,M9,P9,S9,V9)</f>
        <v>48.3</v>
      </c>
      <c r="Z9" s="7">
        <f>SUM(H9,K9,N9,Q9,T9,W9)</f>
        <v>68.3</v>
      </c>
      <c r="AA9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9" s="4">
        <v>3.7</v>
      </c>
      <c r="AC9" s="7">
        <v>8.1</v>
      </c>
      <c r="AD9" s="7">
        <v>11.8</v>
      </c>
      <c r="AE9" s="4">
        <v>3.9</v>
      </c>
      <c r="AF9" s="7">
        <v>7</v>
      </c>
      <c r="AG9" s="7">
        <v>10.9</v>
      </c>
      <c r="AH9" s="4">
        <v>3.9</v>
      </c>
      <c r="AI9" s="7">
        <v>8.1</v>
      </c>
      <c r="AJ9" s="7">
        <v>12</v>
      </c>
      <c r="AK9" s="4">
        <v>2.4</v>
      </c>
      <c r="AL9" s="7">
        <v>8.9</v>
      </c>
      <c r="AM9" s="7">
        <v>11.3</v>
      </c>
      <c r="AN9" s="4">
        <v>3.7</v>
      </c>
      <c r="AO9" s="7">
        <v>7.45</v>
      </c>
      <c r="AP9" s="7">
        <v>11.15</v>
      </c>
      <c r="AQ9" s="4">
        <v>3.4</v>
      </c>
      <c r="AR9" s="7">
        <v>7.5</v>
      </c>
      <c r="AS9" s="7">
        <v>10.9</v>
      </c>
      <c r="AT9" s="4">
        <f>SUM(AB9,AE9,AH9,AK9,AN9,AQ9)</f>
        <v>21</v>
      </c>
      <c r="AU9" s="7">
        <f>SUM(AC9,AF9,AI9,AL9,AO9,AR9)</f>
        <v>47.050000000000004</v>
      </c>
      <c r="AV9" s="7">
        <f>SUM(AD9,AG9,AJ9,AM9,AP9,AS9)</f>
        <v>68.05</v>
      </c>
      <c r="AW9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9" s="4">
        <v>3.6</v>
      </c>
      <c r="AY9" s="7">
        <v>8.25</v>
      </c>
      <c r="AZ9" s="7">
        <v>11.85</v>
      </c>
      <c r="BA9" s="4">
        <v>3.6</v>
      </c>
      <c r="BB9" s="7">
        <v>8.4</v>
      </c>
      <c r="BC9" s="7">
        <v>12</v>
      </c>
      <c r="BD9" s="4">
        <v>3.7</v>
      </c>
      <c r="BE9" s="7">
        <v>7.45</v>
      </c>
      <c r="BF9" s="7">
        <v>11.15</v>
      </c>
      <c r="BG9" s="4">
        <v>3.2</v>
      </c>
      <c r="BH9" s="7">
        <v>8.6999999999999993</v>
      </c>
      <c r="BI9" s="7">
        <v>11.9</v>
      </c>
      <c r="BJ9" s="4">
        <v>3.7</v>
      </c>
      <c r="BK9" s="7">
        <v>8</v>
      </c>
      <c r="BL9" s="7">
        <v>11.7</v>
      </c>
      <c r="BM9" s="4">
        <v>3.4</v>
      </c>
      <c r="BN9" s="7">
        <v>8.6</v>
      </c>
      <c r="BO9" s="7">
        <v>12</v>
      </c>
      <c r="BP9" s="4">
        <f>SUM(AX9,BA9,BD9,BG9,BJ9,BM9)</f>
        <v>21.2</v>
      </c>
      <c r="BQ9" s="7">
        <f>SUM(AY9,BB9,BE9,BH9,BK9,BN9)</f>
        <v>49.4</v>
      </c>
      <c r="BR9" s="7">
        <f>SUM(AZ9,BC9,BF9,BI9,BL9,BO9)</f>
        <v>70.599999999999994</v>
      </c>
      <c r="BS9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9" s="4">
        <v>3.6</v>
      </c>
      <c r="BU9" s="7">
        <v>7.4</v>
      </c>
      <c r="BV9" s="7">
        <v>11</v>
      </c>
      <c r="BW9" s="4">
        <v>3.6</v>
      </c>
      <c r="BX9" s="7">
        <v>8.3000000000000007</v>
      </c>
      <c r="BY9" s="7">
        <v>11.9</v>
      </c>
      <c r="BZ9" s="4">
        <v>3.4</v>
      </c>
      <c r="CA9" s="7">
        <v>7.7</v>
      </c>
      <c r="CB9" s="7">
        <v>11.1</v>
      </c>
      <c r="CC9" s="4">
        <v>2.4</v>
      </c>
      <c r="CD9" s="7">
        <v>7.2</v>
      </c>
      <c r="CE9" s="7">
        <v>9.6</v>
      </c>
      <c r="CF9" s="4">
        <v>3.4</v>
      </c>
      <c r="CG9" s="7">
        <v>7.3</v>
      </c>
      <c r="CH9" s="7">
        <v>10.7</v>
      </c>
      <c r="CI9" s="4">
        <v>2.7</v>
      </c>
      <c r="CJ9" s="7">
        <v>7.5</v>
      </c>
      <c r="CK9" s="7">
        <v>10.199999999999999</v>
      </c>
      <c r="CL9" s="4">
        <f>SUM(BT9,BW9,BZ9,CC9,CF9,CI9)</f>
        <v>19.099999999999998</v>
      </c>
      <c r="CM9" s="7">
        <f>SUM(BU9,BX9,CA9,CD9,CG9,CJ9)</f>
        <v>45.4</v>
      </c>
      <c r="CN9" s="7">
        <f>SUM(BV9,BY9,CB9,CE9,CH9,CK9)</f>
        <v>64.5</v>
      </c>
      <c r="CO9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62.2</v>
      </c>
      <c r="CQ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144.75</v>
      </c>
      <c r="CR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206.95</v>
      </c>
      <c r="CS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20.733333333333334</v>
      </c>
      <c r="CT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48.25</v>
      </c>
      <c r="CU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68.983333333333334</v>
      </c>
    </row>
    <row r="10" spans="1:99" x14ac:dyDescent="0.25">
      <c r="A10" t="s">
        <v>32</v>
      </c>
      <c r="B10" s="2" t="s">
        <v>26</v>
      </c>
      <c r="C10" s="2" t="s">
        <v>33</v>
      </c>
      <c r="D10" t="s">
        <v>31</v>
      </c>
      <c r="E10" s="2">
        <f>SUM(COUNTIF(AA[[#This Row],[Bydgoszcz_all_around]],"Yes"),COUNTIF(AA[[#This Row],[Zabrze_all_around]],"Yes"),COUNTIF(AA[[#This Row],[Cracow_all_around]],"Yes"),COUNTIF(AA[[#This Row],[Gdansk_all_Around]],"Yes"))</f>
        <v>4</v>
      </c>
      <c r="F10" s="4">
        <v>4.2</v>
      </c>
      <c r="G10" s="7">
        <v>8.6</v>
      </c>
      <c r="H10" s="7">
        <v>12.8</v>
      </c>
      <c r="I10" s="4">
        <v>3.6</v>
      </c>
      <c r="J10" s="7">
        <v>7</v>
      </c>
      <c r="K10" s="7">
        <v>10.6</v>
      </c>
      <c r="L10" s="4">
        <v>3.3</v>
      </c>
      <c r="M10" s="7">
        <v>7.1</v>
      </c>
      <c r="N10" s="7">
        <v>10.4</v>
      </c>
      <c r="O10" s="4">
        <v>3.2</v>
      </c>
      <c r="P10" s="7">
        <v>9</v>
      </c>
      <c r="Q10" s="7">
        <v>12.2</v>
      </c>
      <c r="R10" s="4">
        <v>3.5</v>
      </c>
      <c r="S10" s="7">
        <v>7.95</v>
      </c>
      <c r="T10" s="7">
        <v>11.45</v>
      </c>
      <c r="U10" s="4">
        <v>3.1</v>
      </c>
      <c r="V10" s="7">
        <v>7.7</v>
      </c>
      <c r="W10" s="7">
        <v>10.8</v>
      </c>
      <c r="X10" s="4">
        <f>SUM(F10,I10,L10,O10,R10,U10)</f>
        <v>20.900000000000002</v>
      </c>
      <c r="Y10" s="7">
        <f>SUM(G10,J10,M10,P10,S10,V10)</f>
        <v>47.35</v>
      </c>
      <c r="Z10" s="7">
        <f>SUM(H10,K10,N10,Q10,T10,W10)</f>
        <v>68.25</v>
      </c>
      <c r="AA10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0" s="4">
        <v>4.2</v>
      </c>
      <c r="AC10" s="7">
        <v>8.5500000000000007</v>
      </c>
      <c r="AD10" s="7">
        <v>12.75</v>
      </c>
      <c r="AE10" s="4">
        <v>3.6</v>
      </c>
      <c r="AF10" s="7">
        <v>6.2</v>
      </c>
      <c r="AG10" s="7">
        <v>9.8000000000000007</v>
      </c>
      <c r="AH10" s="4">
        <v>3.2</v>
      </c>
      <c r="AI10" s="7">
        <v>9</v>
      </c>
      <c r="AJ10" s="7">
        <v>12.2</v>
      </c>
      <c r="AK10" s="4">
        <v>3.2</v>
      </c>
      <c r="AL10" s="7">
        <v>9.4499999999999993</v>
      </c>
      <c r="AM10" s="7">
        <v>12.65</v>
      </c>
      <c r="AN10" s="4">
        <v>3.4</v>
      </c>
      <c r="AO10" s="7">
        <v>7.95</v>
      </c>
      <c r="AP10" s="7">
        <v>11.35</v>
      </c>
      <c r="AQ10" s="4">
        <v>3.2</v>
      </c>
      <c r="AR10" s="7">
        <v>7.8</v>
      </c>
      <c r="AS10" s="7">
        <v>11</v>
      </c>
      <c r="AT10" s="4">
        <f>SUM(AB10,AE10,AH10,AK10,AN10,AQ10)</f>
        <v>20.799999999999997</v>
      </c>
      <c r="AU10" s="7">
        <f>SUM(AC10,AF10,AI10,AL10,AO10,AR10)</f>
        <v>48.95</v>
      </c>
      <c r="AV10" s="7">
        <f>SUM(AD10,AG10,AJ10,AM10,AP10,AS10)</f>
        <v>69.75</v>
      </c>
      <c r="AW10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0" s="4">
        <v>4.2</v>
      </c>
      <c r="AY10" s="7">
        <v>8.3000000000000007</v>
      </c>
      <c r="AZ10" s="7">
        <v>12.5</v>
      </c>
      <c r="BA10" s="4">
        <v>3.4</v>
      </c>
      <c r="BB10" s="7">
        <v>7.95</v>
      </c>
      <c r="BC10" s="7">
        <v>11.35</v>
      </c>
      <c r="BD10" s="4">
        <v>3.3</v>
      </c>
      <c r="BE10" s="7">
        <v>6.95</v>
      </c>
      <c r="BF10" s="7">
        <v>10.25</v>
      </c>
      <c r="BG10" s="4">
        <v>3.2</v>
      </c>
      <c r="BH10" s="7">
        <v>9.1999999999999993</v>
      </c>
      <c r="BI10" s="7">
        <v>12.4</v>
      </c>
      <c r="BJ10" s="4">
        <v>3.2</v>
      </c>
      <c r="BK10" s="7">
        <v>8.8000000000000007</v>
      </c>
      <c r="BL10" s="7">
        <v>12</v>
      </c>
      <c r="BM10" s="4">
        <v>3.1</v>
      </c>
      <c r="BN10" s="7">
        <v>4.7</v>
      </c>
      <c r="BO10" s="7">
        <v>7.8</v>
      </c>
      <c r="BP10" s="4">
        <f>SUM(AX10,BA10,BD10,BG10,BJ10,BM10)</f>
        <v>20.399999999999999</v>
      </c>
      <c r="BQ10" s="7">
        <f>SUM(AY10,BB10,BE10,BH10,BK10,BN10)</f>
        <v>45.900000000000006</v>
      </c>
      <c r="BR10" s="7">
        <f>SUM(AZ10,BC10,BF10,BI10,BL10,BO10)</f>
        <v>66.3</v>
      </c>
      <c r="BS10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0" s="4">
        <v>4.0999999999999996</v>
      </c>
      <c r="BU10" s="7">
        <v>7.8</v>
      </c>
      <c r="BV10" s="7">
        <v>11.9</v>
      </c>
      <c r="BW10" s="4">
        <v>3.6</v>
      </c>
      <c r="BX10" s="7">
        <v>8.3000000000000007</v>
      </c>
      <c r="BY10" s="7">
        <v>11.9</v>
      </c>
      <c r="BZ10" s="4">
        <v>3.3</v>
      </c>
      <c r="CA10" s="7">
        <v>7.9</v>
      </c>
      <c r="CB10" s="7">
        <v>11.2</v>
      </c>
      <c r="CC10" s="4">
        <v>2.8</v>
      </c>
      <c r="CD10" s="7">
        <v>8.8000000000000007</v>
      </c>
      <c r="CE10" s="7">
        <v>11.6</v>
      </c>
      <c r="CF10" s="4">
        <v>3.4</v>
      </c>
      <c r="CG10" s="7">
        <v>7.3</v>
      </c>
      <c r="CH10" s="7">
        <v>10.7</v>
      </c>
      <c r="CI10" s="4">
        <v>2.9</v>
      </c>
      <c r="CJ10" s="7">
        <v>6.2</v>
      </c>
      <c r="CK10" s="7">
        <v>9.1</v>
      </c>
      <c r="CL10" s="4">
        <f>SUM(BT10,BW10,BZ10,CC10,CF10,CI10)</f>
        <v>20.099999999999998</v>
      </c>
      <c r="CM10" s="7">
        <f>SUM(BU10,BX10,CA10,CD10,CG10,CJ10)</f>
        <v>46.3</v>
      </c>
      <c r="CN10" s="7">
        <f>SUM(BV10,BY10,CB10,CE10,CH10,CK10)</f>
        <v>66.399999999999991</v>
      </c>
      <c r="CO10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62.1</v>
      </c>
      <c r="CQ1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142.60000000000002</v>
      </c>
      <c r="CR1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204.39999999999998</v>
      </c>
      <c r="CS1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20.7</v>
      </c>
      <c r="CT1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47.533333333333339</v>
      </c>
      <c r="CU1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68.133333333333326</v>
      </c>
    </row>
    <row r="11" spans="1:99" x14ac:dyDescent="0.25">
      <c r="A11" t="s">
        <v>29</v>
      </c>
      <c r="B11" s="2" t="s">
        <v>26</v>
      </c>
      <c r="C11" s="2" t="s">
        <v>30</v>
      </c>
      <c r="D11" t="s">
        <v>31</v>
      </c>
      <c r="E11" s="2">
        <f>SUM(COUNTIF(AA[[#This Row],[Bydgoszcz_all_around]],"Yes"),COUNTIF(AA[[#This Row],[Zabrze_all_around]],"Yes"),COUNTIF(AA[[#This Row],[Cracow_all_around]],"Yes"),COUNTIF(AA[[#This Row],[Gdansk_all_Around]],"Yes"))</f>
        <v>3</v>
      </c>
      <c r="F11" s="4">
        <v>4</v>
      </c>
      <c r="G11" s="7">
        <v>8.9499999999999993</v>
      </c>
      <c r="H11" s="7">
        <v>12.95</v>
      </c>
      <c r="I11" s="4">
        <v>3.3</v>
      </c>
      <c r="J11" s="7">
        <v>6.65</v>
      </c>
      <c r="K11" s="7">
        <v>9.9499999999999993</v>
      </c>
      <c r="L11" s="4">
        <v>2.6</v>
      </c>
      <c r="M11" s="7">
        <v>6.9</v>
      </c>
      <c r="N11" s="7">
        <v>9.5</v>
      </c>
      <c r="O11" s="4">
        <v>2.8</v>
      </c>
      <c r="P11" s="7">
        <v>8.6</v>
      </c>
      <c r="Q11" s="7">
        <v>11.4</v>
      </c>
      <c r="R11" s="4">
        <v>3.2</v>
      </c>
      <c r="S11" s="7">
        <v>8.4499999999999993</v>
      </c>
      <c r="T11" s="7">
        <v>11.65</v>
      </c>
      <c r="U11" s="4">
        <v>2.4</v>
      </c>
      <c r="V11" s="7">
        <v>7.9</v>
      </c>
      <c r="W11" s="7">
        <v>10.3</v>
      </c>
      <c r="X11" s="4">
        <f>SUM(F11,I11,L11,O11,R11,U11)</f>
        <v>18.299999999999997</v>
      </c>
      <c r="Y11" s="7">
        <f>SUM(G11,J11,M11,P11,S11,V11)</f>
        <v>47.449999999999996</v>
      </c>
      <c r="Z11" s="7">
        <f>SUM(H11,K11,N11,Q11,T11,W11)</f>
        <v>65.75</v>
      </c>
      <c r="AA11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1" s="4">
        <v>4.3</v>
      </c>
      <c r="AC11" s="7">
        <v>8.15</v>
      </c>
      <c r="AD11" s="7">
        <v>12.45</v>
      </c>
      <c r="AE11" s="4">
        <v>3.6</v>
      </c>
      <c r="AF11" s="7">
        <v>8.35</v>
      </c>
      <c r="AG11" s="7">
        <v>11.95</v>
      </c>
      <c r="AH11" s="4">
        <v>2.9</v>
      </c>
      <c r="AI11" s="7">
        <v>8.1</v>
      </c>
      <c r="AJ11" s="7">
        <v>11</v>
      </c>
      <c r="AK11" s="4">
        <v>4</v>
      </c>
      <c r="AL11" s="7">
        <v>8.9499999999999993</v>
      </c>
      <c r="AM11" s="7">
        <v>12.95</v>
      </c>
      <c r="AN11" s="4">
        <v>3.4</v>
      </c>
      <c r="AO11" s="7">
        <v>8.35</v>
      </c>
      <c r="AP11" s="7">
        <v>11.75</v>
      </c>
      <c r="AQ11" s="4">
        <v>3</v>
      </c>
      <c r="AR11" s="7">
        <v>7.9</v>
      </c>
      <c r="AS11" s="7">
        <v>10.9</v>
      </c>
      <c r="AT11" s="4">
        <f>SUM(AB11,AE11,AH11,AK11,AN11,AQ11)</f>
        <v>21.2</v>
      </c>
      <c r="AU11" s="7">
        <f>SUM(AC11,AF11,AI11,AL11,AO11,AR11)</f>
        <v>49.8</v>
      </c>
      <c r="AV11" s="7">
        <f>SUM(AD11,AG11,AJ11,AM11,AP11,AS11)</f>
        <v>71</v>
      </c>
      <c r="AW11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1" s="4">
        <v>0</v>
      </c>
      <c r="AY11" s="7">
        <v>0</v>
      </c>
      <c r="AZ11" s="7">
        <v>0</v>
      </c>
      <c r="BA11" s="4">
        <v>0</v>
      </c>
      <c r="BB11" s="7">
        <v>0</v>
      </c>
      <c r="BC11" s="7">
        <v>0</v>
      </c>
      <c r="BD11" s="4">
        <v>0</v>
      </c>
      <c r="BE11" s="7">
        <v>0</v>
      </c>
      <c r="BF11" s="7">
        <v>0</v>
      </c>
      <c r="BG11" s="4">
        <v>0</v>
      </c>
      <c r="BH11" s="7">
        <v>0</v>
      </c>
      <c r="BI11" s="7">
        <v>0</v>
      </c>
      <c r="BJ11" s="4">
        <v>0</v>
      </c>
      <c r="BK11" s="7">
        <v>0</v>
      </c>
      <c r="BL11" s="7">
        <v>0</v>
      </c>
      <c r="BM11" s="4">
        <v>0</v>
      </c>
      <c r="BN11" s="7">
        <v>0</v>
      </c>
      <c r="BO11" s="7">
        <v>0</v>
      </c>
      <c r="BP11" s="4">
        <f>SUM(AX11,BA11,BD11,BG11,BJ11,BM11)</f>
        <v>0</v>
      </c>
      <c r="BQ11" s="7">
        <f>SUM(AY11,BB11,BE11,BH11,BK11,BN11)</f>
        <v>0</v>
      </c>
      <c r="BR11" s="7">
        <f>SUM(AZ11,BC11,BF11,BI11,BL11,BO11)</f>
        <v>0</v>
      </c>
      <c r="BS11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11" s="4">
        <v>4.4000000000000004</v>
      </c>
      <c r="BU11" s="7">
        <v>7.5</v>
      </c>
      <c r="BV11" s="7">
        <v>11.9</v>
      </c>
      <c r="BW11" s="4">
        <v>3.6</v>
      </c>
      <c r="BX11" s="7">
        <v>6.3</v>
      </c>
      <c r="BY11" s="7">
        <v>9.9</v>
      </c>
      <c r="BZ11" s="4">
        <v>2.2999999999999998</v>
      </c>
      <c r="CA11" s="7">
        <v>8.6</v>
      </c>
      <c r="CB11" s="7">
        <v>10.9</v>
      </c>
      <c r="CC11" s="4">
        <v>4</v>
      </c>
      <c r="CD11" s="7">
        <v>8.6</v>
      </c>
      <c r="CE11" s="7">
        <v>12.6</v>
      </c>
      <c r="CF11" s="4">
        <v>3.4</v>
      </c>
      <c r="CG11" s="7">
        <v>8.1999999999999993</v>
      </c>
      <c r="CH11" s="7">
        <v>11.6</v>
      </c>
      <c r="CI11" s="4">
        <v>2.7</v>
      </c>
      <c r="CJ11" s="7">
        <v>6.7</v>
      </c>
      <c r="CK11" s="7">
        <v>9.4</v>
      </c>
      <c r="CL11" s="4">
        <f>SUM(BT11,BW11,BZ11,CC11,CF11,CI11)</f>
        <v>20.399999999999999</v>
      </c>
      <c r="CM11" s="7">
        <f>SUM(BU11,BX11,CA11,CD11,CG11,CJ11)</f>
        <v>45.900000000000006</v>
      </c>
      <c r="CN11" s="7">
        <f>SUM(BV11,BY11,CB11,CE11,CH11,CK11)</f>
        <v>66.300000000000011</v>
      </c>
      <c r="CO11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59.899999999999991</v>
      </c>
      <c r="CQ1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143.15</v>
      </c>
      <c r="CR1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203.05</v>
      </c>
      <c r="CS1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19.966666666666665</v>
      </c>
      <c r="CT1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47.716666666666669</v>
      </c>
      <c r="CU1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67.683333333333337</v>
      </c>
    </row>
    <row r="12" spans="1:99" x14ac:dyDescent="0.25">
      <c r="A12" t="s">
        <v>25</v>
      </c>
      <c r="B12" s="2" t="s">
        <v>26</v>
      </c>
      <c r="C12" s="2" t="s">
        <v>27</v>
      </c>
      <c r="D12" t="s">
        <v>28</v>
      </c>
      <c r="E12" s="2">
        <f>SUM(COUNTIF(AA[[#This Row],[Bydgoszcz_all_around]],"Yes"),COUNTIF(AA[[#This Row],[Zabrze_all_around]],"Yes"),COUNTIF(AA[[#This Row],[Cracow_all_around]],"Yes"),COUNTIF(AA[[#This Row],[Gdansk_all_Around]],"Yes"))</f>
        <v>4</v>
      </c>
      <c r="F12" s="4">
        <v>4</v>
      </c>
      <c r="G12" s="7">
        <v>8.9499999999999993</v>
      </c>
      <c r="H12" s="7">
        <v>12.95</v>
      </c>
      <c r="I12" s="4">
        <v>3.8</v>
      </c>
      <c r="J12" s="7">
        <v>8.9499999999999993</v>
      </c>
      <c r="K12" s="7">
        <v>12.75</v>
      </c>
      <c r="L12" s="4">
        <v>2.8</v>
      </c>
      <c r="M12" s="7">
        <v>8.85</v>
      </c>
      <c r="N12" s="7">
        <v>11.65</v>
      </c>
      <c r="O12" s="4">
        <v>2.2000000000000002</v>
      </c>
      <c r="P12" s="7">
        <v>9.4</v>
      </c>
      <c r="Q12" s="7">
        <v>11.6</v>
      </c>
      <c r="R12" s="4">
        <v>4.0999999999999996</v>
      </c>
      <c r="S12" s="7">
        <v>8.5500000000000007</v>
      </c>
      <c r="T12" s="7">
        <v>12.65</v>
      </c>
      <c r="U12" s="4">
        <v>2.6</v>
      </c>
      <c r="V12" s="7">
        <v>9</v>
      </c>
      <c r="W12" s="7">
        <v>11.6</v>
      </c>
      <c r="X12" s="4">
        <f>SUM(F12,I12,L12,O12,R12,U12)</f>
        <v>19.5</v>
      </c>
      <c r="Y12" s="7">
        <f>SUM(G12,J12,M12,P12,S12,V12)</f>
        <v>53.7</v>
      </c>
      <c r="Z12" s="7">
        <f>SUM(H12,K12,N12,Q12,T12,W12)</f>
        <v>73.2</v>
      </c>
      <c r="AA1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2" s="4">
        <v>4</v>
      </c>
      <c r="AC12" s="7">
        <v>8.6999999999999993</v>
      </c>
      <c r="AD12" s="7">
        <v>12.7</v>
      </c>
      <c r="AE12" s="4">
        <v>3.8</v>
      </c>
      <c r="AF12" s="7">
        <v>8.9</v>
      </c>
      <c r="AG12" s="7">
        <v>12.7</v>
      </c>
      <c r="AH12" s="4">
        <v>2.6</v>
      </c>
      <c r="AI12" s="7">
        <v>8.1999999999999993</v>
      </c>
      <c r="AJ12" s="7">
        <v>10.8</v>
      </c>
      <c r="AK12" s="4">
        <v>2.2000000000000002</v>
      </c>
      <c r="AL12" s="7">
        <v>9.0500000000000007</v>
      </c>
      <c r="AM12" s="7">
        <v>11.25</v>
      </c>
      <c r="AN12" s="4">
        <v>4.2</v>
      </c>
      <c r="AO12" s="7">
        <v>9.1</v>
      </c>
      <c r="AP12" s="7">
        <v>13.3</v>
      </c>
      <c r="AQ12" s="4">
        <v>2.7</v>
      </c>
      <c r="AR12" s="7">
        <v>9.1</v>
      </c>
      <c r="AS12" s="7">
        <v>11.8</v>
      </c>
      <c r="AT12" s="4">
        <f>SUM(AB12,AE12,AH12,AK12,AN12,AQ12)</f>
        <v>19.5</v>
      </c>
      <c r="AU12" s="7">
        <f>SUM(AC12,AF12,AI12,AL12,AO12,AR12)</f>
        <v>53.050000000000004</v>
      </c>
      <c r="AV12" s="7">
        <f>SUM(AD12,AG12,AJ12,AM12,AP12,AS12)</f>
        <v>72.55</v>
      </c>
      <c r="AW1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2" s="4">
        <v>4</v>
      </c>
      <c r="AY12" s="7">
        <v>8.4499999999999993</v>
      </c>
      <c r="AZ12" s="7">
        <v>12.45</v>
      </c>
      <c r="BA12" s="4">
        <v>3.8</v>
      </c>
      <c r="BB12" s="7">
        <v>8.5500000000000007</v>
      </c>
      <c r="BC12" s="7">
        <v>12.35</v>
      </c>
      <c r="BD12" s="4">
        <v>2.8</v>
      </c>
      <c r="BE12" s="7">
        <v>8.4</v>
      </c>
      <c r="BF12" s="7">
        <v>11.2</v>
      </c>
      <c r="BG12" s="4">
        <v>2.2000000000000002</v>
      </c>
      <c r="BH12" s="7">
        <v>9.0500000000000007</v>
      </c>
      <c r="BI12" s="7">
        <v>11.25</v>
      </c>
      <c r="BJ12" s="4">
        <v>4.2</v>
      </c>
      <c r="BK12" s="7">
        <v>8.6</v>
      </c>
      <c r="BL12" s="7">
        <v>12.8</v>
      </c>
      <c r="BM12" s="4">
        <v>2.7</v>
      </c>
      <c r="BN12" s="7">
        <v>9.4499999999999993</v>
      </c>
      <c r="BO12" s="7">
        <v>12.15</v>
      </c>
      <c r="BP12" s="4">
        <f>SUM(AX12,BA12,BD12,BG12,BJ12,BM12)</f>
        <v>19.7</v>
      </c>
      <c r="BQ12" s="7">
        <f>SUM(AY12,BB12,BE12,BH12,BK12,BN12)</f>
        <v>52.5</v>
      </c>
      <c r="BR12" s="7">
        <f>SUM(AZ12,BC12,BF12,BI12,BL12,BO12)</f>
        <v>72.2</v>
      </c>
      <c r="BS1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2" s="4">
        <v>4</v>
      </c>
      <c r="BU12" s="7">
        <v>7.9</v>
      </c>
      <c r="BV12" s="7">
        <v>11.9</v>
      </c>
      <c r="BW12" s="4">
        <v>3.7</v>
      </c>
      <c r="BX12" s="7">
        <v>8.8000000000000007</v>
      </c>
      <c r="BY12" s="7">
        <v>12.5</v>
      </c>
      <c r="BZ12" s="4">
        <v>2.8</v>
      </c>
      <c r="CA12" s="7">
        <v>8.4</v>
      </c>
      <c r="CB12" s="7">
        <v>11.2</v>
      </c>
      <c r="CC12" s="4">
        <v>2.2000000000000002</v>
      </c>
      <c r="CD12" s="7">
        <v>8.3000000000000007</v>
      </c>
      <c r="CE12" s="7">
        <v>10.5</v>
      </c>
      <c r="CF12" s="4">
        <v>4.2</v>
      </c>
      <c r="CG12" s="7">
        <v>7.7</v>
      </c>
      <c r="CH12" s="7">
        <v>11.9</v>
      </c>
      <c r="CI12" s="4">
        <v>2.7</v>
      </c>
      <c r="CJ12" s="7">
        <v>9.3000000000000007</v>
      </c>
      <c r="CK12" s="7">
        <v>12</v>
      </c>
      <c r="CL12" s="4">
        <f>SUM(BT12,BW12,BZ12,CC12,CF12,CI12)</f>
        <v>19.599999999999998</v>
      </c>
      <c r="CM12" s="7">
        <f>SUM(BU12,BX12,CA12,CD12,CG12,CJ12)</f>
        <v>50.400000000000006</v>
      </c>
      <c r="CN12" s="7">
        <f>SUM(BV12,BY12,CB12,CE12,CH12,CK12)</f>
        <v>70</v>
      </c>
      <c r="CO1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58.8</v>
      </c>
      <c r="CQ1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159.25</v>
      </c>
      <c r="CR1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217.95</v>
      </c>
      <c r="CS1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19.599999999999998</v>
      </c>
      <c r="CT1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53.083333333333336</v>
      </c>
      <c r="CU1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72.649999999999991</v>
      </c>
    </row>
    <row r="13" spans="1:99" x14ac:dyDescent="0.25">
      <c r="A13" t="s">
        <v>37</v>
      </c>
      <c r="B13" s="2" t="s">
        <v>26</v>
      </c>
      <c r="C13" s="2" t="s">
        <v>38</v>
      </c>
      <c r="D13" t="s">
        <v>39</v>
      </c>
      <c r="E13" s="2">
        <f>SUM(COUNTIF(AA[[#This Row],[Bydgoszcz_all_around]],"Yes"),COUNTIF(AA[[#This Row],[Zabrze_all_around]],"Yes"),COUNTIF(AA[[#This Row],[Cracow_all_around]],"Yes"),COUNTIF(AA[[#This Row],[Gdansk_all_Around]],"Yes"))</f>
        <v>4</v>
      </c>
      <c r="F13" s="4">
        <v>3.3</v>
      </c>
      <c r="G13" s="7">
        <v>8.3000000000000007</v>
      </c>
      <c r="H13" s="7">
        <v>11.6</v>
      </c>
      <c r="I13" s="4">
        <v>4.4000000000000004</v>
      </c>
      <c r="J13" s="7">
        <v>7.85</v>
      </c>
      <c r="K13" s="7">
        <v>12.25</v>
      </c>
      <c r="L13" s="4">
        <v>2.2999999999999998</v>
      </c>
      <c r="M13" s="7">
        <v>7.3</v>
      </c>
      <c r="N13" s="7">
        <v>9.6</v>
      </c>
      <c r="O13" s="4">
        <v>2.4</v>
      </c>
      <c r="P13" s="7">
        <v>8.85</v>
      </c>
      <c r="Q13" s="7">
        <v>11.25</v>
      </c>
      <c r="R13" s="4">
        <v>3.1</v>
      </c>
      <c r="S13" s="7">
        <v>8.5</v>
      </c>
      <c r="T13" s="7">
        <v>11.6</v>
      </c>
      <c r="U13" s="4">
        <v>3</v>
      </c>
      <c r="V13" s="7">
        <v>7.8</v>
      </c>
      <c r="W13" s="7">
        <v>10.8</v>
      </c>
      <c r="X13" s="4">
        <f>SUM(F13,I13,L13,O13,R13,U13)</f>
        <v>18.5</v>
      </c>
      <c r="Y13" s="7">
        <f>SUM(G13,J13,M13,P13,S13,V13)</f>
        <v>48.599999999999994</v>
      </c>
      <c r="Z13" s="7">
        <f>SUM(H13,K13,N13,Q13,T13,W13)</f>
        <v>67.100000000000009</v>
      </c>
      <c r="AA1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3" s="4">
        <v>3.3</v>
      </c>
      <c r="AC13" s="7">
        <v>8.3000000000000007</v>
      </c>
      <c r="AD13" s="7">
        <v>11.6</v>
      </c>
      <c r="AE13" s="4">
        <v>4.3</v>
      </c>
      <c r="AF13" s="7">
        <v>7.9</v>
      </c>
      <c r="AG13" s="7">
        <v>12.2</v>
      </c>
      <c r="AH13" s="4">
        <v>3</v>
      </c>
      <c r="AI13" s="7">
        <v>8</v>
      </c>
      <c r="AJ13" s="7">
        <v>11</v>
      </c>
      <c r="AK13" s="4">
        <v>3.2</v>
      </c>
      <c r="AL13" s="7">
        <v>8.6</v>
      </c>
      <c r="AM13" s="7">
        <v>11.8</v>
      </c>
      <c r="AN13" s="4">
        <v>3.1</v>
      </c>
      <c r="AO13" s="7">
        <v>8</v>
      </c>
      <c r="AP13" s="7">
        <v>11.1</v>
      </c>
      <c r="AQ13" s="4">
        <v>3</v>
      </c>
      <c r="AR13" s="7">
        <v>7.2</v>
      </c>
      <c r="AS13" s="7">
        <v>10.199999999999999</v>
      </c>
      <c r="AT13" s="4">
        <f>SUM(AB13,AE13,AH13,AK13,AN13,AQ13)</f>
        <v>19.900000000000002</v>
      </c>
      <c r="AU13" s="7">
        <f>SUM(AC13,AF13,AI13,AL13,AO13,AR13)</f>
        <v>48.000000000000007</v>
      </c>
      <c r="AV13" s="7">
        <f>SUM(AD13,AG13,AJ13,AM13,AP13,AS13)</f>
        <v>67.899999999999991</v>
      </c>
      <c r="AW1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3" s="4">
        <v>3.3</v>
      </c>
      <c r="AY13" s="7">
        <v>7.25</v>
      </c>
      <c r="AZ13" s="7">
        <v>10.55</v>
      </c>
      <c r="BA13" s="4">
        <v>3.6</v>
      </c>
      <c r="BB13" s="7">
        <v>7.45</v>
      </c>
      <c r="BC13" s="7">
        <v>11.05</v>
      </c>
      <c r="BD13" s="4">
        <v>2.2999999999999998</v>
      </c>
      <c r="BE13" s="7">
        <v>6.85</v>
      </c>
      <c r="BF13" s="7">
        <v>9.15</v>
      </c>
      <c r="BG13" s="4">
        <v>2.4</v>
      </c>
      <c r="BH13" s="7">
        <v>8.3000000000000007</v>
      </c>
      <c r="BI13" s="7">
        <v>10.7</v>
      </c>
      <c r="BJ13" s="4">
        <v>3.1</v>
      </c>
      <c r="BK13" s="7">
        <v>8.4</v>
      </c>
      <c r="BL13" s="7">
        <v>11.5</v>
      </c>
      <c r="BM13" s="4">
        <v>3.1</v>
      </c>
      <c r="BN13" s="7">
        <v>7.65</v>
      </c>
      <c r="BO13" s="7">
        <v>10.75</v>
      </c>
      <c r="BP13" s="4">
        <f>SUM(AX13,BA13,BD13,BG13,BJ13,BM13)</f>
        <v>17.8</v>
      </c>
      <c r="BQ13" s="7">
        <f>SUM(AY13,BB13,BE13,BH13,BK13,BN13)</f>
        <v>45.9</v>
      </c>
      <c r="BR13" s="7">
        <f>SUM(AZ13,BC13,BF13,BI13,BL13,BO13)</f>
        <v>63.7</v>
      </c>
      <c r="BS1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3" s="4">
        <v>3.3</v>
      </c>
      <c r="BU13" s="7">
        <v>5.9</v>
      </c>
      <c r="BV13" s="7">
        <v>9.1999999999999993</v>
      </c>
      <c r="BW13" s="4">
        <v>3.9</v>
      </c>
      <c r="BX13" s="7">
        <v>8.1999999999999993</v>
      </c>
      <c r="BY13" s="7">
        <v>12.1</v>
      </c>
      <c r="BZ13" s="4">
        <v>2.2999999999999998</v>
      </c>
      <c r="CA13" s="7">
        <v>7.8</v>
      </c>
      <c r="CB13" s="7">
        <v>10.1</v>
      </c>
      <c r="CC13" s="4">
        <v>2.4</v>
      </c>
      <c r="CD13" s="7">
        <v>8.1999999999999993</v>
      </c>
      <c r="CE13" s="7">
        <v>10.6</v>
      </c>
      <c r="CF13" s="4">
        <v>3.2</v>
      </c>
      <c r="CG13" s="7">
        <v>8.6</v>
      </c>
      <c r="CH13" s="7">
        <v>11.8</v>
      </c>
      <c r="CI13" s="4">
        <v>2.8</v>
      </c>
      <c r="CJ13" s="7">
        <v>6.5</v>
      </c>
      <c r="CK13" s="7">
        <v>9.3000000000000007</v>
      </c>
      <c r="CL13" s="4">
        <f>SUM(BT13,BW13,BZ13,CC13,CF13,CI13)</f>
        <v>17.900000000000002</v>
      </c>
      <c r="CM13" s="7">
        <f>SUM(BU13,BX13,CA13,CD13,CG13,CJ13)</f>
        <v>45.199999999999996</v>
      </c>
      <c r="CN13" s="7">
        <f>SUM(BV13,BY13,CB13,CE13,CH13,CK13)</f>
        <v>63.099999999999994</v>
      </c>
      <c r="CO1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56.300000000000011</v>
      </c>
      <c r="CQ1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142.5</v>
      </c>
      <c r="CR1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198.7</v>
      </c>
      <c r="CS1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18.766666666666669</v>
      </c>
      <c r="CT1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47.5</v>
      </c>
      <c r="CU1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66.233333333333334</v>
      </c>
    </row>
    <row r="14" spans="1:99" x14ac:dyDescent="0.25">
      <c r="A14" t="s">
        <v>40</v>
      </c>
      <c r="B14" s="2" t="s">
        <v>26</v>
      </c>
      <c r="C14" s="2" t="s">
        <v>41</v>
      </c>
      <c r="D14" t="s">
        <v>39</v>
      </c>
      <c r="E14" s="2">
        <f>SUM(COUNTIF(AA[[#This Row],[Bydgoszcz_all_around]],"Yes"),COUNTIF(AA[[#This Row],[Zabrze_all_around]],"Yes"),COUNTIF(AA[[#This Row],[Cracow_all_around]],"Yes"),COUNTIF(AA[[#This Row],[Gdansk_all_Around]],"Yes"))</f>
        <v>3</v>
      </c>
      <c r="F14" s="4">
        <v>0</v>
      </c>
      <c r="G14" s="7">
        <v>0</v>
      </c>
      <c r="H14" s="7">
        <v>0</v>
      </c>
      <c r="I14" s="4">
        <v>0</v>
      </c>
      <c r="J14" s="7">
        <v>0</v>
      </c>
      <c r="K14" s="7">
        <v>0</v>
      </c>
      <c r="L14" s="4">
        <v>0</v>
      </c>
      <c r="M14" s="7">
        <v>0</v>
      </c>
      <c r="N14" s="7">
        <v>0</v>
      </c>
      <c r="O14" s="4">
        <v>0</v>
      </c>
      <c r="P14" s="7">
        <v>0</v>
      </c>
      <c r="Q14" s="7">
        <v>0</v>
      </c>
      <c r="R14" s="4">
        <v>0</v>
      </c>
      <c r="S14" s="7">
        <v>0</v>
      </c>
      <c r="T14" s="7">
        <v>0</v>
      </c>
      <c r="U14" s="4">
        <v>0</v>
      </c>
      <c r="V14" s="7">
        <v>0</v>
      </c>
      <c r="W14" s="7">
        <v>0</v>
      </c>
      <c r="X14" s="4">
        <f>SUM(F14,I14,L14,O14,R14,U14)</f>
        <v>0</v>
      </c>
      <c r="Y14" s="7">
        <f>SUM(G14,J14,M14,P14,S14,V14)</f>
        <v>0</v>
      </c>
      <c r="Z14" s="7">
        <f>SUM(H14,K14,N14,Q14,T14,W14)</f>
        <v>0</v>
      </c>
      <c r="AA14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14" s="4">
        <v>3.4</v>
      </c>
      <c r="AC14" s="7">
        <v>8.1999999999999993</v>
      </c>
      <c r="AD14" s="7">
        <v>11.6</v>
      </c>
      <c r="AE14" s="4">
        <v>2.9</v>
      </c>
      <c r="AF14" s="7">
        <v>7.2</v>
      </c>
      <c r="AG14" s="7">
        <v>10.1</v>
      </c>
      <c r="AH14" s="4">
        <v>3.4</v>
      </c>
      <c r="AI14" s="7">
        <v>8.1999999999999993</v>
      </c>
      <c r="AJ14" s="7">
        <v>11.6</v>
      </c>
      <c r="AK14" s="4">
        <v>4</v>
      </c>
      <c r="AL14" s="7">
        <v>7.95</v>
      </c>
      <c r="AM14" s="7">
        <v>11.95</v>
      </c>
      <c r="AN14" s="4">
        <v>3</v>
      </c>
      <c r="AO14" s="7">
        <v>8.1999999999999993</v>
      </c>
      <c r="AP14" s="7">
        <v>11.2</v>
      </c>
      <c r="AQ14" s="4">
        <v>2.7</v>
      </c>
      <c r="AR14" s="7">
        <v>8</v>
      </c>
      <c r="AS14" s="7">
        <v>10.7</v>
      </c>
      <c r="AT14" s="4">
        <f>SUM(AB14,AE14,AH14,AK14,AN14,AQ14)</f>
        <v>19.399999999999999</v>
      </c>
      <c r="AU14" s="7">
        <f>SUM(AC14,AF14,AI14,AL14,AO14,AR14)</f>
        <v>47.75</v>
      </c>
      <c r="AV14" s="7">
        <f>SUM(AD14,AG14,AJ14,AM14,AP14,AS14)</f>
        <v>67.150000000000006</v>
      </c>
      <c r="AW14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4" s="4">
        <v>3.4</v>
      </c>
      <c r="AY14" s="7">
        <v>7.95</v>
      </c>
      <c r="AZ14" s="7">
        <v>11.35</v>
      </c>
      <c r="BA14" s="4">
        <v>2.9</v>
      </c>
      <c r="BB14" s="7">
        <v>8.15</v>
      </c>
      <c r="BC14" s="7">
        <v>11.05</v>
      </c>
      <c r="BD14" s="4">
        <v>3.4</v>
      </c>
      <c r="BE14" s="7">
        <v>7.9</v>
      </c>
      <c r="BF14" s="7">
        <v>11.3</v>
      </c>
      <c r="BG14" s="4">
        <v>4</v>
      </c>
      <c r="BH14" s="7">
        <v>8.8000000000000007</v>
      </c>
      <c r="BI14" s="7">
        <v>12.8</v>
      </c>
      <c r="BJ14" s="4">
        <v>3</v>
      </c>
      <c r="BK14" s="7">
        <v>8.1</v>
      </c>
      <c r="BL14" s="7">
        <v>11.1</v>
      </c>
      <c r="BM14" s="4">
        <v>2.6</v>
      </c>
      <c r="BN14" s="7">
        <v>7.65</v>
      </c>
      <c r="BO14" s="7">
        <v>10.25</v>
      </c>
      <c r="BP14" s="4">
        <f>SUM(AX14,BA14,BD14,BG14,BJ14,BM14)</f>
        <v>19.3</v>
      </c>
      <c r="BQ14" s="7">
        <f>SUM(AY14,BB14,BE14,BH14,BK14,BN14)</f>
        <v>48.55</v>
      </c>
      <c r="BR14" s="7">
        <f>SUM(AZ14,BC14,BF14,BI14,BL14,BO14)</f>
        <v>67.849999999999994</v>
      </c>
      <c r="BS14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4" s="4">
        <v>3.1</v>
      </c>
      <c r="BU14" s="7">
        <v>7.3</v>
      </c>
      <c r="BV14" s="7">
        <v>10.4</v>
      </c>
      <c r="BW14" s="4">
        <v>2.9</v>
      </c>
      <c r="BX14" s="7">
        <v>8.1</v>
      </c>
      <c r="BY14" s="7">
        <v>11</v>
      </c>
      <c r="BZ14" s="4">
        <v>3.4</v>
      </c>
      <c r="CA14" s="7">
        <v>6</v>
      </c>
      <c r="CB14" s="7">
        <v>9.4</v>
      </c>
      <c r="CC14" s="4">
        <v>2.8</v>
      </c>
      <c r="CD14" s="7">
        <v>8.6</v>
      </c>
      <c r="CE14" s="7">
        <v>11.4</v>
      </c>
      <c r="CF14" s="4">
        <v>3</v>
      </c>
      <c r="CG14" s="7">
        <v>9</v>
      </c>
      <c r="CH14" s="7">
        <v>12</v>
      </c>
      <c r="CI14" s="4">
        <v>2.4</v>
      </c>
      <c r="CJ14" s="7">
        <v>7.2</v>
      </c>
      <c r="CK14" s="7">
        <v>9.6</v>
      </c>
      <c r="CL14" s="4">
        <f>SUM(BT14,BW14,BZ14,CC14,CF14,CI14)</f>
        <v>17.599999999999998</v>
      </c>
      <c r="CM14" s="7">
        <f>SUM(BU14,BX14,CA14,CD14,CG14,CJ14)</f>
        <v>46.2</v>
      </c>
      <c r="CN14" s="7">
        <f>SUM(BV14,BY14,CB14,CE14,CH14,CK14)</f>
        <v>63.8</v>
      </c>
      <c r="CO14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56.3</v>
      </c>
      <c r="CQ1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142.5</v>
      </c>
      <c r="CR1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198.8</v>
      </c>
      <c r="CS1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18.766666666666666</v>
      </c>
      <c r="CT1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47.5</v>
      </c>
      <c r="CU1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66.266666666666666</v>
      </c>
    </row>
    <row r="15" spans="1:99" x14ac:dyDescent="0.25">
      <c r="A15" t="s">
        <v>44</v>
      </c>
      <c r="B15" s="2" t="s">
        <v>26</v>
      </c>
      <c r="C15" s="2" t="s">
        <v>45</v>
      </c>
      <c r="D15" t="s">
        <v>39</v>
      </c>
      <c r="E15" s="2">
        <f>SUM(COUNTIF(AA[[#This Row],[Bydgoszcz_all_around]],"Yes"),COUNTIF(AA[[#This Row],[Zabrze_all_around]],"Yes"),COUNTIF(AA[[#This Row],[Cracow_all_around]],"Yes"),COUNTIF(AA[[#This Row],[Gdansk_all_Around]],"Yes"))</f>
        <v>4</v>
      </c>
      <c r="F15" s="4">
        <v>3.4</v>
      </c>
      <c r="G15" s="7">
        <v>8.4</v>
      </c>
      <c r="H15" s="7">
        <v>11.8</v>
      </c>
      <c r="I15" s="4">
        <v>3</v>
      </c>
      <c r="J15" s="7">
        <v>8.6</v>
      </c>
      <c r="K15" s="7">
        <v>11.6</v>
      </c>
      <c r="L15" s="4">
        <v>2.2999999999999998</v>
      </c>
      <c r="M15" s="7">
        <v>7.3</v>
      </c>
      <c r="N15" s="7">
        <v>9.6</v>
      </c>
      <c r="O15" s="4">
        <v>2.8</v>
      </c>
      <c r="P15" s="7">
        <v>8.5</v>
      </c>
      <c r="Q15" s="7">
        <v>11.3</v>
      </c>
      <c r="R15" s="4">
        <v>3.1</v>
      </c>
      <c r="S15" s="7">
        <v>8.6999999999999993</v>
      </c>
      <c r="T15" s="7">
        <v>11.8</v>
      </c>
      <c r="U15" s="4">
        <v>2.4</v>
      </c>
      <c r="V15" s="7">
        <v>7.8</v>
      </c>
      <c r="W15" s="7">
        <v>10.199999999999999</v>
      </c>
      <c r="X15" s="4">
        <f>SUM(F15,I15,L15,O15,R15,U15)</f>
        <v>17</v>
      </c>
      <c r="Y15" s="7">
        <f>SUM(G15,J15,M15,P15,S15,V15)</f>
        <v>49.3</v>
      </c>
      <c r="Z15" s="7">
        <f>SUM(H15,K15,N15,Q15,T15,W15)</f>
        <v>66.3</v>
      </c>
      <c r="AA15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5" s="4">
        <v>3.1</v>
      </c>
      <c r="AC15" s="7">
        <v>8.35</v>
      </c>
      <c r="AD15" s="7">
        <v>11.45</v>
      </c>
      <c r="AE15" s="4">
        <v>3</v>
      </c>
      <c r="AF15" s="7">
        <v>7.2</v>
      </c>
      <c r="AG15" s="7">
        <v>10.199999999999999</v>
      </c>
      <c r="AH15" s="4">
        <v>2.1</v>
      </c>
      <c r="AI15" s="7">
        <v>8.0500000000000007</v>
      </c>
      <c r="AJ15" s="7">
        <v>10.15</v>
      </c>
      <c r="AK15" s="4">
        <v>2.4</v>
      </c>
      <c r="AL15" s="7">
        <v>8.9</v>
      </c>
      <c r="AM15" s="7">
        <v>11.3</v>
      </c>
      <c r="AN15" s="4">
        <v>3</v>
      </c>
      <c r="AO15" s="7">
        <v>9</v>
      </c>
      <c r="AP15" s="7">
        <v>12</v>
      </c>
      <c r="AQ15" s="4">
        <v>2.4</v>
      </c>
      <c r="AR15" s="7">
        <v>7.9</v>
      </c>
      <c r="AS15" s="7">
        <v>10.3</v>
      </c>
      <c r="AT15" s="4">
        <f>SUM(AB15,AE15,AH15,AK15,AN15,AQ15)</f>
        <v>16</v>
      </c>
      <c r="AU15" s="7">
        <f>SUM(AC15,AF15,AI15,AL15,AO15,AR15)</f>
        <v>49.4</v>
      </c>
      <c r="AV15" s="7">
        <f>SUM(AD15,AG15,AJ15,AM15,AP15,AS15)</f>
        <v>65.399999999999991</v>
      </c>
      <c r="AW15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5" s="4">
        <v>3.4</v>
      </c>
      <c r="AY15" s="7">
        <v>8.0500000000000007</v>
      </c>
      <c r="AZ15" s="7">
        <v>11.45</v>
      </c>
      <c r="BA15" s="4">
        <v>3</v>
      </c>
      <c r="BB15" s="7">
        <v>5.75</v>
      </c>
      <c r="BC15" s="7">
        <v>8.75</v>
      </c>
      <c r="BD15" s="4">
        <v>2.2999999999999998</v>
      </c>
      <c r="BE15" s="7">
        <v>7.9</v>
      </c>
      <c r="BF15" s="7">
        <v>10.199999999999999</v>
      </c>
      <c r="BG15" s="4">
        <v>2.8</v>
      </c>
      <c r="BH15" s="7">
        <v>8.75</v>
      </c>
      <c r="BI15" s="7">
        <v>11.55</v>
      </c>
      <c r="BJ15" s="4">
        <v>3</v>
      </c>
      <c r="BK15" s="7">
        <v>8.9</v>
      </c>
      <c r="BL15" s="7">
        <v>11.9</v>
      </c>
      <c r="BM15" s="4">
        <v>2.7</v>
      </c>
      <c r="BN15" s="7">
        <v>8.15</v>
      </c>
      <c r="BO15" s="7">
        <v>10.85</v>
      </c>
      <c r="BP15" s="4">
        <f>SUM(AX15,BA15,BD15,BG15,BJ15,BM15)</f>
        <v>17.2</v>
      </c>
      <c r="BQ15" s="7">
        <f>SUM(AY15,BB15,BE15,BH15,BK15,BN15)</f>
        <v>47.5</v>
      </c>
      <c r="BR15" s="7">
        <f>SUM(AZ15,BC15,BF15,BI15,BL15,BO15)</f>
        <v>64.7</v>
      </c>
      <c r="BS15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5" s="4">
        <v>3.3</v>
      </c>
      <c r="BU15" s="7">
        <v>7.2</v>
      </c>
      <c r="BV15" s="7">
        <v>10.5</v>
      </c>
      <c r="BW15" s="4">
        <v>2.8</v>
      </c>
      <c r="BX15" s="7">
        <v>8.5</v>
      </c>
      <c r="BY15" s="7">
        <v>11.3</v>
      </c>
      <c r="BZ15" s="4">
        <v>2.2999999999999998</v>
      </c>
      <c r="CA15" s="7">
        <v>8</v>
      </c>
      <c r="CB15" s="7">
        <v>10.3</v>
      </c>
      <c r="CC15" s="4">
        <v>2.4</v>
      </c>
      <c r="CD15" s="7">
        <v>8.4</v>
      </c>
      <c r="CE15" s="7">
        <v>10.8</v>
      </c>
      <c r="CF15" s="4">
        <v>2.6</v>
      </c>
      <c r="CG15" s="7">
        <v>8.9</v>
      </c>
      <c r="CH15" s="7">
        <v>11.5</v>
      </c>
      <c r="CI15" s="4">
        <v>2.2999999999999998</v>
      </c>
      <c r="CJ15" s="7">
        <v>7.5</v>
      </c>
      <c r="CK15" s="7">
        <v>9.8000000000000007</v>
      </c>
      <c r="CL15" s="4">
        <f>SUM(BT15,BW15,BZ15,CC15,CF15,CI15)</f>
        <v>15.7</v>
      </c>
      <c r="CM15" s="7">
        <f>SUM(BU15,BX15,CA15,CD15,CG15,CJ15)</f>
        <v>48.5</v>
      </c>
      <c r="CN15" s="7">
        <f>SUM(BV15,BY15,CB15,CE15,CH15,CK15)</f>
        <v>64.2</v>
      </c>
      <c r="CO15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50.2</v>
      </c>
      <c r="CQ1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147.19999999999999</v>
      </c>
      <c r="CR1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196.39999999999998</v>
      </c>
      <c r="CS1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16.733333333333334</v>
      </c>
      <c r="CT1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49.066666666666663</v>
      </c>
      <c r="CU1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65.466666666666654</v>
      </c>
    </row>
    <row r="16" spans="1:99" x14ac:dyDescent="0.25">
      <c r="A16" t="s">
        <v>42</v>
      </c>
      <c r="B16" s="2" t="s">
        <v>26</v>
      </c>
      <c r="C16" s="2" t="s">
        <v>43</v>
      </c>
      <c r="D16" t="s">
        <v>36</v>
      </c>
      <c r="E16" s="2">
        <f>SUM(COUNTIF(AA[[#This Row],[Bydgoszcz_all_around]],"Yes"),COUNTIF(AA[[#This Row],[Zabrze_all_around]],"Yes"),COUNTIF(AA[[#This Row],[Cracow_all_around]],"Yes"),COUNTIF(AA[[#This Row],[Gdansk_all_Around]],"Yes"))</f>
        <v>3</v>
      </c>
      <c r="F16" s="4">
        <v>4</v>
      </c>
      <c r="G16" s="7">
        <v>8.1999999999999993</v>
      </c>
      <c r="H16" s="7">
        <v>12.2</v>
      </c>
      <c r="I16" s="4">
        <v>2.6</v>
      </c>
      <c r="J16" s="7">
        <v>7.7</v>
      </c>
      <c r="K16" s="7">
        <v>10.3</v>
      </c>
      <c r="L16" s="4">
        <v>2.4</v>
      </c>
      <c r="M16" s="7">
        <v>7.8</v>
      </c>
      <c r="N16" s="7">
        <v>10.199999999999999</v>
      </c>
      <c r="O16" s="4">
        <v>4</v>
      </c>
      <c r="P16" s="7">
        <v>7.9</v>
      </c>
      <c r="Q16" s="7">
        <v>11.9</v>
      </c>
      <c r="R16" s="4">
        <v>0</v>
      </c>
      <c r="S16" s="7">
        <v>0</v>
      </c>
      <c r="T16" s="7">
        <v>0</v>
      </c>
      <c r="U16" s="4">
        <v>0</v>
      </c>
      <c r="V16" s="7">
        <v>0</v>
      </c>
      <c r="W16" s="7">
        <v>0</v>
      </c>
      <c r="X16" s="4">
        <f>SUM(F16,I16,L16,O16,R16,U16)</f>
        <v>13</v>
      </c>
      <c r="Y16" s="7">
        <f>SUM(G16,J16,M16,P16,S16,V16)</f>
        <v>31.6</v>
      </c>
      <c r="Z16" s="7">
        <f>SUM(H16,K16,N16,Q16,T16,W16)</f>
        <v>44.6</v>
      </c>
      <c r="AA16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16" s="4">
        <v>3.4</v>
      </c>
      <c r="AC16" s="7">
        <v>8.4</v>
      </c>
      <c r="AD16" s="7">
        <v>11.8</v>
      </c>
      <c r="AE16" s="4">
        <v>2.6</v>
      </c>
      <c r="AF16" s="7">
        <v>8.5500000000000007</v>
      </c>
      <c r="AG16" s="7">
        <v>11.15</v>
      </c>
      <c r="AH16" s="4">
        <v>2.4</v>
      </c>
      <c r="AI16" s="7">
        <v>7.9</v>
      </c>
      <c r="AJ16" s="7">
        <v>10.3</v>
      </c>
      <c r="AK16" s="4">
        <v>2.8</v>
      </c>
      <c r="AL16" s="7">
        <v>9.0500000000000007</v>
      </c>
      <c r="AM16" s="7">
        <v>11.85</v>
      </c>
      <c r="AN16" s="4">
        <v>3.1</v>
      </c>
      <c r="AO16" s="7">
        <v>8.5500000000000007</v>
      </c>
      <c r="AP16" s="7">
        <v>11.65</v>
      </c>
      <c r="AQ16" s="4">
        <v>1.8</v>
      </c>
      <c r="AR16" s="7">
        <v>8.4</v>
      </c>
      <c r="AS16" s="7">
        <v>10.199999999999999</v>
      </c>
      <c r="AT16" s="4">
        <f>SUM(AB16,AE16,AH16,AK16,AN16,AQ16)</f>
        <v>16.099999999999998</v>
      </c>
      <c r="AU16" s="7">
        <f>SUM(AC16,AF16,AI16,AL16,AO16,AR16)</f>
        <v>50.85</v>
      </c>
      <c r="AV16" s="7">
        <f>SUM(AD16,AG16,AJ16,AM16,AP16,AS16)</f>
        <v>66.95</v>
      </c>
      <c r="AW16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6" s="4">
        <v>3.8</v>
      </c>
      <c r="AY16" s="7">
        <v>7.1</v>
      </c>
      <c r="AZ16" s="7">
        <v>10.9</v>
      </c>
      <c r="BA16" s="4">
        <v>2.6</v>
      </c>
      <c r="BB16" s="7">
        <v>7.65</v>
      </c>
      <c r="BC16" s="7">
        <v>10.25</v>
      </c>
      <c r="BD16" s="4">
        <v>2.4</v>
      </c>
      <c r="BE16" s="7">
        <v>8.0500000000000007</v>
      </c>
      <c r="BF16" s="7">
        <v>10.45</v>
      </c>
      <c r="BG16" s="4">
        <v>2.8</v>
      </c>
      <c r="BH16" s="7">
        <v>9.1999999999999993</v>
      </c>
      <c r="BI16" s="7">
        <v>12</v>
      </c>
      <c r="BJ16" s="4">
        <v>3.1</v>
      </c>
      <c r="BK16" s="7">
        <v>7.1</v>
      </c>
      <c r="BL16" s="7">
        <v>10.199999999999999</v>
      </c>
      <c r="BM16" s="4">
        <v>1.8</v>
      </c>
      <c r="BN16" s="7">
        <v>8.4</v>
      </c>
      <c r="BO16" s="7">
        <v>10.199999999999999</v>
      </c>
      <c r="BP16" s="4">
        <f>SUM(AX16,BA16,BD16,BG16,BJ16,BM16)</f>
        <v>16.5</v>
      </c>
      <c r="BQ16" s="7">
        <f>SUM(AY16,BB16,BE16,BH16,BK16,BN16)</f>
        <v>47.5</v>
      </c>
      <c r="BR16" s="7">
        <f>SUM(AZ16,BC16,BF16,BI16,BL16,BO16)</f>
        <v>64</v>
      </c>
      <c r="BS16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6" s="4">
        <v>3.4</v>
      </c>
      <c r="BU16" s="7">
        <v>7.5</v>
      </c>
      <c r="BV16" s="7">
        <v>10.9</v>
      </c>
      <c r="BW16" s="4">
        <v>2.6</v>
      </c>
      <c r="BX16" s="7">
        <v>7.2</v>
      </c>
      <c r="BY16" s="7">
        <v>9.8000000000000007</v>
      </c>
      <c r="BZ16" s="4">
        <v>2</v>
      </c>
      <c r="CA16" s="7">
        <v>7.9</v>
      </c>
      <c r="CB16" s="7">
        <v>9.9</v>
      </c>
      <c r="CC16" s="4">
        <v>2.8</v>
      </c>
      <c r="CD16" s="7">
        <v>8.4</v>
      </c>
      <c r="CE16" s="7">
        <v>11.2</v>
      </c>
      <c r="CF16" s="4">
        <v>2.4</v>
      </c>
      <c r="CG16" s="7">
        <v>8.8000000000000007</v>
      </c>
      <c r="CH16" s="7">
        <v>11.2</v>
      </c>
      <c r="CI16" s="4">
        <v>1.8</v>
      </c>
      <c r="CJ16" s="7">
        <v>7.9</v>
      </c>
      <c r="CK16" s="7">
        <v>9.6999999999999993</v>
      </c>
      <c r="CL16" s="4">
        <f>SUM(BT16,BW16,BZ16,CC16,CF16,CI16)</f>
        <v>15.000000000000002</v>
      </c>
      <c r="CM16" s="7">
        <f>SUM(BU16,BX16,CA16,CD16,CG16,CJ16)</f>
        <v>47.699999999999996</v>
      </c>
      <c r="CN16" s="7">
        <f>SUM(BV16,BY16,CB16,CE16,CH16,CK16)</f>
        <v>62.7</v>
      </c>
      <c r="CO16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47.599999999999994</v>
      </c>
      <c r="CQ1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146.05000000000001</v>
      </c>
      <c r="CR1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193.64999999999998</v>
      </c>
      <c r="CS1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15.866666666666665</v>
      </c>
      <c r="CT1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48.683333333333337</v>
      </c>
      <c r="CU1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64.55</v>
      </c>
    </row>
    <row r="17" spans="1:99" x14ac:dyDescent="0.25">
      <c r="A17" t="s">
        <v>48</v>
      </c>
      <c r="B17" s="2" t="s">
        <v>26</v>
      </c>
      <c r="C17" s="2" t="s">
        <v>49</v>
      </c>
      <c r="D17" t="s">
        <v>36</v>
      </c>
      <c r="E17" s="2">
        <f>SUM(COUNTIF(AA[[#This Row],[Bydgoszcz_all_around]],"Yes"),COUNTIF(AA[[#This Row],[Zabrze_all_around]],"Yes"),COUNTIF(AA[[#This Row],[Cracow_all_around]],"Yes"),COUNTIF(AA[[#This Row],[Gdansk_all_Around]],"Yes"))</f>
        <v>4</v>
      </c>
      <c r="F17" s="4">
        <v>3.7</v>
      </c>
      <c r="G17" s="7">
        <v>7.4</v>
      </c>
      <c r="H17" s="7">
        <v>11.1</v>
      </c>
      <c r="I17" s="4">
        <v>2.8</v>
      </c>
      <c r="J17" s="7">
        <v>4</v>
      </c>
      <c r="K17" s="7">
        <v>6.8</v>
      </c>
      <c r="L17" s="4">
        <v>2.4</v>
      </c>
      <c r="M17" s="7">
        <v>7.55</v>
      </c>
      <c r="N17" s="7">
        <v>9.9499999999999993</v>
      </c>
      <c r="O17" s="4">
        <v>2.4</v>
      </c>
      <c r="P17" s="7">
        <v>7.8</v>
      </c>
      <c r="Q17" s="7">
        <v>10.199999999999999</v>
      </c>
      <c r="R17" s="4">
        <v>3.1</v>
      </c>
      <c r="S17" s="7">
        <v>8.0500000000000007</v>
      </c>
      <c r="T17" s="7">
        <v>11.15</v>
      </c>
      <c r="U17" s="4">
        <v>1.9</v>
      </c>
      <c r="V17" s="7">
        <v>8</v>
      </c>
      <c r="W17" s="7">
        <v>9.9</v>
      </c>
      <c r="X17" s="4">
        <f>SUM(F17,I17,L17,O17,R17,U17)</f>
        <v>16.3</v>
      </c>
      <c r="Y17" s="7">
        <f>SUM(G17,J17,M17,P17,S17,V17)</f>
        <v>42.8</v>
      </c>
      <c r="Z17" s="7">
        <f>SUM(H17,K17,N17,Q17,T17,W17)</f>
        <v>59.099999999999994</v>
      </c>
      <c r="AA17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17" s="4">
        <v>3.2</v>
      </c>
      <c r="AC17" s="7">
        <v>8.15</v>
      </c>
      <c r="AD17" s="7">
        <v>11.35</v>
      </c>
      <c r="AE17" s="4">
        <v>2.7</v>
      </c>
      <c r="AF17" s="7">
        <v>1.95</v>
      </c>
      <c r="AG17" s="7">
        <v>4.6500000000000004</v>
      </c>
      <c r="AH17" s="4">
        <v>2.5</v>
      </c>
      <c r="AI17" s="7">
        <v>6.5</v>
      </c>
      <c r="AJ17" s="7">
        <v>9</v>
      </c>
      <c r="AK17" s="4">
        <v>1.6</v>
      </c>
      <c r="AL17" s="7">
        <v>9.5</v>
      </c>
      <c r="AM17" s="7">
        <v>11.1</v>
      </c>
      <c r="AN17" s="4">
        <v>3.1</v>
      </c>
      <c r="AO17" s="7">
        <v>7.8</v>
      </c>
      <c r="AP17" s="7">
        <v>10.9</v>
      </c>
      <c r="AQ17" s="4">
        <v>1.9</v>
      </c>
      <c r="AR17" s="7">
        <v>8.1999999999999993</v>
      </c>
      <c r="AS17" s="7">
        <v>10.1</v>
      </c>
      <c r="AT17" s="4">
        <f>SUM(AB17,AE17,AH17,AK17,AN17,AQ17)</f>
        <v>15</v>
      </c>
      <c r="AU17" s="7">
        <f>SUM(AC17,AF17,AI17,AL17,AO17,AR17)</f>
        <v>42.099999999999994</v>
      </c>
      <c r="AV17" s="7">
        <f>SUM(AD17,AG17,AJ17,AM17,AP17,AS17)</f>
        <v>57.1</v>
      </c>
      <c r="AW17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7" s="4">
        <v>3.5</v>
      </c>
      <c r="AY17" s="7">
        <v>7.65</v>
      </c>
      <c r="AZ17" s="7">
        <v>11.15</v>
      </c>
      <c r="BA17" s="4">
        <v>2.2000000000000002</v>
      </c>
      <c r="BB17" s="7">
        <v>4.95</v>
      </c>
      <c r="BC17" s="7">
        <v>7.15</v>
      </c>
      <c r="BD17" s="4">
        <v>2.5</v>
      </c>
      <c r="BE17" s="7">
        <v>6.65</v>
      </c>
      <c r="BF17" s="7">
        <v>9.15</v>
      </c>
      <c r="BG17" s="4">
        <v>2.4</v>
      </c>
      <c r="BH17" s="7">
        <v>8.85</v>
      </c>
      <c r="BI17" s="7">
        <v>11.25</v>
      </c>
      <c r="BJ17" s="4">
        <v>3.1</v>
      </c>
      <c r="BK17" s="7">
        <v>7.45</v>
      </c>
      <c r="BL17" s="7">
        <v>10.55</v>
      </c>
      <c r="BM17" s="4">
        <v>1.9</v>
      </c>
      <c r="BN17" s="7">
        <v>8.6</v>
      </c>
      <c r="BO17" s="7">
        <v>10.5</v>
      </c>
      <c r="BP17" s="4">
        <f>SUM(AX17,BA17,BD17,BG17,BJ17,BM17)</f>
        <v>15.6</v>
      </c>
      <c r="BQ17" s="7">
        <f>SUM(AY17,BB17,BE17,BH17,BK17,BN17)</f>
        <v>44.150000000000006</v>
      </c>
      <c r="BR17" s="7">
        <f>SUM(AZ17,BC17,BF17,BI17,BL17,BO17)</f>
        <v>59.75</v>
      </c>
      <c r="BS17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7" s="4">
        <v>3.2</v>
      </c>
      <c r="BU17" s="7">
        <v>7.9</v>
      </c>
      <c r="BV17" s="7">
        <v>11.1</v>
      </c>
      <c r="BW17" s="4">
        <v>2.6</v>
      </c>
      <c r="BX17" s="7">
        <v>7</v>
      </c>
      <c r="BY17" s="7">
        <v>9.6</v>
      </c>
      <c r="BZ17" s="4">
        <v>2.2000000000000002</v>
      </c>
      <c r="CA17" s="7">
        <v>7.6</v>
      </c>
      <c r="CB17" s="7">
        <v>9.8000000000000007</v>
      </c>
      <c r="CC17" s="4">
        <v>1.6</v>
      </c>
      <c r="CD17" s="7">
        <v>8.5</v>
      </c>
      <c r="CE17" s="7">
        <v>10.1</v>
      </c>
      <c r="CF17" s="4">
        <v>2.4</v>
      </c>
      <c r="CG17" s="7">
        <v>9</v>
      </c>
      <c r="CH17" s="7">
        <v>11.4</v>
      </c>
      <c r="CI17" s="4">
        <v>1.9</v>
      </c>
      <c r="CJ17" s="7">
        <v>8.1999999999999993</v>
      </c>
      <c r="CK17" s="7">
        <v>10.1</v>
      </c>
      <c r="CL17" s="4">
        <f>SUM(BT17,BW17,BZ17,CC17,CF17,CI17)</f>
        <v>13.9</v>
      </c>
      <c r="CM17" s="7">
        <f>SUM(BU17,BX17,CA17,CD17,CG17,CJ17)</f>
        <v>48.2</v>
      </c>
      <c r="CN17" s="7">
        <f>SUM(BV17,BY17,CB17,CE17,CH17,CK17)</f>
        <v>62.1</v>
      </c>
      <c r="CO17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46.9</v>
      </c>
      <c r="CQ1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135.15</v>
      </c>
      <c r="CR1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180.95</v>
      </c>
      <c r="CS1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15.633333333333333</v>
      </c>
      <c r="CT1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45.050000000000004</v>
      </c>
      <c r="CU1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60.316666666666663</v>
      </c>
    </row>
    <row r="18" spans="1:99" x14ac:dyDescent="0.25">
      <c r="A18" t="s">
        <v>46</v>
      </c>
      <c r="B18" s="2" t="s">
        <v>26</v>
      </c>
      <c r="C18" s="2" t="s">
        <v>47</v>
      </c>
      <c r="D18" t="s">
        <v>36</v>
      </c>
      <c r="E18" s="2">
        <f>SUM(COUNTIF(AA[[#This Row],[Bydgoszcz_all_around]],"Yes"),COUNTIF(AA[[#This Row],[Zabrze_all_around]],"Yes"),COUNTIF(AA[[#This Row],[Cracow_all_around]],"Yes"),COUNTIF(AA[[#This Row],[Gdansk_all_Around]],"Yes"))</f>
        <v>3</v>
      </c>
      <c r="F18" s="4">
        <v>0</v>
      </c>
      <c r="G18" s="7">
        <v>0</v>
      </c>
      <c r="H18" s="7">
        <v>0</v>
      </c>
      <c r="I18" s="4">
        <v>0</v>
      </c>
      <c r="J18" s="7">
        <v>0</v>
      </c>
      <c r="K18" s="7">
        <v>0</v>
      </c>
      <c r="L18" s="4">
        <v>0</v>
      </c>
      <c r="M18" s="7">
        <v>0</v>
      </c>
      <c r="N18" s="7">
        <v>0</v>
      </c>
      <c r="O18" s="4">
        <v>0</v>
      </c>
      <c r="P18" s="7">
        <v>0</v>
      </c>
      <c r="Q18" s="7">
        <v>0</v>
      </c>
      <c r="R18" s="4">
        <v>0</v>
      </c>
      <c r="S18" s="7">
        <v>0</v>
      </c>
      <c r="T18" s="7">
        <v>0</v>
      </c>
      <c r="U18" s="4">
        <v>0</v>
      </c>
      <c r="V18" s="7">
        <v>0</v>
      </c>
      <c r="W18" s="7">
        <v>0</v>
      </c>
      <c r="X18" s="4">
        <f>SUM(F18,I18,L18,O18,R18,U18)</f>
        <v>0</v>
      </c>
      <c r="Y18" s="7">
        <f>SUM(G18,J18,M18,P18,S18,V18)</f>
        <v>0</v>
      </c>
      <c r="Z18" s="7">
        <f>SUM(H18,K18,N18,Q18,T18,W18)</f>
        <v>0</v>
      </c>
      <c r="AA18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18" s="4">
        <v>2.9</v>
      </c>
      <c r="AC18" s="7">
        <v>8.1999999999999993</v>
      </c>
      <c r="AD18" s="7">
        <v>11.1</v>
      </c>
      <c r="AE18" s="4">
        <v>2.2000000000000002</v>
      </c>
      <c r="AF18" s="7">
        <v>5.75</v>
      </c>
      <c r="AG18" s="7">
        <v>7.95</v>
      </c>
      <c r="AH18" s="4">
        <v>1.7</v>
      </c>
      <c r="AI18" s="7">
        <v>6.8</v>
      </c>
      <c r="AJ18" s="7">
        <v>8.5</v>
      </c>
      <c r="AK18" s="4">
        <v>1.6</v>
      </c>
      <c r="AL18" s="7">
        <v>9</v>
      </c>
      <c r="AM18" s="7">
        <v>10.6</v>
      </c>
      <c r="AN18" s="4">
        <v>2.4</v>
      </c>
      <c r="AO18" s="7">
        <v>8.6</v>
      </c>
      <c r="AP18" s="7">
        <v>11</v>
      </c>
      <c r="AQ18" s="4">
        <v>1.8</v>
      </c>
      <c r="AR18" s="7">
        <v>7.7</v>
      </c>
      <c r="AS18" s="7">
        <v>9.5</v>
      </c>
      <c r="AT18" s="4">
        <f>SUM(AB18,AE18,AH18,AK18,AN18,AQ18)</f>
        <v>12.600000000000001</v>
      </c>
      <c r="AU18" s="7">
        <f>SUM(AC18,AF18,AI18,AL18,AO18,AR18)</f>
        <v>46.050000000000004</v>
      </c>
      <c r="AV18" s="7">
        <f>SUM(AD18,AG18,AJ18,AM18,AP18,AS18)</f>
        <v>58.65</v>
      </c>
      <c r="AW18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8" s="4">
        <v>3.1</v>
      </c>
      <c r="AY18" s="7">
        <v>7.7</v>
      </c>
      <c r="AZ18" s="7">
        <v>10.8</v>
      </c>
      <c r="BA18" s="4">
        <v>2.2000000000000002</v>
      </c>
      <c r="BB18" s="7">
        <v>2.75</v>
      </c>
      <c r="BC18" s="7">
        <v>4.95</v>
      </c>
      <c r="BD18" s="4">
        <v>2.1</v>
      </c>
      <c r="BE18" s="7">
        <v>6.65</v>
      </c>
      <c r="BF18" s="7">
        <v>8.75</v>
      </c>
      <c r="BG18" s="4">
        <v>1.6</v>
      </c>
      <c r="BH18" s="7">
        <v>9</v>
      </c>
      <c r="BI18" s="7">
        <v>10.6</v>
      </c>
      <c r="BJ18" s="4">
        <v>3.1</v>
      </c>
      <c r="BK18" s="7">
        <v>8.6</v>
      </c>
      <c r="BL18" s="7">
        <v>11.7</v>
      </c>
      <c r="BM18" s="4">
        <v>1.9</v>
      </c>
      <c r="BN18" s="7">
        <v>7.75</v>
      </c>
      <c r="BO18" s="7">
        <v>9.65</v>
      </c>
      <c r="BP18" s="4">
        <f>SUM(AX18,BA18,BD18,BG18,BJ18,BM18)</f>
        <v>14</v>
      </c>
      <c r="BQ18" s="7">
        <f>SUM(AY18,BB18,BE18,BH18,BK18,BN18)</f>
        <v>42.45</v>
      </c>
      <c r="BR18" s="7">
        <f>SUM(AZ18,BC18,BF18,BI18,BL18,BO18)</f>
        <v>56.449999999999996</v>
      </c>
      <c r="BS18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18" s="4">
        <v>2.9</v>
      </c>
      <c r="BU18" s="7">
        <v>7.8</v>
      </c>
      <c r="BV18" s="7">
        <v>10.7</v>
      </c>
      <c r="BW18" s="4">
        <v>2.5</v>
      </c>
      <c r="BX18" s="7">
        <v>5.5</v>
      </c>
      <c r="BY18" s="7">
        <v>8</v>
      </c>
      <c r="BZ18" s="4">
        <v>1.7</v>
      </c>
      <c r="CA18" s="7">
        <v>7.7</v>
      </c>
      <c r="CB18" s="7">
        <v>9.4</v>
      </c>
      <c r="CC18" s="4">
        <v>1.6</v>
      </c>
      <c r="CD18" s="7">
        <v>8.8000000000000007</v>
      </c>
      <c r="CE18" s="7">
        <v>10.4</v>
      </c>
      <c r="CF18" s="4">
        <v>2.4</v>
      </c>
      <c r="CG18" s="7">
        <v>8</v>
      </c>
      <c r="CH18" s="7">
        <v>10.4</v>
      </c>
      <c r="CI18" s="4">
        <v>1.5</v>
      </c>
      <c r="CJ18" s="7">
        <v>2.5</v>
      </c>
      <c r="CK18" s="7">
        <v>4</v>
      </c>
      <c r="CL18" s="4">
        <f>SUM(BT18,BW18,BZ18,CC18,CF18,CI18)</f>
        <v>12.600000000000001</v>
      </c>
      <c r="CM18" s="7">
        <f>SUM(BU18,BX18,CA18,CD18,CG18,CJ18)</f>
        <v>40.299999999999997</v>
      </c>
      <c r="CN18" s="7">
        <f>SUM(BV18,BY18,CB18,CE18,CH18,CK18)</f>
        <v>52.9</v>
      </c>
      <c r="CO18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39.200000000000003</v>
      </c>
      <c r="CQ1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128.80000000000001</v>
      </c>
      <c r="CR1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168</v>
      </c>
      <c r="CS1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13.066666666666668</v>
      </c>
      <c r="CT1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42.933333333333337</v>
      </c>
      <c r="CU1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56</v>
      </c>
    </row>
    <row r="19" spans="1:99" x14ac:dyDescent="0.25">
      <c r="A19" t="s">
        <v>82</v>
      </c>
      <c r="B19" s="2" t="s">
        <v>60</v>
      </c>
      <c r="C19" s="2" t="s">
        <v>83</v>
      </c>
      <c r="D19" t="s">
        <v>36</v>
      </c>
      <c r="E19" s="2">
        <f>SUM(COUNTIF(AA[[#This Row],[Bydgoszcz_all_around]],"Yes"),COUNTIF(AA[[#This Row],[Zabrze_all_around]],"Yes"),COUNTIF(AA[[#This Row],[Cracow_all_around]],"Yes"),COUNTIF(AA[[#This Row],[Gdansk_all_Around]],"Yes"))</f>
        <v>2</v>
      </c>
      <c r="F19" s="4">
        <v>0</v>
      </c>
      <c r="G19" s="7">
        <v>0</v>
      </c>
      <c r="H19" s="7">
        <v>0</v>
      </c>
      <c r="I19" s="4">
        <v>0</v>
      </c>
      <c r="J19" s="7">
        <v>0</v>
      </c>
      <c r="K19" s="7">
        <v>0</v>
      </c>
      <c r="L19" s="4">
        <v>0</v>
      </c>
      <c r="M19" s="7">
        <v>0</v>
      </c>
      <c r="N19" s="7">
        <v>0</v>
      </c>
      <c r="O19" s="4">
        <v>0</v>
      </c>
      <c r="P19" s="7">
        <v>0</v>
      </c>
      <c r="Q19" s="7">
        <v>0</v>
      </c>
      <c r="R19" s="4">
        <v>0</v>
      </c>
      <c r="S19" s="7">
        <v>0</v>
      </c>
      <c r="T19" s="7">
        <v>0</v>
      </c>
      <c r="U19" s="4">
        <v>0</v>
      </c>
      <c r="V19" s="7">
        <v>0</v>
      </c>
      <c r="W19" s="7">
        <v>0</v>
      </c>
      <c r="X19" s="4">
        <f>SUM(F19,I19,L19,O19,R19,U19)</f>
        <v>0</v>
      </c>
      <c r="Y19" s="7">
        <f>SUM(G19,J19,M19,P19,S19,V19)</f>
        <v>0</v>
      </c>
      <c r="Z19" s="7">
        <f>SUM(H19,K19,N19,Q19,T19,W19)</f>
        <v>0</v>
      </c>
      <c r="AA19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19" s="4">
        <v>4.4000000000000004</v>
      </c>
      <c r="AC19" s="7">
        <v>8.1</v>
      </c>
      <c r="AD19" s="7">
        <v>12.5</v>
      </c>
      <c r="AE19" s="4">
        <v>3.4</v>
      </c>
      <c r="AF19" s="7">
        <v>5.5</v>
      </c>
      <c r="AG19" s="7">
        <v>8.9</v>
      </c>
      <c r="AH19" s="4">
        <v>3.8</v>
      </c>
      <c r="AI19" s="7">
        <v>7.5</v>
      </c>
      <c r="AJ19" s="7">
        <v>11.3</v>
      </c>
      <c r="AK19" s="4">
        <v>4</v>
      </c>
      <c r="AL19" s="7">
        <v>9.3000000000000007</v>
      </c>
      <c r="AM19" s="7">
        <v>13.3</v>
      </c>
      <c r="AN19" s="4">
        <v>3</v>
      </c>
      <c r="AO19" s="7">
        <v>8.75</v>
      </c>
      <c r="AP19" s="7">
        <v>11.75</v>
      </c>
      <c r="AQ19" s="4">
        <v>3.3</v>
      </c>
      <c r="AR19" s="7">
        <v>7.8</v>
      </c>
      <c r="AS19" s="7">
        <v>11.1</v>
      </c>
      <c r="AT19" s="4">
        <f>SUM(AB19,AE19,AH19,AK19,AN19,AQ19)</f>
        <v>21.900000000000002</v>
      </c>
      <c r="AU19" s="7">
        <f>SUM(AC19,AF19,AI19,AL19,AO19,AR19)</f>
        <v>46.95</v>
      </c>
      <c r="AV19" s="7">
        <f>SUM(AD19,AG19,AJ19,AM19,AP19,AS19)</f>
        <v>68.849999999999994</v>
      </c>
      <c r="AW19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19" s="4">
        <v>4.0999999999999996</v>
      </c>
      <c r="AY19" s="7">
        <v>6.7</v>
      </c>
      <c r="AZ19" s="7">
        <v>10.8</v>
      </c>
      <c r="BA19" s="4">
        <v>0</v>
      </c>
      <c r="BB19" s="7">
        <v>0</v>
      </c>
      <c r="BC19" s="7">
        <v>0</v>
      </c>
      <c r="BD19" s="4">
        <v>3.8</v>
      </c>
      <c r="BE19" s="7">
        <v>7.7</v>
      </c>
      <c r="BF19" s="7">
        <v>11.5</v>
      </c>
      <c r="BG19" s="4">
        <v>4</v>
      </c>
      <c r="BH19" s="7">
        <v>9.1</v>
      </c>
      <c r="BI19" s="7">
        <v>13.1</v>
      </c>
      <c r="BJ19" s="4">
        <v>2.5</v>
      </c>
      <c r="BK19" s="7">
        <v>7.15</v>
      </c>
      <c r="BL19" s="7">
        <v>9.65</v>
      </c>
      <c r="BM19" s="4">
        <v>4</v>
      </c>
      <c r="BN19" s="7">
        <v>8.25</v>
      </c>
      <c r="BO19" s="7">
        <v>12.25</v>
      </c>
      <c r="BP19" s="4">
        <f>SUM(AX19,BA19,BD19,BG19,BJ19,BM19)</f>
        <v>18.399999999999999</v>
      </c>
      <c r="BQ19" s="7">
        <f>SUM(AY19,BB19,BE19,BH19,BK19,BN19)</f>
        <v>38.9</v>
      </c>
      <c r="BR19" s="7">
        <f>SUM(AZ19,BC19,BF19,BI19,BL19,BO19)</f>
        <v>57.3</v>
      </c>
      <c r="BS19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19" s="4">
        <v>3.9</v>
      </c>
      <c r="BU19" s="7">
        <v>7.9</v>
      </c>
      <c r="BV19" s="7">
        <v>11.8</v>
      </c>
      <c r="BW19" s="4">
        <v>3.4</v>
      </c>
      <c r="BX19" s="7">
        <v>6.4</v>
      </c>
      <c r="BY19" s="7">
        <v>9.8000000000000007</v>
      </c>
      <c r="BZ19" s="4">
        <v>3.8</v>
      </c>
      <c r="CA19" s="7">
        <v>7.9</v>
      </c>
      <c r="CB19" s="7">
        <v>11.7</v>
      </c>
      <c r="CC19" s="4">
        <v>4</v>
      </c>
      <c r="CD19" s="7">
        <v>9</v>
      </c>
      <c r="CE19" s="7">
        <v>13</v>
      </c>
      <c r="CF19" s="4">
        <v>3</v>
      </c>
      <c r="CG19" s="7">
        <v>8.8000000000000007</v>
      </c>
      <c r="CH19" s="7">
        <v>11.8</v>
      </c>
      <c r="CI19" s="4">
        <v>3.3</v>
      </c>
      <c r="CJ19" s="7">
        <v>8</v>
      </c>
      <c r="CK19" s="7">
        <v>11.3</v>
      </c>
      <c r="CL19" s="4">
        <f>SUM(BT19,BW19,BZ19,CC19,CF19,CI19)</f>
        <v>21.400000000000002</v>
      </c>
      <c r="CM19" s="7">
        <f>SUM(BU19,BX19,CA19,CD19,CG19,CJ19)</f>
        <v>48</v>
      </c>
      <c r="CN19" s="7">
        <f>SUM(BV19,BY19,CB19,CE19,CH19,CK19)</f>
        <v>69.399999999999991</v>
      </c>
      <c r="CO19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1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1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1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1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1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1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0" spans="1:99" x14ac:dyDescent="0.25">
      <c r="A20" t="s">
        <v>127</v>
      </c>
      <c r="B20" s="2" t="s">
        <v>60</v>
      </c>
      <c r="C20" s="2" t="s">
        <v>128</v>
      </c>
      <c r="D20" t="s">
        <v>72</v>
      </c>
      <c r="E20" s="2">
        <f>SUM(COUNTIF(AA[[#This Row],[Bydgoszcz_all_around]],"Yes"),COUNTIF(AA[[#This Row],[Zabrze_all_around]],"Yes"),COUNTIF(AA[[#This Row],[Cracow_all_around]],"Yes"),COUNTIF(AA[[#This Row],[Gdansk_all_Around]],"Yes"))</f>
        <v>2</v>
      </c>
      <c r="F20" s="4">
        <v>4.4000000000000004</v>
      </c>
      <c r="G20" s="7">
        <v>8.6999999999999993</v>
      </c>
      <c r="H20" s="7">
        <v>13.1</v>
      </c>
      <c r="I20" s="4">
        <v>4.2</v>
      </c>
      <c r="J20" s="7">
        <v>8</v>
      </c>
      <c r="K20" s="7">
        <v>12.2</v>
      </c>
      <c r="L20" s="4">
        <v>3.8</v>
      </c>
      <c r="M20" s="7">
        <v>8.1999999999999993</v>
      </c>
      <c r="N20" s="7">
        <v>12</v>
      </c>
      <c r="O20" s="4">
        <v>4</v>
      </c>
      <c r="P20" s="7">
        <v>9</v>
      </c>
      <c r="Q20" s="7">
        <v>13</v>
      </c>
      <c r="R20" s="4">
        <v>3.8</v>
      </c>
      <c r="S20" s="7">
        <v>7.55</v>
      </c>
      <c r="T20" s="7">
        <v>11.35</v>
      </c>
      <c r="U20" s="4">
        <v>4.0999999999999996</v>
      </c>
      <c r="V20" s="7">
        <v>8.4</v>
      </c>
      <c r="W20" s="7">
        <v>12.5</v>
      </c>
      <c r="X20" s="4">
        <f>SUM(F20,I20,L20,O20,R20,U20)</f>
        <v>24.300000000000004</v>
      </c>
      <c r="Y20" s="7">
        <f>SUM(G20,J20,M20,P20,S20,V20)</f>
        <v>49.849999999999994</v>
      </c>
      <c r="Z20" s="7">
        <f>SUM(H20,K20,N20,Q20,T20,W20)</f>
        <v>74.150000000000006</v>
      </c>
      <c r="AA20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20" s="4">
        <v>0</v>
      </c>
      <c r="AC20" s="7">
        <v>0</v>
      </c>
      <c r="AD20" s="7">
        <v>0</v>
      </c>
      <c r="AE20" s="4">
        <v>0</v>
      </c>
      <c r="AF20" s="7">
        <v>0</v>
      </c>
      <c r="AG20" s="7">
        <v>0</v>
      </c>
      <c r="AH20" s="4">
        <v>0</v>
      </c>
      <c r="AI20" s="7">
        <v>0</v>
      </c>
      <c r="AJ20" s="7">
        <v>0</v>
      </c>
      <c r="AK20" s="4">
        <v>0</v>
      </c>
      <c r="AL20" s="7">
        <v>0</v>
      </c>
      <c r="AM20" s="7">
        <v>0</v>
      </c>
      <c r="AN20" s="4">
        <v>0</v>
      </c>
      <c r="AO20" s="7">
        <v>0</v>
      </c>
      <c r="AP20" s="7">
        <v>0</v>
      </c>
      <c r="AQ20" s="4">
        <v>0</v>
      </c>
      <c r="AR20" s="7">
        <v>0</v>
      </c>
      <c r="AS20" s="7">
        <v>0</v>
      </c>
      <c r="AT20" s="4">
        <f>SUM(AB20,AE20,AH20,AK20,AN20,AQ20)</f>
        <v>0</v>
      </c>
      <c r="AU20" s="7">
        <f>SUM(AC20,AF20,AI20,AL20,AO20,AR20)</f>
        <v>0</v>
      </c>
      <c r="AV20" s="7">
        <f>SUM(AD20,AG20,AJ20,AM20,AP20,AS20)</f>
        <v>0</v>
      </c>
      <c r="AW20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0" s="4">
        <v>3.7</v>
      </c>
      <c r="AY20" s="7">
        <v>7.1</v>
      </c>
      <c r="AZ20" s="7">
        <v>10.8</v>
      </c>
      <c r="BA20" s="4">
        <v>4.4000000000000004</v>
      </c>
      <c r="BB20" s="7">
        <v>7.2</v>
      </c>
      <c r="BC20" s="7">
        <v>11.6</v>
      </c>
      <c r="BD20" s="4">
        <v>3.8</v>
      </c>
      <c r="BE20" s="7">
        <v>8.35</v>
      </c>
      <c r="BF20" s="7">
        <v>12.15</v>
      </c>
      <c r="BG20" s="4">
        <v>4</v>
      </c>
      <c r="BH20" s="7">
        <v>9.15</v>
      </c>
      <c r="BI20" s="7">
        <v>13.15</v>
      </c>
      <c r="BJ20" s="4">
        <v>4</v>
      </c>
      <c r="BK20" s="7">
        <v>8.3000000000000007</v>
      </c>
      <c r="BL20" s="7">
        <v>12.3</v>
      </c>
      <c r="BM20" s="4">
        <v>4</v>
      </c>
      <c r="BN20" s="7">
        <v>8.0500000000000007</v>
      </c>
      <c r="BO20" s="7">
        <v>12.05</v>
      </c>
      <c r="BP20" s="4">
        <f>SUM(AX20,BA20,BD20,BG20,BJ20,BM20)</f>
        <v>23.900000000000002</v>
      </c>
      <c r="BQ20" s="7">
        <f>SUM(AY20,BB20,BE20,BH20,BK20,BN20)</f>
        <v>48.149999999999991</v>
      </c>
      <c r="BR20" s="7">
        <f>SUM(AZ20,BC20,BF20,BI20,BL20,BO20)</f>
        <v>72.05</v>
      </c>
      <c r="BS20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20" s="4">
        <v>0</v>
      </c>
      <c r="BU20" s="7">
        <v>0</v>
      </c>
      <c r="BV20" s="7">
        <v>0</v>
      </c>
      <c r="BW20" s="4">
        <v>0</v>
      </c>
      <c r="BX20" s="7">
        <v>0</v>
      </c>
      <c r="BY20" s="7">
        <v>0</v>
      </c>
      <c r="BZ20" s="4">
        <v>0</v>
      </c>
      <c r="CA20" s="7">
        <v>0</v>
      </c>
      <c r="CB20" s="7">
        <v>0</v>
      </c>
      <c r="CC20" s="4">
        <v>0</v>
      </c>
      <c r="CD20" s="7">
        <v>0</v>
      </c>
      <c r="CE20" s="7">
        <v>0</v>
      </c>
      <c r="CF20" s="4">
        <v>0</v>
      </c>
      <c r="CG20" s="7">
        <v>0</v>
      </c>
      <c r="CH20" s="7">
        <v>0</v>
      </c>
      <c r="CI20" s="4">
        <v>0</v>
      </c>
      <c r="CJ20" s="7">
        <v>0</v>
      </c>
      <c r="CK20" s="7">
        <v>0</v>
      </c>
      <c r="CL20" s="4">
        <f>SUM(BT20,BW20,BZ20,CC20,CF20,CI20)</f>
        <v>0</v>
      </c>
      <c r="CM20" s="7">
        <f>SUM(BU20,BX20,CA20,CD20,CG20,CJ20)</f>
        <v>0</v>
      </c>
      <c r="CN20" s="7">
        <f>SUM(BV20,BY20,CB20,CE20,CH20,CK20)</f>
        <v>0</v>
      </c>
      <c r="CO20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1" spans="1:99" x14ac:dyDescent="0.25">
      <c r="A21" t="s">
        <v>116</v>
      </c>
      <c r="B21" s="2" t="s">
        <v>60</v>
      </c>
      <c r="C21" s="2" t="s">
        <v>117</v>
      </c>
      <c r="D21" t="s">
        <v>62</v>
      </c>
      <c r="E21" s="2">
        <f>SUM(COUNTIF(AA[[#This Row],[Bydgoszcz_all_around]],"Yes"),COUNTIF(AA[[#This Row],[Zabrze_all_around]],"Yes"),COUNTIF(AA[[#This Row],[Cracow_all_around]],"Yes"),COUNTIF(AA[[#This Row],[Gdansk_all_Around]],"Yes"))</f>
        <v>2</v>
      </c>
      <c r="F21" s="4">
        <v>0</v>
      </c>
      <c r="G21" s="7">
        <v>0</v>
      </c>
      <c r="H21" s="7">
        <v>0</v>
      </c>
      <c r="I21" s="4">
        <v>0</v>
      </c>
      <c r="J21" s="7">
        <v>0</v>
      </c>
      <c r="K21" s="7">
        <v>0</v>
      </c>
      <c r="L21" s="4">
        <v>0</v>
      </c>
      <c r="M21" s="7">
        <v>0</v>
      </c>
      <c r="N21" s="7">
        <v>0</v>
      </c>
      <c r="O21" s="4">
        <v>0</v>
      </c>
      <c r="P21" s="7">
        <v>0</v>
      </c>
      <c r="Q21" s="7">
        <v>0</v>
      </c>
      <c r="R21" s="4">
        <v>0</v>
      </c>
      <c r="S21" s="7">
        <v>0</v>
      </c>
      <c r="T21" s="7">
        <v>0</v>
      </c>
      <c r="U21" s="4">
        <v>0</v>
      </c>
      <c r="V21" s="7">
        <v>0</v>
      </c>
      <c r="W21" s="7">
        <v>0</v>
      </c>
      <c r="X21" s="4">
        <f>SUM(F21,I21,L21,O21,R21,U21)</f>
        <v>0</v>
      </c>
      <c r="Y21" s="7">
        <f>SUM(G21,J21,M21,P21,S21,V21)</f>
        <v>0</v>
      </c>
      <c r="Z21" s="7">
        <f>SUM(H21,K21,N21,Q21,T21,W21)</f>
        <v>0</v>
      </c>
      <c r="AA21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1" s="4">
        <v>0</v>
      </c>
      <c r="AC21" s="7">
        <v>0</v>
      </c>
      <c r="AD21" s="7">
        <v>0</v>
      </c>
      <c r="AE21" s="4">
        <v>0</v>
      </c>
      <c r="AF21" s="7">
        <v>0</v>
      </c>
      <c r="AG21" s="7">
        <v>0</v>
      </c>
      <c r="AH21" s="4">
        <v>0</v>
      </c>
      <c r="AI21" s="7">
        <v>0</v>
      </c>
      <c r="AJ21" s="7">
        <v>0</v>
      </c>
      <c r="AK21" s="4">
        <v>0</v>
      </c>
      <c r="AL21" s="7">
        <v>0</v>
      </c>
      <c r="AM21" s="7">
        <v>0</v>
      </c>
      <c r="AN21" s="4">
        <v>0</v>
      </c>
      <c r="AO21" s="7">
        <v>0</v>
      </c>
      <c r="AP21" s="7">
        <v>0</v>
      </c>
      <c r="AQ21" s="4">
        <v>0</v>
      </c>
      <c r="AR21" s="7">
        <v>0</v>
      </c>
      <c r="AS21" s="7">
        <v>0</v>
      </c>
      <c r="AT21" s="4">
        <f>SUM(AB21,AE21,AH21,AK21,AN21,AQ21)</f>
        <v>0</v>
      </c>
      <c r="AU21" s="7">
        <f>SUM(AC21,AF21,AI21,AL21,AO21,AR21)</f>
        <v>0</v>
      </c>
      <c r="AV21" s="7">
        <f>SUM(AD21,AG21,AJ21,AM21,AP21,AS21)</f>
        <v>0</v>
      </c>
      <c r="AW21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1" s="4">
        <v>5.4</v>
      </c>
      <c r="AY21" s="7">
        <v>8.25</v>
      </c>
      <c r="AZ21" s="7">
        <v>13.65</v>
      </c>
      <c r="BA21" s="4">
        <v>4.2</v>
      </c>
      <c r="BB21" s="7">
        <v>6.5</v>
      </c>
      <c r="BC21" s="7">
        <v>10.7</v>
      </c>
      <c r="BD21" s="4">
        <v>5</v>
      </c>
      <c r="BE21" s="7">
        <v>8.1</v>
      </c>
      <c r="BF21" s="7">
        <v>13.1</v>
      </c>
      <c r="BG21" s="4">
        <v>5.2</v>
      </c>
      <c r="BH21" s="7">
        <v>8.1</v>
      </c>
      <c r="BI21" s="7">
        <v>13.3</v>
      </c>
      <c r="BJ21" s="4">
        <v>4.5</v>
      </c>
      <c r="BK21" s="7">
        <v>6.45</v>
      </c>
      <c r="BL21" s="7">
        <v>10.95</v>
      </c>
      <c r="BM21" s="4">
        <v>4.5999999999999996</v>
      </c>
      <c r="BN21" s="7">
        <v>6.65</v>
      </c>
      <c r="BO21" s="7">
        <v>11.25</v>
      </c>
      <c r="BP21" s="4">
        <f>SUM(AX21,BA21,BD21,BG21,BJ21,BM21)</f>
        <v>28.9</v>
      </c>
      <c r="BQ21" s="7">
        <f>SUM(AY21,BB21,BE21,BH21,BK21,BN21)</f>
        <v>44.050000000000004</v>
      </c>
      <c r="BR21" s="7">
        <f>SUM(AZ21,BC21,BF21,BI21,BL21,BO21)</f>
        <v>72.95</v>
      </c>
      <c r="BS21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21" s="4">
        <v>5.8</v>
      </c>
      <c r="BU21" s="7">
        <v>5.4</v>
      </c>
      <c r="BV21" s="7">
        <v>11.2</v>
      </c>
      <c r="BW21" s="4">
        <v>4.0999999999999996</v>
      </c>
      <c r="BX21" s="7">
        <v>7.9</v>
      </c>
      <c r="BY21" s="7">
        <v>12</v>
      </c>
      <c r="BZ21" s="4">
        <v>5.3</v>
      </c>
      <c r="CA21" s="7">
        <v>6.6</v>
      </c>
      <c r="CB21" s="7">
        <v>11.9</v>
      </c>
      <c r="CC21" s="4">
        <v>5.2</v>
      </c>
      <c r="CD21" s="7">
        <v>8</v>
      </c>
      <c r="CE21" s="7">
        <v>13.2</v>
      </c>
      <c r="CF21" s="4">
        <v>4.9000000000000004</v>
      </c>
      <c r="CG21" s="7">
        <v>7.4</v>
      </c>
      <c r="CH21" s="7">
        <v>12.3</v>
      </c>
      <c r="CI21" s="4">
        <v>4.8</v>
      </c>
      <c r="CJ21" s="7">
        <v>6.3</v>
      </c>
      <c r="CK21" s="7">
        <v>11.1</v>
      </c>
      <c r="CL21" s="4">
        <f>SUM(BT21,BW21,BZ21,CC21,CF21,CI21)</f>
        <v>30.099999999999998</v>
      </c>
      <c r="CM21" s="7">
        <f>SUM(BU21,BX21,CA21,CD21,CG21,CJ21)</f>
        <v>41.599999999999994</v>
      </c>
      <c r="CN21" s="7">
        <f>SUM(BV21,BY21,CB21,CE21,CH21,CK21)</f>
        <v>71.699999999999989</v>
      </c>
      <c r="CO21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2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2" spans="1:99" x14ac:dyDescent="0.25">
      <c r="A22" t="s">
        <v>65</v>
      </c>
      <c r="B22" s="2" t="s">
        <v>60</v>
      </c>
      <c r="C22" s="2" t="s">
        <v>66</v>
      </c>
      <c r="D22" t="s">
        <v>67</v>
      </c>
      <c r="E22" s="2">
        <f>SUM(COUNTIF(AA[[#This Row],[Bydgoszcz_all_around]],"Yes"),COUNTIF(AA[[#This Row],[Zabrze_all_around]],"Yes"),COUNTIF(AA[[#This Row],[Cracow_all_around]],"Yes"),COUNTIF(AA[[#This Row],[Gdansk_all_Around]],"Yes"))</f>
        <v>2</v>
      </c>
      <c r="F22" s="4">
        <v>0</v>
      </c>
      <c r="G22" s="7">
        <v>0</v>
      </c>
      <c r="H22" s="7">
        <v>0</v>
      </c>
      <c r="I22" s="4">
        <v>0</v>
      </c>
      <c r="J22" s="7">
        <v>0</v>
      </c>
      <c r="K22" s="7">
        <v>0</v>
      </c>
      <c r="L22" s="4">
        <v>0</v>
      </c>
      <c r="M22" s="7">
        <v>0</v>
      </c>
      <c r="N22" s="7">
        <v>0</v>
      </c>
      <c r="O22" s="4">
        <v>0</v>
      </c>
      <c r="P22" s="7">
        <v>0</v>
      </c>
      <c r="Q22" s="7">
        <v>0</v>
      </c>
      <c r="R22" s="4">
        <v>0</v>
      </c>
      <c r="S22" s="7">
        <v>0</v>
      </c>
      <c r="T22" s="7">
        <v>0</v>
      </c>
      <c r="U22" s="4">
        <v>0</v>
      </c>
      <c r="V22" s="7">
        <v>0</v>
      </c>
      <c r="W22" s="7">
        <v>0</v>
      </c>
      <c r="X22" s="4">
        <f>SUM(F22,I22,L22,O22,R22,U22)</f>
        <v>0</v>
      </c>
      <c r="Y22" s="7">
        <f>SUM(G22,J22,M22,P22,S22,V22)</f>
        <v>0</v>
      </c>
      <c r="Z22" s="7">
        <f>SUM(H22,K22,N22,Q22,T22,W22)</f>
        <v>0</v>
      </c>
      <c r="AA2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2" s="4">
        <v>3.8</v>
      </c>
      <c r="AC22" s="7">
        <v>8.4</v>
      </c>
      <c r="AD22" s="7">
        <v>12.2</v>
      </c>
      <c r="AE22" s="4">
        <v>3</v>
      </c>
      <c r="AF22" s="7">
        <v>8.4</v>
      </c>
      <c r="AG22" s="7">
        <v>11.4</v>
      </c>
      <c r="AH22" s="4">
        <v>3.9</v>
      </c>
      <c r="AI22" s="7">
        <v>8.4</v>
      </c>
      <c r="AJ22" s="7">
        <v>12.3</v>
      </c>
      <c r="AK22" s="4">
        <v>4</v>
      </c>
      <c r="AL22" s="7">
        <v>9.1</v>
      </c>
      <c r="AM22" s="7">
        <v>13.1</v>
      </c>
      <c r="AN22" s="4">
        <v>3</v>
      </c>
      <c r="AO22" s="7">
        <v>9.35</v>
      </c>
      <c r="AP22" s="7">
        <v>12.35</v>
      </c>
      <c r="AQ22" s="4">
        <v>3.6</v>
      </c>
      <c r="AR22" s="7">
        <v>7.1</v>
      </c>
      <c r="AS22" s="7">
        <v>10.7</v>
      </c>
      <c r="AT22" s="4">
        <f>SUM(AB22,AE22,AH22,AK22,AN22,AQ22)</f>
        <v>21.3</v>
      </c>
      <c r="AU22" s="7">
        <f>SUM(AC22,AF22,AI22,AL22,AO22,AR22)</f>
        <v>50.750000000000007</v>
      </c>
      <c r="AV22" s="7">
        <f>SUM(AD22,AG22,AJ22,AM22,AP22,AS22)</f>
        <v>72.050000000000011</v>
      </c>
      <c r="AW2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22" s="4">
        <v>0</v>
      </c>
      <c r="AY22" s="7">
        <v>0</v>
      </c>
      <c r="AZ22" s="7">
        <v>0</v>
      </c>
      <c r="BA22" s="4">
        <v>0</v>
      </c>
      <c r="BB22" s="7">
        <v>0</v>
      </c>
      <c r="BC22" s="7">
        <v>0</v>
      </c>
      <c r="BD22" s="4">
        <v>0</v>
      </c>
      <c r="BE22" s="7">
        <v>0</v>
      </c>
      <c r="BF22" s="7">
        <v>0</v>
      </c>
      <c r="BG22" s="4">
        <v>0</v>
      </c>
      <c r="BH22" s="7">
        <v>0</v>
      </c>
      <c r="BI22" s="7">
        <v>0</v>
      </c>
      <c r="BJ22" s="4">
        <v>0</v>
      </c>
      <c r="BK22" s="7">
        <v>0</v>
      </c>
      <c r="BL22" s="7">
        <v>0</v>
      </c>
      <c r="BM22" s="4">
        <v>0</v>
      </c>
      <c r="BN22" s="7">
        <v>0</v>
      </c>
      <c r="BO22" s="7">
        <v>0</v>
      </c>
      <c r="BP22" s="4">
        <f>SUM(AX22,BA22,BD22,BG22,BJ22,BM22)</f>
        <v>0</v>
      </c>
      <c r="BQ22" s="7">
        <f>SUM(AY22,BB22,BE22,BH22,BK22,BN22)</f>
        <v>0</v>
      </c>
      <c r="BR22" s="7">
        <f>SUM(AZ22,BC22,BF22,BI22,BL22,BO22)</f>
        <v>0</v>
      </c>
      <c r="BS2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2" s="4">
        <v>3.9</v>
      </c>
      <c r="BU22" s="7">
        <v>7.3</v>
      </c>
      <c r="BV22" s="7">
        <v>11.2</v>
      </c>
      <c r="BW22" s="4">
        <v>3.2</v>
      </c>
      <c r="BX22" s="7">
        <v>7.8</v>
      </c>
      <c r="BY22" s="7">
        <v>11</v>
      </c>
      <c r="BZ22" s="4">
        <v>3.9</v>
      </c>
      <c r="CA22" s="7">
        <v>8.1999999999999993</v>
      </c>
      <c r="CB22" s="7">
        <v>12.1</v>
      </c>
      <c r="CC22" s="4">
        <v>4</v>
      </c>
      <c r="CD22" s="7">
        <v>8.6999999999999993</v>
      </c>
      <c r="CE22" s="7">
        <v>12.7</v>
      </c>
      <c r="CF22" s="4">
        <v>3.4</v>
      </c>
      <c r="CG22" s="7">
        <v>9</v>
      </c>
      <c r="CH22" s="7">
        <v>12.4</v>
      </c>
      <c r="CI22" s="4">
        <v>3.6</v>
      </c>
      <c r="CJ22" s="7">
        <v>8.3000000000000007</v>
      </c>
      <c r="CK22" s="7">
        <v>11.9</v>
      </c>
      <c r="CL22" s="4">
        <f>SUM(BT22,BW22,BZ22,CC22,CF22,CI22)</f>
        <v>22</v>
      </c>
      <c r="CM22" s="7">
        <f>SUM(BU22,BX22,CA22,CD22,CG22,CJ22)</f>
        <v>49.3</v>
      </c>
      <c r="CN22" s="7">
        <f>SUM(BV22,BY22,CB22,CE22,CH22,CK22)</f>
        <v>71.3</v>
      </c>
      <c r="CO2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2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3" spans="1:99" x14ac:dyDescent="0.25">
      <c r="A23" t="s">
        <v>75</v>
      </c>
      <c r="B23" s="2" t="s">
        <v>60</v>
      </c>
      <c r="C23" s="2" t="s">
        <v>76</v>
      </c>
      <c r="D23" t="s">
        <v>28</v>
      </c>
      <c r="E23" s="2">
        <f>SUM(COUNTIF(AA[[#This Row],[Bydgoszcz_all_around]],"Yes"),COUNTIF(AA[[#This Row],[Zabrze_all_around]],"Yes"),COUNTIF(AA[[#This Row],[Cracow_all_around]],"Yes"),COUNTIF(AA[[#This Row],[Gdansk_all_Around]],"Yes"))</f>
        <v>2</v>
      </c>
      <c r="F23" s="4">
        <v>0</v>
      </c>
      <c r="G23" s="7">
        <v>0</v>
      </c>
      <c r="H23" s="7">
        <v>0</v>
      </c>
      <c r="I23" s="4">
        <v>0</v>
      </c>
      <c r="J23" s="7">
        <v>0</v>
      </c>
      <c r="K23" s="7">
        <v>0</v>
      </c>
      <c r="L23" s="4">
        <v>0</v>
      </c>
      <c r="M23" s="7">
        <v>0</v>
      </c>
      <c r="N23" s="7">
        <v>0</v>
      </c>
      <c r="O23" s="4">
        <v>0</v>
      </c>
      <c r="P23" s="7">
        <v>0</v>
      </c>
      <c r="Q23" s="7">
        <v>0</v>
      </c>
      <c r="R23" s="4">
        <v>0</v>
      </c>
      <c r="S23" s="7">
        <v>0</v>
      </c>
      <c r="T23" s="7">
        <v>0</v>
      </c>
      <c r="U23" s="4">
        <v>0</v>
      </c>
      <c r="V23" s="7">
        <v>0</v>
      </c>
      <c r="W23" s="7">
        <v>0</v>
      </c>
      <c r="X23" s="4">
        <f>SUM(F23,I23,L23,O23,R23,U23)</f>
        <v>0</v>
      </c>
      <c r="Y23" s="7">
        <f>SUM(G23,J23,M23,P23,S23,V23)</f>
        <v>0</v>
      </c>
      <c r="Z23" s="7">
        <f>SUM(H23,K23,N23,Q23,T23,W23)</f>
        <v>0</v>
      </c>
      <c r="AA2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3" s="4">
        <v>3.8</v>
      </c>
      <c r="AC23" s="7">
        <v>7.3</v>
      </c>
      <c r="AD23" s="7">
        <v>11.1</v>
      </c>
      <c r="AE23" s="4">
        <v>4.2</v>
      </c>
      <c r="AF23" s="7">
        <v>8.25</v>
      </c>
      <c r="AG23" s="7">
        <v>12.45</v>
      </c>
      <c r="AH23" s="4">
        <v>3.8</v>
      </c>
      <c r="AI23" s="7">
        <v>7.8</v>
      </c>
      <c r="AJ23" s="7">
        <v>11.6</v>
      </c>
      <c r="AK23" s="4">
        <v>3.2</v>
      </c>
      <c r="AL23" s="7">
        <v>9.4499999999999993</v>
      </c>
      <c r="AM23" s="7">
        <v>12.65</v>
      </c>
      <c r="AN23" s="4">
        <v>3.5</v>
      </c>
      <c r="AO23" s="7">
        <v>8.0500000000000007</v>
      </c>
      <c r="AP23" s="7">
        <v>11.55</v>
      </c>
      <c r="AQ23" s="4">
        <v>2.2000000000000002</v>
      </c>
      <c r="AR23" s="7">
        <v>8.1</v>
      </c>
      <c r="AS23" s="7">
        <v>10.3</v>
      </c>
      <c r="AT23" s="4">
        <f>SUM(AB23,AE23,AH23,AK23,AN23,AQ23)</f>
        <v>20.7</v>
      </c>
      <c r="AU23" s="7">
        <f>SUM(AC23,AF23,AI23,AL23,AO23,AR23)</f>
        <v>48.949999999999996</v>
      </c>
      <c r="AV23" s="7">
        <f>SUM(AD23,AG23,AJ23,AM23,AP23,AS23)</f>
        <v>69.649999999999991</v>
      </c>
      <c r="AW2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23" s="4">
        <v>3.9</v>
      </c>
      <c r="AY23" s="7">
        <v>7.9</v>
      </c>
      <c r="AZ23" s="7">
        <v>11.8</v>
      </c>
      <c r="BA23" s="4">
        <v>4.2</v>
      </c>
      <c r="BB23" s="7">
        <v>8.5</v>
      </c>
      <c r="BC23" s="7">
        <v>12.7</v>
      </c>
      <c r="BD23" s="4">
        <v>3.4</v>
      </c>
      <c r="BE23" s="7">
        <v>7.7</v>
      </c>
      <c r="BF23" s="7">
        <v>11.1</v>
      </c>
      <c r="BG23" s="4">
        <v>3.2</v>
      </c>
      <c r="BH23" s="7">
        <v>9.0500000000000007</v>
      </c>
      <c r="BI23" s="7">
        <v>12.25</v>
      </c>
      <c r="BJ23" s="4">
        <v>3.5</v>
      </c>
      <c r="BK23" s="7">
        <v>9.1</v>
      </c>
      <c r="BL23" s="7">
        <v>12.6</v>
      </c>
      <c r="BM23" s="4">
        <v>2.5</v>
      </c>
      <c r="BN23" s="7">
        <v>8.15</v>
      </c>
      <c r="BO23" s="7">
        <v>10.65</v>
      </c>
      <c r="BP23" s="4">
        <f>SUM(AX23,BA23,BD23,BG23,BJ23,BM23)</f>
        <v>20.7</v>
      </c>
      <c r="BQ23" s="7">
        <f>SUM(AY23,BB23,BE23,BH23,BK23,BN23)</f>
        <v>50.4</v>
      </c>
      <c r="BR23" s="7">
        <f>SUM(AZ23,BC23,BF23,BI23,BL23,BO23)</f>
        <v>71.100000000000009</v>
      </c>
      <c r="BS2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23" s="4">
        <v>0</v>
      </c>
      <c r="BU23" s="7">
        <v>0</v>
      </c>
      <c r="BV23" s="7">
        <v>0</v>
      </c>
      <c r="BW23" s="4">
        <v>0</v>
      </c>
      <c r="BX23" s="7">
        <v>0</v>
      </c>
      <c r="BY23" s="7">
        <v>0</v>
      </c>
      <c r="BZ23" s="4">
        <v>0</v>
      </c>
      <c r="CA23" s="7">
        <v>0</v>
      </c>
      <c r="CB23" s="7">
        <v>0</v>
      </c>
      <c r="CC23" s="4">
        <v>0</v>
      </c>
      <c r="CD23" s="7">
        <v>0</v>
      </c>
      <c r="CE23" s="7">
        <v>0</v>
      </c>
      <c r="CF23" s="4">
        <v>0</v>
      </c>
      <c r="CG23" s="7">
        <v>0</v>
      </c>
      <c r="CH23" s="7">
        <v>0</v>
      </c>
      <c r="CI23" s="4">
        <v>0</v>
      </c>
      <c r="CJ23" s="7">
        <v>0</v>
      </c>
      <c r="CK23" s="7">
        <v>0</v>
      </c>
      <c r="CL23" s="4">
        <f>SUM(BT23,BW23,BZ23,CC23,CF23,CI23)</f>
        <v>0</v>
      </c>
      <c r="CM23" s="7">
        <f>SUM(BU23,BX23,CA23,CD23,CG23,CJ23)</f>
        <v>0</v>
      </c>
      <c r="CN23" s="7">
        <f>SUM(BV23,BY23,CB23,CE23,CH23,CK23)</f>
        <v>0</v>
      </c>
      <c r="CO2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4" spans="1:99" x14ac:dyDescent="0.25">
      <c r="A24" t="s">
        <v>112</v>
      </c>
      <c r="B24" s="2" t="s">
        <v>26</v>
      </c>
      <c r="C24" s="2" t="s">
        <v>113</v>
      </c>
      <c r="D24" t="s">
        <v>31</v>
      </c>
      <c r="E24" s="2">
        <f>SUM(COUNTIF(AA[[#This Row],[Bydgoszcz_all_around]],"Yes"),COUNTIF(AA[[#This Row],[Zabrze_all_around]],"Yes"),COUNTIF(AA[[#This Row],[Cracow_all_around]],"Yes"),COUNTIF(AA[[#This Row],[Gdansk_all_Around]],"Yes"))</f>
        <v>2</v>
      </c>
      <c r="F24" s="4">
        <v>4</v>
      </c>
      <c r="G24" s="7">
        <v>7.8</v>
      </c>
      <c r="H24" s="7">
        <v>11.8</v>
      </c>
      <c r="I24" s="4">
        <v>3.1</v>
      </c>
      <c r="J24" s="7">
        <v>7.65</v>
      </c>
      <c r="K24" s="7">
        <v>10.75</v>
      </c>
      <c r="L24" s="4">
        <v>8</v>
      </c>
      <c r="M24" s="7">
        <v>2.9</v>
      </c>
      <c r="N24" s="7">
        <v>10.9</v>
      </c>
      <c r="O24" s="4">
        <v>4</v>
      </c>
      <c r="P24" s="7">
        <v>8.5</v>
      </c>
      <c r="Q24" s="7">
        <v>12.5</v>
      </c>
      <c r="R24" s="4">
        <v>3.1</v>
      </c>
      <c r="S24" s="7">
        <v>8.65</v>
      </c>
      <c r="T24" s="7">
        <v>11.75</v>
      </c>
      <c r="U24" s="4">
        <v>3.4</v>
      </c>
      <c r="V24" s="7">
        <v>7.8</v>
      </c>
      <c r="W24" s="7">
        <v>11.2</v>
      </c>
      <c r="X24" s="4">
        <f>SUM(F24,I24,L24,O24,R24,U24)</f>
        <v>25.6</v>
      </c>
      <c r="Y24" s="7">
        <f>SUM(G24,J24,M24,P24,S24,V24)</f>
        <v>43.3</v>
      </c>
      <c r="Z24" s="7">
        <f>SUM(H24,K24,N24,Q24,T24,W24)</f>
        <v>68.900000000000006</v>
      </c>
      <c r="AA24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24" s="4">
        <v>0</v>
      </c>
      <c r="AC24" s="7">
        <v>0</v>
      </c>
      <c r="AD24" s="7">
        <v>0</v>
      </c>
      <c r="AE24" s="4">
        <v>0</v>
      </c>
      <c r="AF24" s="7">
        <v>0</v>
      </c>
      <c r="AG24" s="7">
        <v>0</v>
      </c>
      <c r="AH24" s="4">
        <v>0</v>
      </c>
      <c r="AI24" s="7">
        <v>0</v>
      </c>
      <c r="AJ24" s="7">
        <v>0</v>
      </c>
      <c r="AK24" s="4">
        <v>0</v>
      </c>
      <c r="AL24" s="7">
        <v>0</v>
      </c>
      <c r="AM24" s="7">
        <v>0</v>
      </c>
      <c r="AN24" s="4">
        <v>0</v>
      </c>
      <c r="AO24" s="7">
        <v>0</v>
      </c>
      <c r="AP24" s="7">
        <v>0</v>
      </c>
      <c r="AQ24" s="4">
        <v>0</v>
      </c>
      <c r="AR24" s="7">
        <v>0</v>
      </c>
      <c r="AS24" s="7">
        <v>0</v>
      </c>
      <c r="AT24" s="4">
        <f>SUM(AB24,AE24,AH24,AK24,AN24,AQ24)</f>
        <v>0</v>
      </c>
      <c r="AU24" s="7">
        <f>SUM(AC24,AF24,AI24,AL24,AO24,AR24)</f>
        <v>0</v>
      </c>
      <c r="AV24" s="7">
        <f>SUM(AD24,AG24,AJ24,AM24,AP24,AS24)</f>
        <v>0</v>
      </c>
      <c r="AW24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4" s="4">
        <v>0</v>
      </c>
      <c r="AY24" s="7">
        <v>0</v>
      </c>
      <c r="AZ24" s="7">
        <v>0</v>
      </c>
      <c r="BA24" s="4">
        <v>0</v>
      </c>
      <c r="BB24" s="7">
        <v>0</v>
      </c>
      <c r="BC24" s="7">
        <v>0</v>
      </c>
      <c r="BD24" s="4">
        <v>0</v>
      </c>
      <c r="BE24" s="7">
        <v>0</v>
      </c>
      <c r="BF24" s="7">
        <v>0</v>
      </c>
      <c r="BG24" s="4">
        <v>0</v>
      </c>
      <c r="BH24" s="7">
        <v>0</v>
      </c>
      <c r="BI24" s="7">
        <v>0</v>
      </c>
      <c r="BJ24" s="4">
        <v>0</v>
      </c>
      <c r="BK24" s="7">
        <v>0</v>
      </c>
      <c r="BL24" s="7">
        <v>0</v>
      </c>
      <c r="BM24" s="4">
        <v>0</v>
      </c>
      <c r="BN24" s="7">
        <v>0</v>
      </c>
      <c r="BO24" s="7">
        <v>0</v>
      </c>
      <c r="BP24" s="4">
        <f>SUM(AX24,BA24,BD24,BG24,BJ24,BM24)</f>
        <v>0</v>
      </c>
      <c r="BQ24" s="7">
        <f>SUM(AY24,BB24,BE24,BH24,BK24,BN24)</f>
        <v>0</v>
      </c>
      <c r="BR24" s="7">
        <f>SUM(AZ24,BC24,BF24,BI24,BL24,BO24)</f>
        <v>0</v>
      </c>
      <c r="BS24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4" s="4">
        <v>4.2</v>
      </c>
      <c r="BU24" s="7">
        <v>6.3</v>
      </c>
      <c r="BV24" s="7">
        <v>10.5</v>
      </c>
      <c r="BW24" s="4">
        <v>2.7</v>
      </c>
      <c r="BX24" s="7">
        <v>6</v>
      </c>
      <c r="BY24" s="7">
        <v>8.6999999999999993</v>
      </c>
      <c r="BZ24" s="4">
        <v>2.2000000000000002</v>
      </c>
      <c r="CA24" s="7">
        <v>7.7</v>
      </c>
      <c r="CB24" s="7">
        <v>9.9</v>
      </c>
      <c r="CC24" s="4">
        <v>4</v>
      </c>
      <c r="CD24" s="7">
        <v>8.9</v>
      </c>
      <c r="CE24" s="7">
        <v>12.9</v>
      </c>
      <c r="CF24" s="4">
        <v>3.2</v>
      </c>
      <c r="CG24" s="7">
        <v>7.4</v>
      </c>
      <c r="CH24" s="7">
        <v>10.6</v>
      </c>
      <c r="CI24" s="4">
        <v>3.2</v>
      </c>
      <c r="CJ24" s="7">
        <v>7.5</v>
      </c>
      <c r="CK24" s="7">
        <v>10.7</v>
      </c>
      <c r="CL24" s="4">
        <f>SUM(BT24,BW24,BZ24,CC24,CF24,CI24)</f>
        <v>19.5</v>
      </c>
      <c r="CM24" s="7">
        <f>SUM(BU24,BX24,CA24,CD24,CG24,CJ24)</f>
        <v>43.8</v>
      </c>
      <c r="CN24" s="7">
        <f>SUM(BV24,BY24,CB24,CE24,CH24,CK24)</f>
        <v>63.3</v>
      </c>
      <c r="CO24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2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5" spans="1:99" x14ac:dyDescent="0.25">
      <c r="A25" t="s">
        <v>100</v>
      </c>
      <c r="B25" s="2" t="s">
        <v>60</v>
      </c>
      <c r="C25" s="2" t="s">
        <v>101</v>
      </c>
      <c r="D25" t="s">
        <v>31</v>
      </c>
      <c r="E25" s="2">
        <f>SUM(COUNTIF(AA[[#This Row],[Bydgoszcz_all_around]],"Yes"),COUNTIF(AA[[#This Row],[Zabrze_all_around]],"Yes"),COUNTIF(AA[[#This Row],[Cracow_all_around]],"Yes"),COUNTIF(AA[[#This Row],[Gdansk_all_Around]],"Yes"))</f>
        <v>1</v>
      </c>
      <c r="F25" s="4">
        <v>4.3</v>
      </c>
      <c r="G25" s="7">
        <v>7.4</v>
      </c>
      <c r="H25" s="7">
        <v>11.7</v>
      </c>
      <c r="I25" s="4">
        <v>2.4</v>
      </c>
      <c r="J25" s="7">
        <v>1.1000000000000001</v>
      </c>
      <c r="K25" s="7">
        <v>3.5</v>
      </c>
      <c r="L25" s="4">
        <v>2.9</v>
      </c>
      <c r="M25" s="7">
        <v>7</v>
      </c>
      <c r="N25" s="7">
        <v>9.9</v>
      </c>
      <c r="O25" s="4">
        <v>3.2</v>
      </c>
      <c r="P25" s="7">
        <v>7.8</v>
      </c>
      <c r="Q25" s="7">
        <v>11</v>
      </c>
      <c r="R25" s="4">
        <v>2.9</v>
      </c>
      <c r="S25" s="7">
        <v>7.75</v>
      </c>
      <c r="T25" s="7">
        <v>10.65</v>
      </c>
      <c r="U25" s="4">
        <v>2.7</v>
      </c>
      <c r="V25" s="7">
        <v>6.8</v>
      </c>
      <c r="W25" s="7">
        <v>9.5</v>
      </c>
      <c r="X25" s="4">
        <f>SUM(F25,I25,L25,O25,R25,U25)</f>
        <v>18.400000000000002</v>
      </c>
      <c r="Y25" s="7">
        <f>SUM(G25,J25,M25,P25,S25,V25)</f>
        <v>37.85</v>
      </c>
      <c r="Z25" s="7">
        <f>SUM(H25,K25,N25,Q25,T25,W25)</f>
        <v>56.25</v>
      </c>
      <c r="AA25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25" s="4">
        <v>4.2</v>
      </c>
      <c r="AC25" s="7">
        <v>7.3</v>
      </c>
      <c r="AD25" s="7">
        <v>11.5</v>
      </c>
      <c r="AE25" s="4">
        <v>0</v>
      </c>
      <c r="AF25" s="7">
        <v>0</v>
      </c>
      <c r="AG25" s="7">
        <v>0</v>
      </c>
      <c r="AH25" s="4">
        <v>0</v>
      </c>
      <c r="AI25" s="7">
        <v>0</v>
      </c>
      <c r="AJ25" s="7">
        <v>0</v>
      </c>
      <c r="AK25" s="4">
        <v>0</v>
      </c>
      <c r="AL25" s="7">
        <v>0</v>
      </c>
      <c r="AM25" s="7">
        <v>0</v>
      </c>
      <c r="AN25" s="4">
        <v>2.4</v>
      </c>
      <c r="AO25" s="7">
        <v>8.0500000000000007</v>
      </c>
      <c r="AP25" s="7">
        <v>10.45</v>
      </c>
      <c r="AQ25" s="4">
        <v>2</v>
      </c>
      <c r="AR25" s="7">
        <v>5.2</v>
      </c>
      <c r="AS25" s="7">
        <v>7.2</v>
      </c>
      <c r="AT25" s="4">
        <f>SUM(AB25,AE25,AH25,AK25,AN25,AQ25)</f>
        <v>8.6</v>
      </c>
      <c r="AU25" s="7">
        <f>SUM(AC25,AF25,AI25,AL25,AO25,AR25)</f>
        <v>20.55</v>
      </c>
      <c r="AV25" s="7">
        <f>SUM(AD25,AG25,AJ25,AM25,AP25,AS25)</f>
        <v>29.15</v>
      </c>
      <c r="AW25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5" s="4">
        <v>4.4000000000000004</v>
      </c>
      <c r="AY25" s="7">
        <v>7.55</v>
      </c>
      <c r="AZ25" s="7">
        <v>11.95</v>
      </c>
      <c r="BA25" s="4">
        <v>0</v>
      </c>
      <c r="BB25" s="7">
        <v>0</v>
      </c>
      <c r="BC25" s="7">
        <v>0</v>
      </c>
      <c r="BD25" s="4">
        <v>0</v>
      </c>
      <c r="BE25" s="7">
        <v>0</v>
      </c>
      <c r="BF25" s="7">
        <v>0</v>
      </c>
      <c r="BG25" s="4">
        <v>0</v>
      </c>
      <c r="BH25" s="7">
        <v>0</v>
      </c>
      <c r="BI25" s="7">
        <v>0</v>
      </c>
      <c r="BJ25" s="4">
        <v>0</v>
      </c>
      <c r="BK25" s="7">
        <v>0</v>
      </c>
      <c r="BL25" s="7">
        <v>0</v>
      </c>
      <c r="BM25" s="4">
        <v>2.1</v>
      </c>
      <c r="BN25" s="7">
        <v>8.5</v>
      </c>
      <c r="BO25" s="7">
        <v>10.6</v>
      </c>
      <c r="BP25" s="4">
        <f>SUM(AX25,BA25,BD25,BG25,BJ25,BM25)</f>
        <v>6.5</v>
      </c>
      <c r="BQ25" s="7">
        <f>SUM(AY25,BB25,BE25,BH25,BK25,BN25)</f>
        <v>16.05</v>
      </c>
      <c r="BR25" s="7">
        <f>SUM(AZ25,BC25,BF25,BI25,BL25,BO25)</f>
        <v>22.549999999999997</v>
      </c>
      <c r="BS25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5" s="4">
        <v>0</v>
      </c>
      <c r="BU25" s="7">
        <v>0</v>
      </c>
      <c r="BV25" s="7">
        <v>0</v>
      </c>
      <c r="BW25" s="4">
        <v>0</v>
      </c>
      <c r="BX25" s="7">
        <v>0</v>
      </c>
      <c r="BY25" s="7">
        <v>0</v>
      </c>
      <c r="BZ25" s="4">
        <v>0</v>
      </c>
      <c r="CA25" s="7">
        <v>0</v>
      </c>
      <c r="CB25" s="7">
        <v>0</v>
      </c>
      <c r="CC25" s="4">
        <v>0</v>
      </c>
      <c r="CD25" s="7">
        <v>0</v>
      </c>
      <c r="CE25" s="7">
        <v>0</v>
      </c>
      <c r="CF25" s="4">
        <v>0</v>
      </c>
      <c r="CG25" s="7">
        <v>0</v>
      </c>
      <c r="CH25" s="7">
        <v>0</v>
      </c>
      <c r="CI25" s="4">
        <v>0</v>
      </c>
      <c r="CJ25" s="7">
        <v>0</v>
      </c>
      <c r="CK25" s="7">
        <v>0</v>
      </c>
      <c r="CL25" s="4">
        <f>SUM(BT25,BW25,BZ25,CC25,CF25,CI25)</f>
        <v>0</v>
      </c>
      <c r="CM25" s="7">
        <f>SUM(BU25,BX25,CA25,CD25,CG25,CJ25)</f>
        <v>0</v>
      </c>
      <c r="CN25" s="7">
        <f>SUM(BV25,BY25,CB25,CE25,CH25,CK25)</f>
        <v>0</v>
      </c>
      <c r="CO25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6" spans="1:99" x14ac:dyDescent="0.25">
      <c r="A26" t="s">
        <v>70</v>
      </c>
      <c r="B26" s="2" t="s">
        <v>60</v>
      </c>
      <c r="C26" s="2" t="s">
        <v>71</v>
      </c>
      <c r="D26" t="s">
        <v>72</v>
      </c>
      <c r="E26" s="2">
        <f>SUM(COUNTIF(AA[[#This Row],[Bydgoszcz_all_around]],"Yes"),COUNTIF(AA[[#This Row],[Zabrze_all_around]],"Yes"),COUNTIF(AA[[#This Row],[Cracow_all_around]],"Yes"),COUNTIF(AA[[#This Row],[Gdansk_all_Around]],"Yes"))</f>
        <v>1</v>
      </c>
      <c r="F26" s="4">
        <v>0</v>
      </c>
      <c r="G26" s="7">
        <v>0</v>
      </c>
      <c r="H26" s="7">
        <v>0</v>
      </c>
      <c r="I26" s="4">
        <v>0</v>
      </c>
      <c r="J26" s="7">
        <v>0</v>
      </c>
      <c r="K26" s="7">
        <v>0</v>
      </c>
      <c r="L26" s="4">
        <v>0</v>
      </c>
      <c r="M26" s="7">
        <v>0</v>
      </c>
      <c r="N26" s="7">
        <v>0</v>
      </c>
      <c r="O26" s="4">
        <v>0</v>
      </c>
      <c r="P26" s="7">
        <v>0</v>
      </c>
      <c r="Q26" s="7">
        <v>0</v>
      </c>
      <c r="R26" s="4">
        <v>0</v>
      </c>
      <c r="S26" s="7">
        <v>0</v>
      </c>
      <c r="T26" s="7">
        <v>0</v>
      </c>
      <c r="U26" s="4">
        <v>0</v>
      </c>
      <c r="V26" s="7">
        <v>0</v>
      </c>
      <c r="W26" s="7">
        <v>0</v>
      </c>
      <c r="X26" s="4">
        <f>SUM(F26,I26,L26,O26,R26,U26)</f>
        <v>0</v>
      </c>
      <c r="Y26" s="7">
        <f>SUM(G26,J26,M26,P26,S26,V26)</f>
        <v>0</v>
      </c>
      <c r="Z26" s="7">
        <f>SUM(H26,K26,N26,Q26,T26,W26)</f>
        <v>0</v>
      </c>
      <c r="AA26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6" s="4">
        <v>5</v>
      </c>
      <c r="AC26" s="7">
        <v>6.8</v>
      </c>
      <c r="AD26" s="7">
        <v>11.8</v>
      </c>
      <c r="AE26" s="4">
        <v>3.3</v>
      </c>
      <c r="AF26" s="7">
        <v>6</v>
      </c>
      <c r="AG26" s="7">
        <v>9.3000000000000007</v>
      </c>
      <c r="AH26" s="4">
        <v>4.0999999999999996</v>
      </c>
      <c r="AI26" s="7">
        <v>7.6</v>
      </c>
      <c r="AJ26" s="7">
        <v>11.7</v>
      </c>
      <c r="AK26" s="4">
        <v>5.2</v>
      </c>
      <c r="AL26" s="7">
        <v>8.25</v>
      </c>
      <c r="AM26" s="7">
        <v>13.45</v>
      </c>
      <c r="AN26" s="4">
        <v>4.3</v>
      </c>
      <c r="AO26" s="7">
        <v>8.1999999999999993</v>
      </c>
      <c r="AP26" s="7">
        <v>12.5</v>
      </c>
      <c r="AQ26" s="4">
        <v>3.7</v>
      </c>
      <c r="AR26" s="7">
        <v>7.95</v>
      </c>
      <c r="AS26" s="7">
        <v>11.65</v>
      </c>
      <c r="AT26" s="4">
        <f>SUM(AB26,AE26,AH26,AK26,AN26,AQ26)</f>
        <v>25.6</v>
      </c>
      <c r="AU26" s="7">
        <f>SUM(AC26,AF26,AI26,AL26,AO26,AR26)</f>
        <v>44.8</v>
      </c>
      <c r="AV26" s="7">
        <f>SUM(AD26,AG26,AJ26,AM26,AP26,AS26)</f>
        <v>70.400000000000006</v>
      </c>
      <c r="AW26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Yes</v>
      </c>
      <c r="AX26" s="4">
        <v>4.9000000000000004</v>
      </c>
      <c r="AY26" s="7">
        <v>7.6</v>
      </c>
      <c r="AZ26" s="7">
        <v>12.5</v>
      </c>
      <c r="BA26" s="4">
        <v>3.6</v>
      </c>
      <c r="BB26" s="7">
        <v>6.7</v>
      </c>
      <c r="BC26" s="7">
        <v>10.3</v>
      </c>
      <c r="BD26" s="4">
        <v>4.0999999999999996</v>
      </c>
      <c r="BE26" s="7">
        <v>7.8</v>
      </c>
      <c r="BF26" s="7">
        <v>11.9</v>
      </c>
      <c r="BG26" s="4">
        <v>5.2</v>
      </c>
      <c r="BH26" s="7">
        <v>7.65</v>
      </c>
      <c r="BI26" s="7">
        <v>12.85</v>
      </c>
      <c r="BJ26" s="4">
        <v>0</v>
      </c>
      <c r="BK26" s="7">
        <v>0</v>
      </c>
      <c r="BL26" s="7">
        <v>0</v>
      </c>
      <c r="BM26" s="4">
        <v>3.7</v>
      </c>
      <c r="BN26" s="7">
        <v>7.4</v>
      </c>
      <c r="BO26" s="7">
        <v>11.1</v>
      </c>
      <c r="BP26" s="4">
        <f>SUM(AX26,BA26,BD26,BG26,BJ26,BM26)</f>
        <v>21.5</v>
      </c>
      <c r="BQ26" s="7">
        <f>SUM(AY26,BB26,BE26,BH26,BK26,BN26)</f>
        <v>37.15</v>
      </c>
      <c r="BR26" s="7">
        <f>SUM(AZ26,BC26,BF26,BI26,BL26,BO26)</f>
        <v>58.650000000000006</v>
      </c>
      <c r="BS26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6" s="4">
        <v>0</v>
      </c>
      <c r="BU26" s="7">
        <v>0</v>
      </c>
      <c r="BV26" s="7">
        <v>0</v>
      </c>
      <c r="BW26" s="4">
        <v>0</v>
      </c>
      <c r="BX26" s="7">
        <v>0</v>
      </c>
      <c r="BY26" s="7">
        <v>0</v>
      </c>
      <c r="BZ26" s="4">
        <v>0</v>
      </c>
      <c r="CA26" s="7">
        <v>0</v>
      </c>
      <c r="CB26" s="7">
        <v>0</v>
      </c>
      <c r="CC26" s="4">
        <v>0</v>
      </c>
      <c r="CD26" s="7">
        <v>0</v>
      </c>
      <c r="CE26" s="7">
        <v>0</v>
      </c>
      <c r="CF26" s="4">
        <v>0</v>
      </c>
      <c r="CG26" s="7">
        <v>0</v>
      </c>
      <c r="CH26" s="7">
        <v>0</v>
      </c>
      <c r="CI26" s="4">
        <v>0</v>
      </c>
      <c r="CJ26" s="7">
        <v>0</v>
      </c>
      <c r="CK26" s="7">
        <v>0</v>
      </c>
      <c r="CL26" s="4">
        <f>SUM(BT26,BW26,BZ26,CC26,CF26,CI26)</f>
        <v>0</v>
      </c>
      <c r="CM26" s="7">
        <f>SUM(BU26,BX26,CA26,CD26,CG26,CJ26)</f>
        <v>0</v>
      </c>
      <c r="CN26" s="7">
        <f>SUM(BV26,BY26,CB26,CE26,CH26,CK26)</f>
        <v>0</v>
      </c>
      <c r="CO26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7" spans="1:99" x14ac:dyDescent="0.25">
      <c r="A27" t="s">
        <v>88</v>
      </c>
      <c r="B27" s="2" t="s">
        <v>60</v>
      </c>
      <c r="C27" s="2" t="s">
        <v>89</v>
      </c>
      <c r="D27" t="s">
        <v>36</v>
      </c>
      <c r="E27" s="2">
        <f>SUM(COUNTIF(AA[[#This Row],[Bydgoszcz_all_around]],"Yes"),COUNTIF(AA[[#This Row],[Zabrze_all_around]],"Yes"),COUNTIF(AA[[#This Row],[Cracow_all_around]],"Yes"),COUNTIF(AA[[#This Row],[Gdansk_all_Around]],"Yes"))</f>
        <v>1</v>
      </c>
      <c r="F27" s="4">
        <v>0</v>
      </c>
      <c r="G27" s="7">
        <v>0</v>
      </c>
      <c r="H27" s="7">
        <v>0</v>
      </c>
      <c r="I27" s="4">
        <v>0</v>
      </c>
      <c r="J27" s="7">
        <v>0</v>
      </c>
      <c r="K27" s="7">
        <v>0</v>
      </c>
      <c r="L27" s="4">
        <v>0</v>
      </c>
      <c r="M27" s="7">
        <v>0</v>
      </c>
      <c r="N27" s="7">
        <v>0</v>
      </c>
      <c r="O27" s="4">
        <v>0</v>
      </c>
      <c r="P27" s="7">
        <v>0</v>
      </c>
      <c r="Q27" s="7">
        <v>0</v>
      </c>
      <c r="R27" s="4">
        <v>0</v>
      </c>
      <c r="S27" s="7">
        <v>0</v>
      </c>
      <c r="T27" s="7">
        <v>0</v>
      </c>
      <c r="U27" s="4">
        <v>0</v>
      </c>
      <c r="V27" s="7">
        <v>0</v>
      </c>
      <c r="W27" s="7">
        <v>0</v>
      </c>
      <c r="X27" s="4">
        <f>SUM(F27,I27,L27,O27,R27,U27)</f>
        <v>0</v>
      </c>
      <c r="Y27" s="7">
        <f>SUM(G27,J27,M27,P27,S27,V27)</f>
        <v>0</v>
      </c>
      <c r="Z27" s="7">
        <f>SUM(H27,K27,N27,Q27,T27,W27)</f>
        <v>0</v>
      </c>
      <c r="AA27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7" s="4">
        <v>0</v>
      </c>
      <c r="AC27" s="7">
        <v>0</v>
      </c>
      <c r="AD27" s="7">
        <v>0</v>
      </c>
      <c r="AE27" s="4">
        <v>2.7</v>
      </c>
      <c r="AF27" s="7">
        <v>7</v>
      </c>
      <c r="AG27" s="7">
        <v>9.6999999999999993</v>
      </c>
      <c r="AH27" s="4">
        <v>2.5</v>
      </c>
      <c r="AI27" s="7">
        <v>7.2</v>
      </c>
      <c r="AJ27" s="7">
        <v>9.6999999999999993</v>
      </c>
      <c r="AK27" s="4">
        <v>0</v>
      </c>
      <c r="AL27" s="7">
        <v>0</v>
      </c>
      <c r="AM27" s="7">
        <v>0</v>
      </c>
      <c r="AN27" s="4">
        <v>2.8</v>
      </c>
      <c r="AO27" s="7">
        <v>7.4</v>
      </c>
      <c r="AP27" s="7">
        <v>10.199999999999999</v>
      </c>
      <c r="AQ27" s="4">
        <v>2.1</v>
      </c>
      <c r="AR27" s="7">
        <v>6.9</v>
      </c>
      <c r="AS27" s="7">
        <v>9</v>
      </c>
      <c r="AT27" s="4">
        <f>SUM(AB27,AE27,AH27,AK27,AN27,AQ27)</f>
        <v>10.1</v>
      </c>
      <c r="AU27" s="7">
        <f>SUM(AC27,AF27,AI27,AL27,AO27,AR27)</f>
        <v>28.5</v>
      </c>
      <c r="AV27" s="7">
        <f>SUM(AD27,AG27,AJ27,AM27,AP27,AS27)</f>
        <v>38.599999999999994</v>
      </c>
      <c r="AW27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7" s="4">
        <v>0</v>
      </c>
      <c r="AY27" s="7">
        <v>0</v>
      </c>
      <c r="AZ27" s="7">
        <v>0</v>
      </c>
      <c r="BA27" s="4">
        <v>0</v>
      </c>
      <c r="BB27" s="7">
        <v>0</v>
      </c>
      <c r="BC27" s="7">
        <v>0</v>
      </c>
      <c r="BD27" s="4">
        <v>0</v>
      </c>
      <c r="BE27" s="7">
        <v>0</v>
      </c>
      <c r="BF27" s="7">
        <v>0</v>
      </c>
      <c r="BG27" s="4">
        <v>0</v>
      </c>
      <c r="BH27" s="7">
        <v>0</v>
      </c>
      <c r="BI27" s="7">
        <v>0</v>
      </c>
      <c r="BJ27" s="4">
        <v>0</v>
      </c>
      <c r="BK27" s="7">
        <v>0</v>
      </c>
      <c r="BL27" s="7">
        <v>0</v>
      </c>
      <c r="BM27" s="4">
        <v>0</v>
      </c>
      <c r="BN27" s="7">
        <v>0</v>
      </c>
      <c r="BO27" s="7">
        <v>0</v>
      </c>
      <c r="BP27" s="4">
        <f>SUM(AX27,BA27,BD27,BG27,BJ27,BM27)</f>
        <v>0</v>
      </c>
      <c r="BQ27" s="7">
        <f>SUM(AY27,BB27,BE27,BH27,BK27,BN27)</f>
        <v>0</v>
      </c>
      <c r="BR27" s="7">
        <f>SUM(AZ27,BC27,BF27,BI27,BL27,BO27)</f>
        <v>0</v>
      </c>
      <c r="BS27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7" s="4">
        <v>3.2</v>
      </c>
      <c r="BU27" s="7">
        <v>7</v>
      </c>
      <c r="BV27" s="7">
        <v>10.199999999999999</v>
      </c>
      <c r="BW27" s="4">
        <v>2.4</v>
      </c>
      <c r="BX27" s="7">
        <v>5.8</v>
      </c>
      <c r="BY27" s="7">
        <v>8.1999999999999993</v>
      </c>
      <c r="BZ27" s="4">
        <v>2.2000000000000002</v>
      </c>
      <c r="CA27" s="7">
        <v>7.7</v>
      </c>
      <c r="CB27" s="7">
        <v>9.9</v>
      </c>
      <c r="CC27" s="4">
        <v>2.4</v>
      </c>
      <c r="CD27" s="7">
        <v>8</v>
      </c>
      <c r="CE27" s="7">
        <v>10.4</v>
      </c>
      <c r="CF27" s="4">
        <v>2.7</v>
      </c>
      <c r="CG27" s="7">
        <v>7.9</v>
      </c>
      <c r="CH27" s="7">
        <v>10.6</v>
      </c>
      <c r="CI27" s="4">
        <v>1.9</v>
      </c>
      <c r="CJ27" s="7">
        <v>4.2</v>
      </c>
      <c r="CK27" s="7">
        <v>6.1</v>
      </c>
      <c r="CL27" s="4">
        <f>SUM(BT27,BW27,BZ27,CC27,CF27,CI27)</f>
        <v>14.799999999999999</v>
      </c>
      <c r="CM27" s="7">
        <f>SUM(BU27,BX27,CA27,CD27,CG27,CJ27)</f>
        <v>40.6</v>
      </c>
      <c r="CN27" s="7">
        <f>SUM(BV27,BY27,CB27,CE27,CH27,CK27)</f>
        <v>55.4</v>
      </c>
      <c r="CO27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Yes</v>
      </c>
      <c r="CP2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8" spans="1:99" x14ac:dyDescent="0.25">
      <c r="A28" t="s">
        <v>118</v>
      </c>
      <c r="B28" s="2" t="s">
        <v>60</v>
      </c>
      <c r="C28" s="2" t="s">
        <v>119</v>
      </c>
      <c r="D28" t="s">
        <v>31</v>
      </c>
      <c r="E28" s="2">
        <f>SUM(COUNTIF(AA[[#This Row],[Bydgoszcz_all_around]],"Yes"),COUNTIF(AA[[#This Row],[Zabrze_all_around]],"Yes"),COUNTIF(AA[[#This Row],[Cracow_all_around]],"Yes"),COUNTIF(AA[[#This Row],[Gdansk_all_Around]],"Yes"))</f>
        <v>1</v>
      </c>
      <c r="F28" s="4">
        <v>0</v>
      </c>
      <c r="G28" s="7">
        <v>0</v>
      </c>
      <c r="H28" s="7">
        <v>0</v>
      </c>
      <c r="I28" s="4">
        <v>0</v>
      </c>
      <c r="J28" s="7">
        <v>0</v>
      </c>
      <c r="K28" s="7">
        <v>0</v>
      </c>
      <c r="L28" s="4">
        <v>0</v>
      </c>
      <c r="M28" s="7">
        <v>0</v>
      </c>
      <c r="N28" s="7">
        <v>0</v>
      </c>
      <c r="O28" s="4">
        <v>0</v>
      </c>
      <c r="P28" s="7">
        <v>0</v>
      </c>
      <c r="Q28" s="7">
        <v>0</v>
      </c>
      <c r="R28" s="4">
        <v>0</v>
      </c>
      <c r="S28" s="7">
        <v>0</v>
      </c>
      <c r="T28" s="7">
        <v>0</v>
      </c>
      <c r="U28" s="4">
        <v>0</v>
      </c>
      <c r="V28" s="7">
        <v>0</v>
      </c>
      <c r="W28" s="7">
        <v>0</v>
      </c>
      <c r="X28" s="4">
        <f>SUM(F28,I28,L28,O28,R28,U28)</f>
        <v>0</v>
      </c>
      <c r="Y28" s="7">
        <f>SUM(G28,J28,M28,P28,S28,V28)</f>
        <v>0</v>
      </c>
      <c r="Z28" s="7">
        <f>SUM(H28,K28,N28,Q28,T28,W28)</f>
        <v>0</v>
      </c>
      <c r="AA28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28" s="4">
        <v>0</v>
      </c>
      <c r="AC28" s="7">
        <v>0</v>
      </c>
      <c r="AD28" s="7">
        <v>0</v>
      </c>
      <c r="AE28" s="4">
        <v>0</v>
      </c>
      <c r="AF28" s="7">
        <v>0</v>
      </c>
      <c r="AG28" s="7">
        <v>0</v>
      </c>
      <c r="AH28" s="4">
        <v>0</v>
      </c>
      <c r="AI28" s="7">
        <v>0</v>
      </c>
      <c r="AJ28" s="7">
        <v>0</v>
      </c>
      <c r="AK28" s="4">
        <v>0</v>
      </c>
      <c r="AL28" s="7">
        <v>0</v>
      </c>
      <c r="AM28" s="7">
        <v>0</v>
      </c>
      <c r="AN28" s="4">
        <v>0</v>
      </c>
      <c r="AO28" s="7">
        <v>0</v>
      </c>
      <c r="AP28" s="7">
        <v>0</v>
      </c>
      <c r="AQ28" s="4">
        <v>0</v>
      </c>
      <c r="AR28" s="7">
        <v>0</v>
      </c>
      <c r="AS28" s="7">
        <v>0</v>
      </c>
      <c r="AT28" s="4">
        <f>SUM(AB28,AE28,AH28,AK28,AN28,AQ28)</f>
        <v>0</v>
      </c>
      <c r="AU28" s="7">
        <f>SUM(AC28,AF28,AI28,AL28,AO28,AR28)</f>
        <v>0</v>
      </c>
      <c r="AV28" s="7">
        <f>SUM(AD28,AG28,AJ28,AM28,AP28,AS28)</f>
        <v>0</v>
      </c>
      <c r="AW28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8" s="4">
        <v>4.8</v>
      </c>
      <c r="AY28" s="7">
        <v>7.7</v>
      </c>
      <c r="AZ28" s="7">
        <v>12.5</v>
      </c>
      <c r="BA28" s="4">
        <v>4.5999999999999996</v>
      </c>
      <c r="BB28" s="7">
        <v>7.7</v>
      </c>
      <c r="BC28" s="7">
        <v>12.3</v>
      </c>
      <c r="BD28" s="4">
        <v>4</v>
      </c>
      <c r="BE28" s="7">
        <v>7.65</v>
      </c>
      <c r="BF28" s="7">
        <v>11.65</v>
      </c>
      <c r="BG28" s="4">
        <v>4</v>
      </c>
      <c r="BH28" s="7">
        <v>9.3000000000000007</v>
      </c>
      <c r="BI28" s="7">
        <v>13.3</v>
      </c>
      <c r="BJ28" s="4">
        <v>4.3</v>
      </c>
      <c r="BK28" s="7">
        <v>7.1</v>
      </c>
      <c r="BL28" s="7">
        <v>11.4</v>
      </c>
      <c r="BM28" s="4">
        <v>3.7</v>
      </c>
      <c r="BN28" s="7">
        <v>8.15</v>
      </c>
      <c r="BO28" s="7">
        <v>11.85</v>
      </c>
      <c r="BP28" s="4">
        <f>SUM(AX28,BA28,BD28,BG28,BJ28,BM28)</f>
        <v>25.4</v>
      </c>
      <c r="BQ28" s="7">
        <f>SUM(AY28,BB28,BE28,BH28,BK28,BN28)</f>
        <v>47.6</v>
      </c>
      <c r="BR28" s="7">
        <f>SUM(AZ28,BC28,BF28,BI28,BL28,BO28)</f>
        <v>73</v>
      </c>
      <c r="BS28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Yes</v>
      </c>
      <c r="BT28" s="4">
        <v>0</v>
      </c>
      <c r="BU28" s="7">
        <v>0</v>
      </c>
      <c r="BV28" s="7">
        <v>0</v>
      </c>
      <c r="BW28" s="4">
        <v>0</v>
      </c>
      <c r="BX28" s="7">
        <v>0</v>
      </c>
      <c r="BY28" s="7">
        <v>0</v>
      </c>
      <c r="BZ28" s="4">
        <v>0</v>
      </c>
      <c r="CA28" s="7">
        <v>0</v>
      </c>
      <c r="CB28" s="7">
        <v>0</v>
      </c>
      <c r="CC28" s="4">
        <v>0</v>
      </c>
      <c r="CD28" s="7">
        <v>0</v>
      </c>
      <c r="CE28" s="7">
        <v>0</v>
      </c>
      <c r="CF28" s="4">
        <v>0</v>
      </c>
      <c r="CG28" s="7">
        <v>0</v>
      </c>
      <c r="CH28" s="7">
        <v>0</v>
      </c>
      <c r="CI28" s="4">
        <v>0</v>
      </c>
      <c r="CJ28" s="7">
        <v>0</v>
      </c>
      <c r="CK28" s="7">
        <v>0</v>
      </c>
      <c r="CL28" s="4">
        <f>SUM(BT28,BW28,BZ28,CC28,CF28,CI28)</f>
        <v>0</v>
      </c>
      <c r="CM28" s="7">
        <f>SUM(BU28,BX28,CA28,CD28,CG28,CJ28)</f>
        <v>0</v>
      </c>
      <c r="CN28" s="7">
        <f>SUM(BV28,BY28,CB28,CE28,CH28,CK28)</f>
        <v>0</v>
      </c>
      <c r="CO28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29" spans="1:99" x14ac:dyDescent="0.25">
      <c r="A29" t="s">
        <v>142</v>
      </c>
      <c r="B29" s="2" t="s">
        <v>60</v>
      </c>
      <c r="C29" s="2" t="s">
        <v>143</v>
      </c>
      <c r="D29" t="s">
        <v>62</v>
      </c>
      <c r="E29" s="2">
        <f>SUM(COUNTIF(AA[[#This Row],[Bydgoszcz_all_around]],"Yes"),COUNTIF(AA[[#This Row],[Zabrze_all_around]],"Yes"),COUNTIF(AA[[#This Row],[Cracow_all_around]],"Yes"),COUNTIF(AA[[#This Row],[Gdansk_all_Around]],"Yes"))</f>
        <v>1</v>
      </c>
      <c r="F29" s="4">
        <v>4.5</v>
      </c>
      <c r="G29" s="7">
        <v>8.6999999999999993</v>
      </c>
      <c r="H29" s="7">
        <v>13.2</v>
      </c>
      <c r="I29" s="4">
        <v>3.8</v>
      </c>
      <c r="J29" s="7">
        <v>7.9</v>
      </c>
      <c r="K29" s="7">
        <v>11.7</v>
      </c>
      <c r="L29" s="4">
        <v>2.7</v>
      </c>
      <c r="M29" s="7">
        <v>8</v>
      </c>
      <c r="N29" s="7">
        <v>10.7</v>
      </c>
      <c r="O29" s="4">
        <v>3.2</v>
      </c>
      <c r="P29" s="7">
        <v>9.5</v>
      </c>
      <c r="Q29" s="7">
        <v>12.7</v>
      </c>
      <c r="R29" s="4">
        <v>3.4</v>
      </c>
      <c r="S29" s="7">
        <v>7.9</v>
      </c>
      <c r="T29" s="7">
        <v>11.3</v>
      </c>
      <c r="U29" s="4">
        <v>3.6</v>
      </c>
      <c r="V29" s="7">
        <v>8</v>
      </c>
      <c r="W29" s="7">
        <v>11.6</v>
      </c>
      <c r="X29" s="4">
        <f>SUM(F29,I29,L29,O29,R29,U29)</f>
        <v>21.2</v>
      </c>
      <c r="Y29" s="7">
        <f>SUM(G29,J29,M29,P29,S29,V29)</f>
        <v>50</v>
      </c>
      <c r="Z29" s="7">
        <f>SUM(H29,K29,N29,Q29,T29,W29)</f>
        <v>71.199999999999989</v>
      </c>
      <c r="AA29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29" s="4">
        <v>0</v>
      </c>
      <c r="AC29" s="7">
        <v>0</v>
      </c>
      <c r="AD29" s="7">
        <v>0</v>
      </c>
      <c r="AE29" s="4">
        <v>0</v>
      </c>
      <c r="AF29" s="7">
        <v>0</v>
      </c>
      <c r="AG29" s="7">
        <v>0</v>
      </c>
      <c r="AH29" s="4">
        <v>0</v>
      </c>
      <c r="AI29" s="7">
        <v>0</v>
      </c>
      <c r="AJ29" s="7">
        <v>0</v>
      </c>
      <c r="AK29" s="4">
        <v>0</v>
      </c>
      <c r="AL29" s="7">
        <v>0</v>
      </c>
      <c r="AM29" s="7">
        <v>0</v>
      </c>
      <c r="AN29" s="4">
        <v>0</v>
      </c>
      <c r="AO29" s="7">
        <v>0</v>
      </c>
      <c r="AP29" s="7">
        <v>0</v>
      </c>
      <c r="AQ29" s="4">
        <v>0</v>
      </c>
      <c r="AR29" s="7">
        <v>0</v>
      </c>
      <c r="AS29" s="7">
        <v>0</v>
      </c>
      <c r="AT29" s="4">
        <f>SUM(AB29,AE29,AH29,AK29,AN29,AQ29)</f>
        <v>0</v>
      </c>
      <c r="AU29" s="7">
        <f>SUM(AC29,AF29,AI29,AL29,AO29,AR29)</f>
        <v>0</v>
      </c>
      <c r="AV29" s="7">
        <f>SUM(AD29,AG29,AJ29,AM29,AP29,AS29)</f>
        <v>0</v>
      </c>
      <c r="AW29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29" s="4">
        <v>0</v>
      </c>
      <c r="AY29" s="7">
        <v>0</v>
      </c>
      <c r="AZ29" s="7">
        <v>0</v>
      </c>
      <c r="BA29" s="4">
        <v>0</v>
      </c>
      <c r="BB29" s="7">
        <v>0</v>
      </c>
      <c r="BC29" s="7">
        <v>0</v>
      </c>
      <c r="BD29" s="4">
        <v>0</v>
      </c>
      <c r="BE29" s="7">
        <v>0</v>
      </c>
      <c r="BF29" s="7">
        <v>0</v>
      </c>
      <c r="BG29" s="4">
        <v>0</v>
      </c>
      <c r="BH29" s="7">
        <v>0</v>
      </c>
      <c r="BI29" s="7">
        <v>0</v>
      </c>
      <c r="BJ29" s="4">
        <v>0</v>
      </c>
      <c r="BK29" s="7">
        <v>0</v>
      </c>
      <c r="BL29" s="7">
        <v>0</v>
      </c>
      <c r="BM29" s="4">
        <v>0</v>
      </c>
      <c r="BN29" s="7">
        <v>0</v>
      </c>
      <c r="BO29" s="7">
        <v>0</v>
      </c>
      <c r="BP29" s="4">
        <f>SUM(AX29,BA29,BD29,BG29,BJ29,BM29)</f>
        <v>0</v>
      </c>
      <c r="BQ29" s="7">
        <f>SUM(AY29,BB29,BE29,BH29,BK29,BN29)</f>
        <v>0</v>
      </c>
      <c r="BR29" s="7">
        <f>SUM(AZ29,BC29,BF29,BI29,BL29,BO29)</f>
        <v>0</v>
      </c>
      <c r="BS29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29" s="4">
        <v>0</v>
      </c>
      <c r="BU29" s="7">
        <v>0</v>
      </c>
      <c r="BV29" s="7">
        <v>0</v>
      </c>
      <c r="BW29" s="4">
        <v>0</v>
      </c>
      <c r="BX29" s="7">
        <v>0</v>
      </c>
      <c r="BY29" s="7">
        <v>0</v>
      </c>
      <c r="BZ29" s="4">
        <v>0</v>
      </c>
      <c r="CA29" s="7">
        <v>0</v>
      </c>
      <c r="CB29" s="7">
        <v>0</v>
      </c>
      <c r="CC29" s="4">
        <v>0</v>
      </c>
      <c r="CD29" s="7">
        <v>0</v>
      </c>
      <c r="CE29" s="7">
        <v>0</v>
      </c>
      <c r="CF29" s="4">
        <v>0</v>
      </c>
      <c r="CG29" s="7">
        <v>0</v>
      </c>
      <c r="CH29" s="7">
        <v>0</v>
      </c>
      <c r="CI29" s="4">
        <v>0</v>
      </c>
      <c r="CJ29" s="7">
        <v>0</v>
      </c>
      <c r="CK29" s="7">
        <v>0</v>
      </c>
      <c r="CL29" s="4">
        <f>SUM(BT29,BW29,BZ29,CC29,CF29,CI29)</f>
        <v>0</v>
      </c>
      <c r="CM29" s="7">
        <f>SUM(BU29,BX29,CA29,CD29,CG29,CJ29)</f>
        <v>0</v>
      </c>
      <c r="CN29" s="7">
        <f>SUM(BV29,BY29,CB29,CE29,CH29,CK29)</f>
        <v>0</v>
      </c>
      <c r="CO29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2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2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2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2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2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2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0" spans="1:99" x14ac:dyDescent="0.25">
      <c r="A30" t="s">
        <v>132</v>
      </c>
      <c r="B30" s="2" t="s">
        <v>26</v>
      </c>
      <c r="C30" s="2" t="s">
        <v>133</v>
      </c>
      <c r="D30" t="s">
        <v>39</v>
      </c>
      <c r="E30" s="2">
        <f>SUM(COUNTIF(AA[[#This Row],[Bydgoszcz_all_around]],"Yes"),COUNTIF(AA[[#This Row],[Zabrze_all_around]],"Yes"),COUNTIF(AA[[#This Row],[Cracow_all_around]],"Yes"),COUNTIF(AA[[#This Row],[Gdansk_all_Around]],"Yes"))</f>
        <v>1</v>
      </c>
      <c r="F30" s="4">
        <v>3.8</v>
      </c>
      <c r="G30" s="7">
        <v>7.8</v>
      </c>
      <c r="H30" s="7">
        <v>11.6</v>
      </c>
      <c r="I30" s="4">
        <v>3</v>
      </c>
      <c r="J30" s="7">
        <v>7.6</v>
      </c>
      <c r="K30" s="7">
        <v>10.6</v>
      </c>
      <c r="L30" s="4">
        <v>2.2999999999999998</v>
      </c>
      <c r="M30" s="7">
        <v>7.15</v>
      </c>
      <c r="N30" s="7">
        <v>9.4499999999999993</v>
      </c>
      <c r="O30" s="4">
        <v>2.2000000000000002</v>
      </c>
      <c r="P30" s="7">
        <v>9.1</v>
      </c>
      <c r="Q30" s="7">
        <v>11.3</v>
      </c>
      <c r="R30" s="4">
        <v>3</v>
      </c>
      <c r="S30" s="7">
        <v>8.0500000000000007</v>
      </c>
      <c r="T30" s="7">
        <v>11.05</v>
      </c>
      <c r="U30" s="4">
        <v>2.4</v>
      </c>
      <c r="V30" s="7">
        <v>9.1</v>
      </c>
      <c r="W30" s="7">
        <v>11.5</v>
      </c>
      <c r="X30" s="4">
        <f>SUM(F30,I30,L30,O30,R30,U30)</f>
        <v>16.7</v>
      </c>
      <c r="Y30" s="7">
        <f>SUM(G30,J30,M30,P30,S30,V30)</f>
        <v>48.800000000000004</v>
      </c>
      <c r="Z30" s="7">
        <f>SUM(H30,K30,N30,Q30,T30,W30)</f>
        <v>65.5</v>
      </c>
      <c r="AA30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30" s="4">
        <v>0</v>
      </c>
      <c r="AC30" s="7">
        <v>0</v>
      </c>
      <c r="AD30" s="7">
        <v>0</v>
      </c>
      <c r="AE30" s="4">
        <v>0</v>
      </c>
      <c r="AF30" s="7">
        <v>0</v>
      </c>
      <c r="AG30" s="7">
        <v>0</v>
      </c>
      <c r="AH30" s="4">
        <v>0</v>
      </c>
      <c r="AI30" s="7">
        <v>0</v>
      </c>
      <c r="AJ30" s="7">
        <v>0</v>
      </c>
      <c r="AK30" s="4">
        <v>0</v>
      </c>
      <c r="AL30" s="7">
        <v>0</v>
      </c>
      <c r="AM30" s="7">
        <v>0</v>
      </c>
      <c r="AN30" s="4">
        <v>0</v>
      </c>
      <c r="AO30" s="7">
        <v>0</v>
      </c>
      <c r="AP30" s="7">
        <v>0</v>
      </c>
      <c r="AQ30" s="4">
        <v>0</v>
      </c>
      <c r="AR30" s="7">
        <v>0</v>
      </c>
      <c r="AS30" s="7">
        <v>0</v>
      </c>
      <c r="AT30" s="4">
        <f>SUM(AB30,AE30,AH30,AK30,AN30,AQ30)</f>
        <v>0</v>
      </c>
      <c r="AU30" s="7">
        <f>SUM(AC30,AF30,AI30,AL30,AO30,AR30)</f>
        <v>0</v>
      </c>
      <c r="AV30" s="7">
        <f>SUM(AD30,AG30,AJ30,AM30,AP30,AS30)</f>
        <v>0</v>
      </c>
      <c r="AW30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0" s="4">
        <v>0</v>
      </c>
      <c r="AY30" s="7">
        <v>0</v>
      </c>
      <c r="AZ30" s="7">
        <v>0</v>
      </c>
      <c r="BA30" s="4">
        <v>0</v>
      </c>
      <c r="BB30" s="7">
        <v>0</v>
      </c>
      <c r="BC30" s="7">
        <v>0</v>
      </c>
      <c r="BD30" s="4">
        <v>0</v>
      </c>
      <c r="BE30" s="7">
        <v>0</v>
      </c>
      <c r="BF30" s="7">
        <v>0</v>
      </c>
      <c r="BG30" s="4">
        <v>0</v>
      </c>
      <c r="BH30" s="7">
        <v>0</v>
      </c>
      <c r="BI30" s="7">
        <v>0</v>
      </c>
      <c r="BJ30" s="4">
        <v>0</v>
      </c>
      <c r="BK30" s="7">
        <v>0</v>
      </c>
      <c r="BL30" s="7">
        <v>0</v>
      </c>
      <c r="BM30" s="4">
        <v>0</v>
      </c>
      <c r="BN30" s="7">
        <v>0</v>
      </c>
      <c r="BO30" s="7">
        <v>0</v>
      </c>
      <c r="BP30" s="4">
        <f>SUM(AX30,BA30,BD30,BG30,BJ30,BM30)</f>
        <v>0</v>
      </c>
      <c r="BQ30" s="7">
        <f>SUM(AY30,BB30,BE30,BH30,BK30,BN30)</f>
        <v>0</v>
      </c>
      <c r="BR30" s="7">
        <f>SUM(AZ30,BC30,BF30,BI30,BL30,BO30)</f>
        <v>0</v>
      </c>
      <c r="BS30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0" s="4">
        <v>0</v>
      </c>
      <c r="BU30" s="7">
        <v>0</v>
      </c>
      <c r="BV30" s="7">
        <v>0</v>
      </c>
      <c r="BW30" s="4">
        <v>0</v>
      </c>
      <c r="BX30" s="7">
        <v>0</v>
      </c>
      <c r="BY30" s="7">
        <v>0</v>
      </c>
      <c r="BZ30" s="4">
        <v>0</v>
      </c>
      <c r="CA30" s="7">
        <v>0</v>
      </c>
      <c r="CB30" s="7">
        <v>0</v>
      </c>
      <c r="CC30" s="4">
        <v>0</v>
      </c>
      <c r="CD30" s="7">
        <v>0</v>
      </c>
      <c r="CE30" s="7">
        <v>0</v>
      </c>
      <c r="CF30" s="4">
        <v>0</v>
      </c>
      <c r="CG30" s="7">
        <v>0</v>
      </c>
      <c r="CH30" s="7">
        <v>0</v>
      </c>
      <c r="CI30" s="4">
        <v>0</v>
      </c>
      <c r="CJ30" s="7">
        <v>0</v>
      </c>
      <c r="CK30" s="7">
        <v>0</v>
      </c>
      <c r="CL30" s="4">
        <f>SUM(BT30,BW30,BZ30,CC30,CF30,CI30)</f>
        <v>0</v>
      </c>
      <c r="CM30" s="7">
        <f>SUM(BU30,BX30,CA30,CD30,CG30,CJ30)</f>
        <v>0</v>
      </c>
      <c r="CN30" s="7">
        <f>SUM(BV30,BY30,CB30,CE30,CH30,CK30)</f>
        <v>0</v>
      </c>
      <c r="CO30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1" spans="1:99" x14ac:dyDescent="0.25">
      <c r="A31" t="s">
        <v>57</v>
      </c>
      <c r="B31" s="2" t="s">
        <v>26</v>
      </c>
      <c r="C31" s="2" t="s">
        <v>58</v>
      </c>
      <c r="D31" t="s">
        <v>36</v>
      </c>
      <c r="E31" s="2">
        <f>SUM(COUNTIF(AA[[#This Row],[Bydgoszcz_all_around]],"Yes"),COUNTIF(AA[[#This Row],[Zabrze_all_around]],"Yes"),COUNTIF(AA[[#This Row],[Cracow_all_around]],"Yes"),COUNTIF(AA[[#This Row],[Gdansk_all_Around]],"Yes"))</f>
        <v>1</v>
      </c>
      <c r="F31" s="4">
        <v>3.2</v>
      </c>
      <c r="G31" s="7">
        <v>7.3</v>
      </c>
      <c r="H31" s="7">
        <v>10.5</v>
      </c>
      <c r="I31" s="4">
        <v>2.6</v>
      </c>
      <c r="J31" s="7">
        <v>6</v>
      </c>
      <c r="K31" s="7">
        <v>8.6</v>
      </c>
      <c r="L31" s="4">
        <v>2.8</v>
      </c>
      <c r="M31" s="7">
        <v>8.1</v>
      </c>
      <c r="N31" s="7">
        <v>10.9</v>
      </c>
      <c r="O31" s="4">
        <v>1.6</v>
      </c>
      <c r="P31" s="7">
        <v>8.6999999999999993</v>
      </c>
      <c r="Q31" s="7">
        <v>10.3</v>
      </c>
      <c r="R31" s="4">
        <v>2.5</v>
      </c>
      <c r="S31" s="7">
        <v>5.7</v>
      </c>
      <c r="T31" s="7">
        <v>8.1999999999999993</v>
      </c>
      <c r="U31" s="4">
        <v>1.9</v>
      </c>
      <c r="V31" s="7">
        <v>8.1</v>
      </c>
      <c r="W31" s="7">
        <v>10</v>
      </c>
      <c r="X31" s="4">
        <f>SUM(F31,I31,L31,O31,R31,U31)</f>
        <v>14.600000000000001</v>
      </c>
      <c r="Y31" s="7">
        <f>SUM(G31,J31,M31,P31,S31,V31)</f>
        <v>43.9</v>
      </c>
      <c r="Z31" s="7">
        <f>SUM(H31,K31,N31,Q31,T31,W31)</f>
        <v>58.5</v>
      </c>
      <c r="AA31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31" s="4">
        <v>0</v>
      </c>
      <c r="AC31" s="7">
        <v>0</v>
      </c>
      <c r="AD31" s="7">
        <v>0</v>
      </c>
      <c r="AE31" s="4">
        <v>0</v>
      </c>
      <c r="AF31" s="7">
        <v>0</v>
      </c>
      <c r="AG31" s="7">
        <v>0</v>
      </c>
      <c r="AH31" s="4">
        <v>0</v>
      </c>
      <c r="AI31" s="7">
        <v>0</v>
      </c>
      <c r="AJ31" s="7">
        <v>0</v>
      </c>
      <c r="AK31" s="4">
        <v>0</v>
      </c>
      <c r="AL31" s="7">
        <v>0</v>
      </c>
      <c r="AM31" s="7">
        <v>0</v>
      </c>
      <c r="AN31" s="4">
        <v>0</v>
      </c>
      <c r="AO31" s="7">
        <v>0</v>
      </c>
      <c r="AP31" s="7">
        <v>0</v>
      </c>
      <c r="AQ31" s="4">
        <v>0</v>
      </c>
      <c r="AR31" s="7">
        <v>0</v>
      </c>
      <c r="AS31" s="7">
        <v>0</v>
      </c>
      <c r="AT31" s="4">
        <f>SUM(AB31,AE31,AH31,AK31,AN31,AQ31)</f>
        <v>0</v>
      </c>
      <c r="AU31" s="7">
        <f>SUM(AC31,AF31,AI31,AL31,AO31,AR31)</f>
        <v>0</v>
      </c>
      <c r="AV31" s="7">
        <f>SUM(AD31,AG31,AJ31,AM31,AP31,AS31)</f>
        <v>0</v>
      </c>
      <c r="AW31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1" s="4">
        <v>0</v>
      </c>
      <c r="AY31" s="7">
        <v>0</v>
      </c>
      <c r="AZ31" s="7">
        <v>0</v>
      </c>
      <c r="BA31" s="4">
        <v>0</v>
      </c>
      <c r="BB31" s="7">
        <v>0</v>
      </c>
      <c r="BC31" s="7">
        <v>0</v>
      </c>
      <c r="BD31" s="4">
        <v>0</v>
      </c>
      <c r="BE31" s="7">
        <v>0</v>
      </c>
      <c r="BF31" s="7">
        <v>0</v>
      </c>
      <c r="BG31" s="4">
        <v>0</v>
      </c>
      <c r="BH31" s="7">
        <v>0</v>
      </c>
      <c r="BI31" s="7">
        <v>0</v>
      </c>
      <c r="BJ31" s="4">
        <v>0</v>
      </c>
      <c r="BK31" s="7">
        <v>0</v>
      </c>
      <c r="BL31" s="7">
        <v>0</v>
      </c>
      <c r="BM31" s="4">
        <v>0</v>
      </c>
      <c r="BN31" s="7">
        <v>0</v>
      </c>
      <c r="BO31" s="7">
        <v>0</v>
      </c>
      <c r="BP31" s="4">
        <f>SUM(AX31,BA31,BD31,BG31,BJ31,BM31)</f>
        <v>0</v>
      </c>
      <c r="BQ31" s="7">
        <f>SUM(AY31,BB31,BE31,BH31,BK31,BN31)</f>
        <v>0</v>
      </c>
      <c r="BR31" s="7">
        <f>SUM(AZ31,BC31,BF31,BI31,BL31,BO31)</f>
        <v>0</v>
      </c>
      <c r="BS31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1" s="4">
        <v>0</v>
      </c>
      <c r="BU31" s="7">
        <v>0</v>
      </c>
      <c r="BV31" s="7">
        <v>0</v>
      </c>
      <c r="BW31" s="4">
        <v>0</v>
      </c>
      <c r="BX31" s="7">
        <v>0</v>
      </c>
      <c r="BY31" s="7">
        <v>0</v>
      </c>
      <c r="BZ31" s="4">
        <v>0</v>
      </c>
      <c r="CA31" s="7">
        <v>0</v>
      </c>
      <c r="CB31" s="7">
        <v>0</v>
      </c>
      <c r="CC31" s="4">
        <v>0</v>
      </c>
      <c r="CD31" s="7">
        <v>0</v>
      </c>
      <c r="CE31" s="7">
        <v>0</v>
      </c>
      <c r="CF31" s="4">
        <v>0</v>
      </c>
      <c r="CG31" s="7">
        <v>0</v>
      </c>
      <c r="CH31" s="7">
        <v>0</v>
      </c>
      <c r="CI31" s="4">
        <v>0</v>
      </c>
      <c r="CJ31" s="7">
        <v>0</v>
      </c>
      <c r="CK31" s="7">
        <v>0</v>
      </c>
      <c r="CL31" s="4">
        <f>SUM(BT31,BW31,BZ31,CC31,CF31,CI31)</f>
        <v>0</v>
      </c>
      <c r="CM31" s="7">
        <f>SUM(BU31,BX31,CA31,CD31,CG31,CJ31)</f>
        <v>0</v>
      </c>
      <c r="CN31" s="7">
        <f>SUM(BV31,BY31,CB31,CE31,CH31,CK31)</f>
        <v>0</v>
      </c>
      <c r="CO31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2" spans="1:99" x14ac:dyDescent="0.25">
      <c r="A32" t="s">
        <v>135</v>
      </c>
      <c r="B32" s="2" t="s">
        <v>26</v>
      </c>
      <c r="C32" s="2" t="s">
        <v>136</v>
      </c>
      <c r="D32" t="s">
        <v>124</v>
      </c>
      <c r="E32" s="2">
        <f>SUM(COUNTIF(AA[[#This Row],[Bydgoszcz_all_around]],"Yes"),COUNTIF(AA[[#This Row],[Zabrze_all_around]],"Yes"),COUNTIF(AA[[#This Row],[Cracow_all_around]],"Yes"),COUNTIF(AA[[#This Row],[Gdansk_all_Around]],"Yes"))</f>
        <v>1</v>
      </c>
      <c r="F32" s="4">
        <v>2.9</v>
      </c>
      <c r="G32" s="7">
        <v>7.8</v>
      </c>
      <c r="H32" s="7">
        <v>10.7</v>
      </c>
      <c r="I32" s="4">
        <v>1.3</v>
      </c>
      <c r="J32" s="7">
        <v>0</v>
      </c>
      <c r="K32" s="7">
        <v>1.3</v>
      </c>
      <c r="L32" s="4">
        <v>2.1</v>
      </c>
      <c r="M32" s="7">
        <v>5.2</v>
      </c>
      <c r="N32" s="7">
        <v>7.3</v>
      </c>
      <c r="O32" s="4">
        <v>2.4</v>
      </c>
      <c r="P32" s="7">
        <v>7.5</v>
      </c>
      <c r="Q32" s="7">
        <v>9.9</v>
      </c>
      <c r="R32" s="4">
        <v>1.4</v>
      </c>
      <c r="S32" s="7">
        <v>1.7</v>
      </c>
      <c r="T32" s="7">
        <v>3.1</v>
      </c>
      <c r="U32" s="4">
        <v>1.5</v>
      </c>
      <c r="V32" s="7">
        <v>5</v>
      </c>
      <c r="W32" s="7">
        <v>6.5</v>
      </c>
      <c r="X32" s="4">
        <f>SUM(F32,I32,L32,O32,R32,U32)</f>
        <v>11.600000000000001</v>
      </c>
      <c r="Y32" s="7">
        <f>SUM(G32,J32,M32,P32,S32,V32)</f>
        <v>27.2</v>
      </c>
      <c r="Z32" s="7">
        <f>SUM(H32,K32,N32,Q32,T32,W32)</f>
        <v>38.800000000000004</v>
      </c>
      <c r="AA3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32" s="4">
        <v>0</v>
      </c>
      <c r="AC32" s="7">
        <v>0</v>
      </c>
      <c r="AD32" s="7">
        <v>0</v>
      </c>
      <c r="AE32" s="4">
        <v>0</v>
      </c>
      <c r="AF32" s="7">
        <v>0</v>
      </c>
      <c r="AG32" s="7">
        <v>0</v>
      </c>
      <c r="AH32" s="4">
        <v>0</v>
      </c>
      <c r="AI32" s="7">
        <v>0</v>
      </c>
      <c r="AJ32" s="7">
        <v>0</v>
      </c>
      <c r="AK32" s="4">
        <v>0</v>
      </c>
      <c r="AL32" s="7">
        <v>0</v>
      </c>
      <c r="AM32" s="7">
        <v>0</v>
      </c>
      <c r="AN32" s="4">
        <v>0</v>
      </c>
      <c r="AO32" s="7">
        <v>0</v>
      </c>
      <c r="AP32" s="7">
        <v>0</v>
      </c>
      <c r="AQ32" s="4">
        <v>0</v>
      </c>
      <c r="AR32" s="7">
        <v>0</v>
      </c>
      <c r="AS32" s="7">
        <v>0</v>
      </c>
      <c r="AT32" s="4">
        <f>SUM(AB32,AE32,AH32,AK32,AN32,AQ32)</f>
        <v>0</v>
      </c>
      <c r="AU32" s="7">
        <f>SUM(AC32,AF32,AI32,AL32,AO32,AR32)</f>
        <v>0</v>
      </c>
      <c r="AV32" s="7">
        <f>SUM(AD32,AG32,AJ32,AM32,AP32,AS32)</f>
        <v>0</v>
      </c>
      <c r="AW3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2" s="4">
        <v>0</v>
      </c>
      <c r="AY32" s="7">
        <v>0</v>
      </c>
      <c r="AZ32" s="7">
        <v>0</v>
      </c>
      <c r="BA32" s="4">
        <v>0</v>
      </c>
      <c r="BB32" s="7">
        <v>0</v>
      </c>
      <c r="BC32" s="7">
        <v>0</v>
      </c>
      <c r="BD32" s="4">
        <v>0</v>
      </c>
      <c r="BE32" s="7">
        <v>0</v>
      </c>
      <c r="BF32" s="7">
        <v>0</v>
      </c>
      <c r="BG32" s="4">
        <v>0</v>
      </c>
      <c r="BH32" s="7">
        <v>0</v>
      </c>
      <c r="BI32" s="7">
        <v>0</v>
      </c>
      <c r="BJ32" s="4">
        <v>0</v>
      </c>
      <c r="BK32" s="7">
        <v>0</v>
      </c>
      <c r="BL32" s="7">
        <v>0</v>
      </c>
      <c r="BM32" s="4">
        <v>0</v>
      </c>
      <c r="BN32" s="7">
        <v>0</v>
      </c>
      <c r="BO32" s="7">
        <v>0</v>
      </c>
      <c r="BP32" s="4">
        <f>SUM(AX32,BA32,BD32,BG32,BJ32,BM32)</f>
        <v>0</v>
      </c>
      <c r="BQ32" s="7">
        <f>SUM(AY32,BB32,BE32,BH32,BK32,BN32)</f>
        <v>0</v>
      </c>
      <c r="BR32" s="7">
        <f>SUM(AZ32,BC32,BF32,BI32,BL32,BO32)</f>
        <v>0</v>
      </c>
      <c r="BS3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2" s="4">
        <v>0</v>
      </c>
      <c r="BU32" s="7">
        <v>0</v>
      </c>
      <c r="BV32" s="7">
        <v>0</v>
      </c>
      <c r="BW32" s="4">
        <v>0</v>
      </c>
      <c r="BX32" s="7">
        <v>0</v>
      </c>
      <c r="BY32" s="7">
        <v>0</v>
      </c>
      <c r="BZ32" s="4">
        <v>0</v>
      </c>
      <c r="CA32" s="7">
        <v>0</v>
      </c>
      <c r="CB32" s="7">
        <v>0</v>
      </c>
      <c r="CC32" s="4">
        <v>0</v>
      </c>
      <c r="CD32" s="7">
        <v>0</v>
      </c>
      <c r="CE32" s="7">
        <v>0</v>
      </c>
      <c r="CF32" s="4">
        <v>0</v>
      </c>
      <c r="CG32" s="7">
        <v>0</v>
      </c>
      <c r="CH32" s="7">
        <v>0</v>
      </c>
      <c r="CI32" s="4">
        <v>0</v>
      </c>
      <c r="CJ32" s="7">
        <v>0</v>
      </c>
      <c r="CK32" s="7">
        <v>0</v>
      </c>
      <c r="CL32" s="4">
        <f>SUM(BT32,BW32,BZ32,CC32,CF32,CI32)</f>
        <v>0</v>
      </c>
      <c r="CM32" s="7">
        <f>SUM(BU32,BX32,CA32,CD32,CG32,CJ32)</f>
        <v>0</v>
      </c>
      <c r="CN32" s="7">
        <f>SUM(BV32,BY32,CB32,CE32,CH32,CK32)</f>
        <v>0</v>
      </c>
      <c r="CO3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3" spans="1:99" x14ac:dyDescent="0.25">
      <c r="A33" t="s">
        <v>137</v>
      </c>
      <c r="B33" s="2" t="s">
        <v>26</v>
      </c>
      <c r="C33" s="2" t="s">
        <v>138</v>
      </c>
      <c r="D33" t="s">
        <v>124</v>
      </c>
      <c r="E33" s="2">
        <f>SUM(COUNTIF(AA[[#This Row],[Bydgoszcz_all_around]],"Yes"),COUNTIF(AA[[#This Row],[Zabrze_all_around]],"Yes"),COUNTIF(AA[[#This Row],[Cracow_all_around]],"Yes"),COUNTIF(AA[[#This Row],[Gdansk_all_Around]],"Yes"))</f>
        <v>1</v>
      </c>
      <c r="F33" s="4">
        <v>2.5</v>
      </c>
      <c r="G33" s="7">
        <v>8.3000000000000007</v>
      </c>
      <c r="H33" s="7">
        <v>10.8</v>
      </c>
      <c r="I33" s="4">
        <v>0.6</v>
      </c>
      <c r="J33" s="7">
        <v>0</v>
      </c>
      <c r="K33" s="7">
        <v>0.6</v>
      </c>
      <c r="L33" s="4">
        <v>1.5</v>
      </c>
      <c r="M33" s="7">
        <v>3.3</v>
      </c>
      <c r="N33" s="7">
        <v>4.8</v>
      </c>
      <c r="O33" s="4">
        <v>1.6</v>
      </c>
      <c r="P33" s="7">
        <v>9</v>
      </c>
      <c r="Q33" s="7">
        <v>10.6</v>
      </c>
      <c r="R33" s="4">
        <v>1.9</v>
      </c>
      <c r="S33" s="7">
        <v>2.85</v>
      </c>
      <c r="T33" s="7">
        <v>4.75</v>
      </c>
      <c r="U33" s="4">
        <v>0.1</v>
      </c>
      <c r="V33" s="7">
        <v>1</v>
      </c>
      <c r="W33" s="7">
        <v>1.1000000000000001</v>
      </c>
      <c r="X33" s="4">
        <f>SUM(F33,I33,L33,O33,R33,U33)</f>
        <v>8.1999999999999993</v>
      </c>
      <c r="Y33" s="7">
        <f>SUM(G33,J33,M33,P33,S33,V33)</f>
        <v>24.450000000000003</v>
      </c>
      <c r="Z33" s="7">
        <f>SUM(H33,K33,N33,Q33,T33,W33)</f>
        <v>32.65</v>
      </c>
      <c r="AA3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Yes</v>
      </c>
      <c r="AB33" s="4">
        <v>0</v>
      </c>
      <c r="AC33" s="7">
        <v>0</v>
      </c>
      <c r="AD33" s="7">
        <v>0</v>
      </c>
      <c r="AE33" s="4">
        <v>0</v>
      </c>
      <c r="AF33" s="7">
        <v>0</v>
      </c>
      <c r="AG33" s="7">
        <v>0</v>
      </c>
      <c r="AH33" s="4">
        <v>0</v>
      </c>
      <c r="AI33" s="7">
        <v>0</v>
      </c>
      <c r="AJ33" s="7">
        <v>0</v>
      </c>
      <c r="AK33" s="4">
        <v>0</v>
      </c>
      <c r="AL33" s="7">
        <v>0</v>
      </c>
      <c r="AM33" s="7">
        <v>0</v>
      </c>
      <c r="AN33" s="4">
        <v>0</v>
      </c>
      <c r="AO33" s="7">
        <v>0</v>
      </c>
      <c r="AP33" s="7">
        <v>0</v>
      </c>
      <c r="AQ33" s="4">
        <v>0</v>
      </c>
      <c r="AR33" s="7">
        <v>0</v>
      </c>
      <c r="AS33" s="7">
        <v>0</v>
      </c>
      <c r="AT33" s="4">
        <f>SUM(AB33,AE33,AH33,AK33,AN33,AQ33)</f>
        <v>0</v>
      </c>
      <c r="AU33" s="7">
        <f>SUM(AC33,AF33,AI33,AL33,AO33,AR33)</f>
        <v>0</v>
      </c>
      <c r="AV33" s="7">
        <f>SUM(AD33,AG33,AJ33,AM33,AP33,AS33)</f>
        <v>0</v>
      </c>
      <c r="AW3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3" s="4">
        <v>0</v>
      </c>
      <c r="AY33" s="7">
        <v>0</v>
      </c>
      <c r="AZ33" s="7">
        <v>0</v>
      </c>
      <c r="BA33" s="4">
        <v>0</v>
      </c>
      <c r="BB33" s="7">
        <v>0</v>
      </c>
      <c r="BC33" s="7">
        <v>0</v>
      </c>
      <c r="BD33" s="4">
        <v>0</v>
      </c>
      <c r="BE33" s="7">
        <v>0</v>
      </c>
      <c r="BF33" s="7">
        <v>0</v>
      </c>
      <c r="BG33" s="4">
        <v>0</v>
      </c>
      <c r="BH33" s="7">
        <v>0</v>
      </c>
      <c r="BI33" s="7">
        <v>0</v>
      </c>
      <c r="BJ33" s="4">
        <v>0</v>
      </c>
      <c r="BK33" s="7">
        <v>0</v>
      </c>
      <c r="BL33" s="7">
        <v>0</v>
      </c>
      <c r="BM33" s="4">
        <v>0</v>
      </c>
      <c r="BN33" s="7">
        <v>0</v>
      </c>
      <c r="BO33" s="7">
        <v>0</v>
      </c>
      <c r="BP33" s="4">
        <f>SUM(AX33,BA33,BD33,BG33,BJ33,BM33)</f>
        <v>0</v>
      </c>
      <c r="BQ33" s="7">
        <f>SUM(AY33,BB33,BE33,BH33,BK33,BN33)</f>
        <v>0</v>
      </c>
      <c r="BR33" s="7">
        <f>SUM(AZ33,BC33,BF33,BI33,BL33,BO33)</f>
        <v>0</v>
      </c>
      <c r="BS3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3" s="4">
        <v>0</v>
      </c>
      <c r="BU33" s="7">
        <v>0</v>
      </c>
      <c r="BV33" s="7">
        <v>0</v>
      </c>
      <c r="BW33" s="4">
        <v>0</v>
      </c>
      <c r="BX33" s="7">
        <v>0</v>
      </c>
      <c r="BY33" s="7">
        <v>0</v>
      </c>
      <c r="BZ33" s="4">
        <v>0</v>
      </c>
      <c r="CA33" s="7">
        <v>0</v>
      </c>
      <c r="CB33" s="7">
        <v>0</v>
      </c>
      <c r="CC33" s="4">
        <v>0</v>
      </c>
      <c r="CD33" s="7">
        <v>0</v>
      </c>
      <c r="CE33" s="7">
        <v>0</v>
      </c>
      <c r="CF33" s="4">
        <v>0</v>
      </c>
      <c r="CG33" s="7">
        <v>0</v>
      </c>
      <c r="CH33" s="7">
        <v>0</v>
      </c>
      <c r="CI33" s="4">
        <v>0</v>
      </c>
      <c r="CJ33" s="7">
        <v>0</v>
      </c>
      <c r="CK33" s="7">
        <v>0</v>
      </c>
      <c r="CL33" s="4">
        <f>SUM(BT33,BW33,BZ33,CC33,CF33,CI33)</f>
        <v>0</v>
      </c>
      <c r="CM33" s="7">
        <f>SUM(BU33,BX33,CA33,CD33,CG33,CJ33)</f>
        <v>0</v>
      </c>
      <c r="CN33" s="7">
        <f>SUM(BV33,BY33,CB33,CE33,CH33,CK33)</f>
        <v>0</v>
      </c>
      <c r="CO3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4" spans="1:99" x14ac:dyDescent="0.25">
      <c r="A34" t="s">
        <v>86</v>
      </c>
      <c r="B34" s="2" t="s">
        <v>60</v>
      </c>
      <c r="C34" s="2" t="s">
        <v>87</v>
      </c>
      <c r="D34" t="s">
        <v>72</v>
      </c>
      <c r="E34" s="2">
        <f>SUM(COUNTIF(AA[[#This Row],[Bydgoszcz_all_around]],"Yes"),COUNTIF(AA[[#This Row],[Zabrze_all_around]],"Yes"),COUNTIF(AA[[#This Row],[Cracow_all_around]],"Yes"),COUNTIF(AA[[#This Row],[Gdansk_all_Around]],"Yes"))</f>
        <v>0</v>
      </c>
      <c r="F34" s="4">
        <v>4.2</v>
      </c>
      <c r="G34" s="7">
        <v>8.6</v>
      </c>
      <c r="H34" s="7">
        <v>12.8</v>
      </c>
      <c r="I34" s="4">
        <v>3.8</v>
      </c>
      <c r="J34" s="7">
        <v>7.1</v>
      </c>
      <c r="K34" s="7">
        <v>10.9</v>
      </c>
      <c r="L34" s="4">
        <v>3.5</v>
      </c>
      <c r="M34" s="7">
        <v>6.7</v>
      </c>
      <c r="N34" s="7">
        <v>10.199999999999999</v>
      </c>
      <c r="O34" s="4">
        <v>2.8</v>
      </c>
      <c r="P34" s="7">
        <v>9.1999999999999993</v>
      </c>
      <c r="Q34" s="7">
        <v>12</v>
      </c>
      <c r="R34" s="4">
        <v>2.6</v>
      </c>
      <c r="S34" s="7">
        <v>5.65</v>
      </c>
      <c r="T34" s="7">
        <v>8.25</v>
      </c>
      <c r="U34" s="4">
        <v>0</v>
      </c>
      <c r="V34" s="7">
        <v>0</v>
      </c>
      <c r="W34" s="7">
        <v>0</v>
      </c>
      <c r="X34" s="4">
        <f>SUM(F34,I34,L34,O34,R34,U34)</f>
        <v>16.900000000000002</v>
      </c>
      <c r="Y34" s="7">
        <f>SUM(G34,J34,M34,P34,S34,V34)</f>
        <v>37.25</v>
      </c>
      <c r="Z34" s="7">
        <f>SUM(H34,K34,N34,Q34,T34,W34)</f>
        <v>54.150000000000006</v>
      </c>
      <c r="AA34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4" s="4">
        <v>3.9</v>
      </c>
      <c r="AC34" s="7">
        <v>8</v>
      </c>
      <c r="AD34" s="7">
        <v>11.9</v>
      </c>
      <c r="AE34" s="4">
        <v>4</v>
      </c>
      <c r="AF34" s="7">
        <v>7.8</v>
      </c>
      <c r="AG34" s="7">
        <v>11.8</v>
      </c>
      <c r="AH34" s="4">
        <v>2.6</v>
      </c>
      <c r="AI34" s="7">
        <v>3</v>
      </c>
      <c r="AJ34" s="7">
        <v>5.6</v>
      </c>
      <c r="AK34" s="4">
        <v>0</v>
      </c>
      <c r="AL34" s="7">
        <v>0</v>
      </c>
      <c r="AM34" s="7">
        <v>0</v>
      </c>
      <c r="AN34" s="4">
        <v>2.8</v>
      </c>
      <c r="AO34" s="7">
        <v>7.5</v>
      </c>
      <c r="AP34" s="7">
        <v>10.3</v>
      </c>
      <c r="AQ34" s="4">
        <v>0</v>
      </c>
      <c r="AR34" s="7">
        <v>0</v>
      </c>
      <c r="AS34" s="7">
        <v>0</v>
      </c>
      <c r="AT34" s="4">
        <f>SUM(AB34,AE34,AH34,AK34,AN34,AQ34)</f>
        <v>13.3</v>
      </c>
      <c r="AU34" s="7">
        <f>SUM(AC34,AF34,AI34,AL34,AO34,AR34)</f>
        <v>26.3</v>
      </c>
      <c r="AV34" s="7">
        <f>SUM(AD34,AG34,AJ34,AM34,AP34,AS34)</f>
        <v>39.600000000000009</v>
      </c>
      <c r="AW34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4" s="4">
        <v>4.2</v>
      </c>
      <c r="AY34" s="7">
        <v>7.55</v>
      </c>
      <c r="AZ34" s="7">
        <v>11.75</v>
      </c>
      <c r="BA34" s="4">
        <v>4.2</v>
      </c>
      <c r="BB34" s="7">
        <v>8</v>
      </c>
      <c r="BC34" s="7">
        <v>12.2</v>
      </c>
      <c r="BD34" s="4">
        <v>0</v>
      </c>
      <c r="BE34" s="7">
        <v>0</v>
      </c>
      <c r="BF34" s="7">
        <v>0</v>
      </c>
      <c r="BG34" s="4">
        <v>0</v>
      </c>
      <c r="BH34" s="7">
        <v>0</v>
      </c>
      <c r="BI34" s="7">
        <v>0</v>
      </c>
      <c r="BJ34" s="4">
        <v>2.9</v>
      </c>
      <c r="BK34" s="7">
        <v>7.2</v>
      </c>
      <c r="BL34" s="7">
        <v>10.1</v>
      </c>
      <c r="BM34" s="4">
        <v>0</v>
      </c>
      <c r="BN34" s="7">
        <v>0</v>
      </c>
      <c r="BO34" s="7">
        <v>0</v>
      </c>
      <c r="BP34" s="4">
        <f>SUM(AX34,BA34,BD34,BG34,BJ34,BM34)</f>
        <v>11.3</v>
      </c>
      <c r="BQ34" s="7">
        <f>SUM(AY34,BB34,BE34,BH34,BK34,BN34)</f>
        <v>22.75</v>
      </c>
      <c r="BR34" s="7">
        <f>SUM(AZ34,BC34,BF34,BI34,BL34,BO34)</f>
        <v>34.049999999999997</v>
      </c>
      <c r="BS34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4" s="4">
        <v>3.9</v>
      </c>
      <c r="BU34" s="7">
        <v>7.2</v>
      </c>
      <c r="BV34" s="7">
        <v>11.1</v>
      </c>
      <c r="BW34" s="4">
        <v>3.8</v>
      </c>
      <c r="BX34" s="7">
        <v>7.6</v>
      </c>
      <c r="BY34" s="7">
        <v>11.4</v>
      </c>
      <c r="BZ34" s="4">
        <v>2.7</v>
      </c>
      <c r="CA34" s="7">
        <v>6</v>
      </c>
      <c r="CB34" s="7">
        <v>8.6999999999999993</v>
      </c>
      <c r="CC34" s="4">
        <v>2.8</v>
      </c>
      <c r="CD34" s="7">
        <v>8.3000000000000007</v>
      </c>
      <c r="CE34" s="7">
        <v>11.1</v>
      </c>
      <c r="CF34" s="4">
        <v>2.4</v>
      </c>
      <c r="CG34" s="7">
        <v>4</v>
      </c>
      <c r="CH34" s="7">
        <v>6.4</v>
      </c>
      <c r="CI34" s="4">
        <v>0</v>
      </c>
      <c r="CJ34" s="7">
        <v>0</v>
      </c>
      <c r="CK34" s="7">
        <v>0</v>
      </c>
      <c r="CL34" s="4">
        <f>SUM(BT34,BW34,BZ34,CC34,CF34,CI34)</f>
        <v>15.6</v>
      </c>
      <c r="CM34" s="7">
        <f>SUM(BU34,BX34,CA34,CD34,CG34,CJ34)</f>
        <v>33.1</v>
      </c>
      <c r="CN34" s="7">
        <f>SUM(BV34,BY34,CB34,CE34,CH34,CK34)</f>
        <v>48.699999999999996</v>
      </c>
      <c r="CO34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5" spans="1:99" x14ac:dyDescent="0.25">
      <c r="A35" t="s">
        <v>90</v>
      </c>
      <c r="B35" s="2" t="s">
        <v>60</v>
      </c>
      <c r="C35" s="2" t="s">
        <v>91</v>
      </c>
      <c r="D35" t="s">
        <v>36</v>
      </c>
      <c r="E35" s="2">
        <f>SUM(COUNTIF(AA[[#This Row],[Bydgoszcz_all_around]],"Yes"),COUNTIF(AA[[#This Row],[Zabrze_all_around]],"Yes"),COUNTIF(AA[[#This Row],[Cracow_all_around]],"Yes"),COUNTIF(AA[[#This Row],[Gdansk_all_Around]],"Yes"))</f>
        <v>0</v>
      </c>
      <c r="F35" s="4">
        <v>0</v>
      </c>
      <c r="G35" s="7">
        <v>0</v>
      </c>
      <c r="H35" s="7">
        <v>0</v>
      </c>
      <c r="I35" s="4">
        <v>0</v>
      </c>
      <c r="J35" s="7">
        <v>0</v>
      </c>
      <c r="K35" s="7">
        <v>0</v>
      </c>
      <c r="L35" s="4">
        <v>0</v>
      </c>
      <c r="M35" s="7">
        <v>0</v>
      </c>
      <c r="N35" s="7">
        <v>0</v>
      </c>
      <c r="O35" s="4">
        <v>0</v>
      </c>
      <c r="P35" s="7">
        <v>0</v>
      </c>
      <c r="Q35" s="7">
        <v>0</v>
      </c>
      <c r="R35" s="4">
        <v>0</v>
      </c>
      <c r="S35" s="7">
        <v>0</v>
      </c>
      <c r="T35" s="7">
        <v>0</v>
      </c>
      <c r="U35" s="4">
        <v>0</v>
      </c>
      <c r="V35" s="7">
        <v>0</v>
      </c>
      <c r="W35" s="7">
        <v>0</v>
      </c>
      <c r="X35" s="4">
        <f>SUM(F35,I35,L35,O35,R35,U35)</f>
        <v>0</v>
      </c>
      <c r="Y35" s="7">
        <f>SUM(G35,J35,M35,P35,S35,V35)</f>
        <v>0</v>
      </c>
      <c r="Z35" s="7">
        <f>SUM(H35,K35,N35,Q35,T35,W35)</f>
        <v>0</v>
      </c>
      <c r="AA35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5" s="4">
        <v>4</v>
      </c>
      <c r="AC35" s="7">
        <v>7.85</v>
      </c>
      <c r="AD35" s="7">
        <v>11.85</v>
      </c>
      <c r="AE35" s="4">
        <v>2.6</v>
      </c>
      <c r="AF35" s="7">
        <v>0</v>
      </c>
      <c r="AG35" s="7">
        <v>2.6</v>
      </c>
      <c r="AH35" s="4">
        <v>3.8</v>
      </c>
      <c r="AI35" s="7">
        <v>7</v>
      </c>
      <c r="AJ35" s="7">
        <v>10.8</v>
      </c>
      <c r="AK35" s="4">
        <v>4</v>
      </c>
      <c r="AL35" s="7">
        <v>8.4</v>
      </c>
      <c r="AM35" s="7">
        <v>12.4</v>
      </c>
      <c r="AN35" s="4">
        <v>0</v>
      </c>
      <c r="AO35" s="7">
        <v>0</v>
      </c>
      <c r="AP35" s="7">
        <v>0</v>
      </c>
      <c r="AQ35" s="4">
        <v>0</v>
      </c>
      <c r="AR35" s="7">
        <v>0</v>
      </c>
      <c r="AS35" s="7">
        <v>0</v>
      </c>
      <c r="AT35" s="4">
        <f>SUM(AB35,AE35,AH35,AK35,AN35,AQ35)</f>
        <v>14.399999999999999</v>
      </c>
      <c r="AU35" s="7">
        <f>SUM(AC35,AF35,AI35,AL35,AO35,AR35)</f>
        <v>23.25</v>
      </c>
      <c r="AV35" s="7">
        <f>SUM(AD35,AG35,AJ35,AM35,AP35,AS35)</f>
        <v>37.65</v>
      </c>
      <c r="AW35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5" s="4">
        <v>4</v>
      </c>
      <c r="AY35" s="7">
        <v>7.9</v>
      </c>
      <c r="AZ35" s="7">
        <v>11.9</v>
      </c>
      <c r="BA35" s="4">
        <v>2.9</v>
      </c>
      <c r="BB35" s="7">
        <v>5</v>
      </c>
      <c r="BC35" s="7">
        <v>7.9</v>
      </c>
      <c r="BD35" s="4">
        <v>3</v>
      </c>
      <c r="BE35" s="7">
        <v>6.35</v>
      </c>
      <c r="BF35" s="7">
        <v>9.35</v>
      </c>
      <c r="BG35" s="4">
        <v>4</v>
      </c>
      <c r="BH35" s="7">
        <v>9.25</v>
      </c>
      <c r="BI35" s="7">
        <v>13.25</v>
      </c>
      <c r="BJ35" s="4">
        <v>2.9</v>
      </c>
      <c r="BK35" s="7">
        <v>8.5</v>
      </c>
      <c r="BL35" s="7">
        <v>11.4</v>
      </c>
      <c r="BM35" s="4">
        <v>0</v>
      </c>
      <c r="BN35" s="7">
        <v>0</v>
      </c>
      <c r="BO35" s="7">
        <v>0</v>
      </c>
      <c r="BP35" s="4">
        <f>SUM(AX35,BA35,BD35,BG35,BJ35,BM35)</f>
        <v>16.8</v>
      </c>
      <c r="BQ35" s="7">
        <f>SUM(AY35,BB35,BE35,BH35,BK35,BN35)</f>
        <v>37</v>
      </c>
      <c r="BR35" s="7">
        <f>SUM(AZ35,BC35,BF35,BI35,BL35,BO35)</f>
        <v>53.8</v>
      </c>
      <c r="BS35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5" s="4">
        <v>3.6</v>
      </c>
      <c r="BU35" s="7">
        <v>5.7</v>
      </c>
      <c r="BV35" s="7">
        <v>9.3000000000000007</v>
      </c>
      <c r="BW35" s="4">
        <v>3.4</v>
      </c>
      <c r="BX35" s="7">
        <v>8.4</v>
      </c>
      <c r="BY35" s="7">
        <v>11.8</v>
      </c>
      <c r="BZ35" s="4">
        <v>0</v>
      </c>
      <c r="CA35" s="7">
        <v>0</v>
      </c>
      <c r="CB35" s="7">
        <v>0</v>
      </c>
      <c r="CC35" s="4">
        <v>4</v>
      </c>
      <c r="CD35" s="7">
        <v>8.9</v>
      </c>
      <c r="CE35" s="7">
        <v>12.9</v>
      </c>
      <c r="CF35" s="4">
        <v>0</v>
      </c>
      <c r="CG35" s="7">
        <v>0</v>
      </c>
      <c r="CH35" s="7">
        <v>0</v>
      </c>
      <c r="CI35" s="4">
        <v>0</v>
      </c>
      <c r="CJ35" s="7">
        <v>0</v>
      </c>
      <c r="CK35" s="7">
        <v>0</v>
      </c>
      <c r="CL35" s="4">
        <f>SUM(BT35,BW35,BZ35,CC35,CF35,CI35)</f>
        <v>11</v>
      </c>
      <c r="CM35" s="7">
        <f>SUM(BU35,BX35,CA35,CD35,CG35,CJ35)</f>
        <v>23</v>
      </c>
      <c r="CN35" s="7">
        <f>SUM(BV35,BY35,CB35,CE35,CH35,CK35)</f>
        <v>34</v>
      </c>
      <c r="CO35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6" spans="1:99" x14ac:dyDescent="0.25">
      <c r="A36" t="s">
        <v>92</v>
      </c>
      <c r="B36" s="2" t="s">
        <v>60</v>
      </c>
      <c r="C36" s="2" t="s">
        <v>93</v>
      </c>
      <c r="D36" t="s">
        <v>39</v>
      </c>
      <c r="E36" s="2">
        <f>SUM(COUNTIF(AA[[#This Row],[Bydgoszcz_all_around]],"Yes"),COUNTIF(AA[[#This Row],[Zabrze_all_around]],"Yes"),COUNTIF(AA[[#This Row],[Cracow_all_around]],"Yes"),COUNTIF(AA[[#This Row],[Gdansk_all_Around]],"Yes"))</f>
        <v>0</v>
      </c>
      <c r="F36" s="4">
        <v>0</v>
      </c>
      <c r="G36" s="7">
        <v>0</v>
      </c>
      <c r="H36" s="7">
        <v>0</v>
      </c>
      <c r="I36" s="4">
        <v>4</v>
      </c>
      <c r="J36" s="7">
        <v>8.65</v>
      </c>
      <c r="K36" s="7">
        <v>12.65</v>
      </c>
      <c r="L36" s="4">
        <v>0</v>
      </c>
      <c r="M36" s="7">
        <v>0</v>
      </c>
      <c r="N36" s="7">
        <v>0</v>
      </c>
      <c r="O36" s="4">
        <v>0</v>
      </c>
      <c r="P36" s="7">
        <v>0</v>
      </c>
      <c r="Q36" s="7">
        <v>0</v>
      </c>
      <c r="R36" s="4">
        <v>0</v>
      </c>
      <c r="S36" s="7">
        <v>0</v>
      </c>
      <c r="T36" s="7">
        <v>0</v>
      </c>
      <c r="U36" s="4">
        <v>0</v>
      </c>
      <c r="V36" s="7">
        <v>0</v>
      </c>
      <c r="W36" s="7">
        <v>0</v>
      </c>
      <c r="X36" s="4">
        <f>SUM(F36,I36,L36,O36,R36,U36)</f>
        <v>4</v>
      </c>
      <c r="Y36" s="7">
        <f>SUM(G36,J36,M36,P36,S36,V36)</f>
        <v>8.65</v>
      </c>
      <c r="Z36" s="7">
        <f>SUM(H36,K36,N36,Q36,T36,W36)</f>
        <v>12.65</v>
      </c>
      <c r="AA36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6" s="4">
        <v>3.7</v>
      </c>
      <c r="AC36" s="7">
        <v>7.95</v>
      </c>
      <c r="AD36" s="7">
        <v>11.65</v>
      </c>
      <c r="AE36" s="4">
        <v>3.7</v>
      </c>
      <c r="AF36" s="7">
        <v>8.6</v>
      </c>
      <c r="AG36" s="7">
        <v>12.3</v>
      </c>
      <c r="AH36" s="4">
        <v>0</v>
      </c>
      <c r="AI36" s="7">
        <v>0</v>
      </c>
      <c r="AJ36" s="7">
        <v>0</v>
      </c>
      <c r="AK36" s="4">
        <v>4</v>
      </c>
      <c r="AL36" s="7">
        <v>8.9</v>
      </c>
      <c r="AM36" s="7">
        <v>12.9</v>
      </c>
      <c r="AN36" s="4">
        <v>0</v>
      </c>
      <c r="AO36" s="7">
        <v>0</v>
      </c>
      <c r="AP36" s="7">
        <v>0</v>
      </c>
      <c r="AQ36" s="4">
        <v>0</v>
      </c>
      <c r="AR36" s="7">
        <v>0</v>
      </c>
      <c r="AS36" s="7">
        <v>0</v>
      </c>
      <c r="AT36" s="4">
        <f>SUM(AB36,AE36,AH36,AK36,AN36,AQ36)</f>
        <v>11.4</v>
      </c>
      <c r="AU36" s="7">
        <f>SUM(AC36,AF36,AI36,AL36,AO36,AR36)</f>
        <v>25.450000000000003</v>
      </c>
      <c r="AV36" s="7">
        <f>SUM(AD36,AG36,AJ36,AM36,AP36,AS36)</f>
        <v>36.85</v>
      </c>
      <c r="AW36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6" s="4">
        <v>4.0999999999999996</v>
      </c>
      <c r="AY36" s="7">
        <v>7.95</v>
      </c>
      <c r="AZ36" s="7">
        <v>12.05</v>
      </c>
      <c r="BA36" s="4">
        <v>3.7</v>
      </c>
      <c r="BB36" s="7">
        <v>8.85</v>
      </c>
      <c r="BC36" s="7">
        <v>12.55</v>
      </c>
      <c r="BD36" s="4">
        <v>0</v>
      </c>
      <c r="BE36" s="7">
        <v>0</v>
      </c>
      <c r="BF36" s="7">
        <v>0</v>
      </c>
      <c r="BG36" s="4">
        <v>4.4000000000000004</v>
      </c>
      <c r="BH36" s="7">
        <v>9.35</v>
      </c>
      <c r="BI36" s="7">
        <v>13.75</v>
      </c>
      <c r="BJ36" s="4">
        <v>0</v>
      </c>
      <c r="BK36" s="7">
        <v>0</v>
      </c>
      <c r="BL36" s="7">
        <v>0</v>
      </c>
      <c r="BM36" s="4">
        <v>0</v>
      </c>
      <c r="BN36" s="7">
        <v>0</v>
      </c>
      <c r="BO36" s="7">
        <v>0</v>
      </c>
      <c r="BP36" s="4">
        <f>SUM(AX36,BA36,BD36,BG36,BJ36,BM36)</f>
        <v>12.2</v>
      </c>
      <c r="BQ36" s="7">
        <f>SUM(AY36,BB36,BE36,BH36,BK36,BN36)</f>
        <v>26.15</v>
      </c>
      <c r="BR36" s="7">
        <f>SUM(AZ36,BC36,BF36,BI36,BL36,BO36)</f>
        <v>38.35</v>
      </c>
      <c r="BS36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6" s="4">
        <v>0</v>
      </c>
      <c r="BU36" s="7">
        <v>0</v>
      </c>
      <c r="BV36" s="7">
        <v>0</v>
      </c>
      <c r="BW36" s="4">
        <v>0</v>
      </c>
      <c r="BX36" s="7">
        <v>0</v>
      </c>
      <c r="BY36" s="7">
        <v>0</v>
      </c>
      <c r="BZ36" s="4">
        <v>0</v>
      </c>
      <c r="CA36" s="7">
        <v>0</v>
      </c>
      <c r="CB36" s="7">
        <v>0</v>
      </c>
      <c r="CC36" s="4">
        <v>0</v>
      </c>
      <c r="CD36" s="7">
        <v>0</v>
      </c>
      <c r="CE36" s="7">
        <v>0</v>
      </c>
      <c r="CF36" s="4">
        <v>0</v>
      </c>
      <c r="CG36" s="7">
        <v>0</v>
      </c>
      <c r="CH36" s="7">
        <v>0</v>
      </c>
      <c r="CI36" s="4">
        <v>0</v>
      </c>
      <c r="CJ36" s="7">
        <v>0</v>
      </c>
      <c r="CK36" s="7">
        <v>0</v>
      </c>
      <c r="CL36" s="4">
        <f>SUM(BT36,BW36,BZ36,CC36,CF36,CI36)</f>
        <v>0</v>
      </c>
      <c r="CM36" s="7">
        <f>SUM(BU36,BX36,CA36,CD36,CG36,CJ36)</f>
        <v>0</v>
      </c>
      <c r="CN36" s="7">
        <f>SUM(BV36,BY36,CB36,CE36,CH36,CK36)</f>
        <v>0</v>
      </c>
      <c r="CO36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7" spans="1:99" x14ac:dyDescent="0.25">
      <c r="A37" t="s">
        <v>94</v>
      </c>
      <c r="B37" s="2" t="s">
        <v>60</v>
      </c>
      <c r="C37" s="2" t="s">
        <v>95</v>
      </c>
      <c r="D37" t="s">
        <v>72</v>
      </c>
      <c r="E37" s="2">
        <f>SUM(COUNTIF(AA[[#This Row],[Bydgoszcz_all_around]],"Yes"),COUNTIF(AA[[#This Row],[Zabrze_all_around]],"Yes"),COUNTIF(AA[[#This Row],[Cracow_all_around]],"Yes"),COUNTIF(AA[[#This Row],[Gdansk_all_Around]],"Yes"))</f>
        <v>0</v>
      </c>
      <c r="F37" s="4">
        <v>0</v>
      </c>
      <c r="G37" s="7">
        <v>0</v>
      </c>
      <c r="H37" s="7">
        <v>0</v>
      </c>
      <c r="I37" s="4">
        <v>0</v>
      </c>
      <c r="J37" s="7">
        <v>0</v>
      </c>
      <c r="K37" s="7">
        <v>0</v>
      </c>
      <c r="L37" s="4">
        <v>0</v>
      </c>
      <c r="M37" s="7">
        <v>0</v>
      </c>
      <c r="N37" s="7">
        <v>0</v>
      </c>
      <c r="O37" s="4">
        <v>0</v>
      </c>
      <c r="P37" s="7">
        <v>0</v>
      </c>
      <c r="Q37" s="7">
        <v>0</v>
      </c>
      <c r="R37" s="4">
        <v>0</v>
      </c>
      <c r="S37" s="7">
        <v>0</v>
      </c>
      <c r="T37" s="7">
        <v>0</v>
      </c>
      <c r="U37" s="4">
        <v>0</v>
      </c>
      <c r="V37" s="7">
        <v>0</v>
      </c>
      <c r="W37" s="7">
        <v>0</v>
      </c>
      <c r="X37" s="4">
        <f>SUM(F37,I37,L37,O37,R37,U37)</f>
        <v>0</v>
      </c>
      <c r="Y37" s="7">
        <f>SUM(G37,J37,M37,P37,S37,V37)</f>
        <v>0</v>
      </c>
      <c r="Z37" s="7">
        <f>SUM(H37,K37,N37,Q37,T37,W37)</f>
        <v>0</v>
      </c>
      <c r="AA37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7" s="4">
        <v>0</v>
      </c>
      <c r="AC37" s="7">
        <v>0</v>
      </c>
      <c r="AD37" s="7">
        <v>0</v>
      </c>
      <c r="AE37" s="4">
        <v>0</v>
      </c>
      <c r="AF37" s="7">
        <v>0</v>
      </c>
      <c r="AG37" s="7">
        <v>0</v>
      </c>
      <c r="AH37" s="4">
        <v>4</v>
      </c>
      <c r="AI37" s="7">
        <v>8.4</v>
      </c>
      <c r="AJ37" s="7">
        <v>12.4</v>
      </c>
      <c r="AK37" s="4">
        <v>2.8</v>
      </c>
      <c r="AL37" s="7">
        <v>9.4</v>
      </c>
      <c r="AM37" s="7">
        <v>12.2</v>
      </c>
      <c r="AN37" s="4">
        <v>3.1</v>
      </c>
      <c r="AO37" s="7">
        <v>8.85</v>
      </c>
      <c r="AP37" s="7">
        <v>11.95</v>
      </c>
      <c r="AQ37" s="4">
        <v>0</v>
      </c>
      <c r="AR37" s="7">
        <v>0</v>
      </c>
      <c r="AS37" s="7">
        <v>0</v>
      </c>
      <c r="AT37" s="4">
        <f>SUM(AB37,AE37,AH37,AK37,AN37,AQ37)</f>
        <v>9.9</v>
      </c>
      <c r="AU37" s="7">
        <f>SUM(AC37,AF37,AI37,AL37,AO37,AR37)</f>
        <v>26.65</v>
      </c>
      <c r="AV37" s="7">
        <f>SUM(AD37,AG37,AJ37,AM37,AP37,AS37)</f>
        <v>36.549999999999997</v>
      </c>
      <c r="AW37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7" s="4">
        <v>0</v>
      </c>
      <c r="AY37" s="7">
        <v>0</v>
      </c>
      <c r="AZ37" s="7">
        <v>0</v>
      </c>
      <c r="BA37" s="4">
        <v>0</v>
      </c>
      <c r="BB37" s="7">
        <v>0</v>
      </c>
      <c r="BC37" s="7">
        <v>0</v>
      </c>
      <c r="BD37" s="4">
        <v>4</v>
      </c>
      <c r="BE37" s="7">
        <v>7.65</v>
      </c>
      <c r="BF37" s="7">
        <v>11.65</v>
      </c>
      <c r="BG37" s="4">
        <v>2.8</v>
      </c>
      <c r="BH37" s="7">
        <v>9.1</v>
      </c>
      <c r="BI37" s="7">
        <v>11.9</v>
      </c>
      <c r="BJ37" s="4">
        <v>3.2</v>
      </c>
      <c r="BK37" s="7">
        <v>8.35</v>
      </c>
      <c r="BL37" s="7">
        <v>11.55</v>
      </c>
      <c r="BM37" s="4">
        <v>0</v>
      </c>
      <c r="BN37" s="7">
        <v>0</v>
      </c>
      <c r="BO37" s="7">
        <v>0</v>
      </c>
      <c r="BP37" s="4">
        <f>SUM(AX37,BA37,BD37,BG37,BJ37,BM37)</f>
        <v>10</v>
      </c>
      <c r="BQ37" s="7">
        <f>SUM(AY37,BB37,BE37,BH37,BK37,BN37)</f>
        <v>25.1</v>
      </c>
      <c r="BR37" s="7">
        <f>SUM(AZ37,BC37,BF37,BI37,BL37,BO37)</f>
        <v>35.1</v>
      </c>
      <c r="BS37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7" s="4">
        <v>0</v>
      </c>
      <c r="BU37" s="7">
        <v>0</v>
      </c>
      <c r="BV37" s="7">
        <v>0</v>
      </c>
      <c r="BW37" s="4">
        <v>0</v>
      </c>
      <c r="BX37" s="7">
        <v>0</v>
      </c>
      <c r="BY37" s="7">
        <v>0</v>
      </c>
      <c r="BZ37" s="4">
        <v>4.3</v>
      </c>
      <c r="CA37" s="7">
        <v>7.2</v>
      </c>
      <c r="CB37" s="7">
        <v>11.5</v>
      </c>
      <c r="CC37" s="4">
        <v>0</v>
      </c>
      <c r="CD37" s="7">
        <v>0</v>
      </c>
      <c r="CE37" s="7">
        <v>0</v>
      </c>
      <c r="CF37" s="4">
        <v>0</v>
      </c>
      <c r="CG37" s="7">
        <v>0</v>
      </c>
      <c r="CH37" s="7">
        <v>0</v>
      </c>
      <c r="CI37" s="4">
        <v>0</v>
      </c>
      <c r="CJ37" s="7">
        <v>0</v>
      </c>
      <c r="CK37" s="7">
        <v>0</v>
      </c>
      <c r="CL37" s="4">
        <f>SUM(BT37,BW37,BZ37,CC37,CF37,CI37)</f>
        <v>4.3</v>
      </c>
      <c r="CM37" s="7">
        <f>SUM(BU37,BX37,CA37,CD37,CG37,CJ37)</f>
        <v>7.2</v>
      </c>
      <c r="CN37" s="7">
        <f>SUM(BV37,BY37,CB37,CE37,CH37,CK37)</f>
        <v>11.5</v>
      </c>
      <c r="CO37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8" spans="1:99" x14ac:dyDescent="0.25">
      <c r="A38" t="s">
        <v>106</v>
      </c>
      <c r="B38" s="2" t="s">
        <v>60</v>
      </c>
      <c r="C38" s="2" t="s">
        <v>107</v>
      </c>
      <c r="D38" t="s">
        <v>31</v>
      </c>
      <c r="E38" s="2">
        <f>SUM(COUNTIF(AA[[#This Row],[Bydgoszcz_all_around]],"Yes"),COUNTIF(AA[[#This Row],[Zabrze_all_around]],"Yes"),COUNTIF(AA[[#This Row],[Cracow_all_around]],"Yes"),COUNTIF(AA[[#This Row],[Gdansk_all_Around]],"Yes"))</f>
        <v>0</v>
      </c>
      <c r="F38" s="4">
        <v>3.9</v>
      </c>
      <c r="G38" s="7">
        <v>8.4</v>
      </c>
      <c r="H38" s="7">
        <v>12.3</v>
      </c>
      <c r="I38" s="4">
        <v>2.2999999999999998</v>
      </c>
      <c r="J38" s="7">
        <v>2</v>
      </c>
      <c r="K38" s="7">
        <v>4.3</v>
      </c>
      <c r="L38" s="4">
        <v>0</v>
      </c>
      <c r="M38" s="7">
        <v>0</v>
      </c>
      <c r="N38" s="7">
        <v>0</v>
      </c>
      <c r="O38" s="4">
        <v>0</v>
      </c>
      <c r="P38" s="7">
        <v>0</v>
      </c>
      <c r="Q38" s="7">
        <v>0</v>
      </c>
      <c r="R38" s="4">
        <v>2.5</v>
      </c>
      <c r="S38" s="7">
        <v>7.45</v>
      </c>
      <c r="T38" s="7">
        <v>9.9499999999999993</v>
      </c>
      <c r="U38" s="4">
        <v>0</v>
      </c>
      <c r="V38" s="7">
        <v>0</v>
      </c>
      <c r="W38" s="7">
        <v>0</v>
      </c>
      <c r="X38" s="4">
        <f>SUM(F38,I38,L38,O38,R38,U38)</f>
        <v>8.6999999999999993</v>
      </c>
      <c r="Y38" s="7">
        <f>SUM(G38,J38,M38,P38,S38,V38)</f>
        <v>17.850000000000001</v>
      </c>
      <c r="Z38" s="7">
        <f>SUM(H38,K38,N38,Q38,T38,W38)</f>
        <v>26.55</v>
      </c>
      <c r="AA38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8" s="4">
        <v>4</v>
      </c>
      <c r="AC38" s="7">
        <v>6</v>
      </c>
      <c r="AD38" s="7">
        <v>10</v>
      </c>
      <c r="AE38" s="4">
        <v>0</v>
      </c>
      <c r="AF38" s="7">
        <v>0</v>
      </c>
      <c r="AG38" s="7">
        <v>0</v>
      </c>
      <c r="AH38" s="4">
        <v>0</v>
      </c>
      <c r="AI38" s="7">
        <v>0</v>
      </c>
      <c r="AJ38" s="7">
        <v>0</v>
      </c>
      <c r="AK38" s="4">
        <v>3.2</v>
      </c>
      <c r="AL38" s="7">
        <v>9.0500000000000007</v>
      </c>
      <c r="AM38" s="7">
        <v>12.25</v>
      </c>
      <c r="AN38" s="4">
        <v>0</v>
      </c>
      <c r="AO38" s="7">
        <v>0</v>
      </c>
      <c r="AP38" s="7">
        <v>0</v>
      </c>
      <c r="AQ38" s="4">
        <v>0</v>
      </c>
      <c r="AR38" s="7">
        <v>0</v>
      </c>
      <c r="AS38" s="7">
        <v>0</v>
      </c>
      <c r="AT38" s="4">
        <f>SUM(AB38,AE38,AH38,AK38,AN38,AQ38)</f>
        <v>7.2</v>
      </c>
      <c r="AU38" s="7">
        <f>SUM(AC38,AF38,AI38,AL38,AO38,AR38)</f>
        <v>15.05</v>
      </c>
      <c r="AV38" s="7">
        <f>SUM(AD38,AG38,AJ38,AM38,AP38,AS38)</f>
        <v>22.25</v>
      </c>
      <c r="AW38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8" s="4">
        <v>3.8</v>
      </c>
      <c r="AY38" s="7">
        <v>7.45</v>
      </c>
      <c r="AZ38" s="7">
        <v>11.25</v>
      </c>
      <c r="BA38" s="4">
        <v>0</v>
      </c>
      <c r="BB38" s="7">
        <v>0</v>
      </c>
      <c r="BC38" s="7">
        <v>0</v>
      </c>
      <c r="BD38" s="4">
        <v>0</v>
      </c>
      <c r="BE38" s="7">
        <v>0</v>
      </c>
      <c r="BF38" s="7">
        <v>0</v>
      </c>
      <c r="BG38" s="4">
        <v>3.2</v>
      </c>
      <c r="BH38" s="7">
        <v>7.4</v>
      </c>
      <c r="BI38" s="7">
        <v>10.6</v>
      </c>
      <c r="BJ38" s="4">
        <v>0</v>
      </c>
      <c r="BK38" s="7">
        <v>0</v>
      </c>
      <c r="BL38" s="7">
        <v>0</v>
      </c>
      <c r="BM38" s="4">
        <v>0</v>
      </c>
      <c r="BN38" s="7">
        <v>0</v>
      </c>
      <c r="BO38" s="7">
        <v>0</v>
      </c>
      <c r="BP38" s="4">
        <f>SUM(AX38,BA38,BD38,BG38,BJ38,BM38)</f>
        <v>7</v>
      </c>
      <c r="BQ38" s="7">
        <f>SUM(AY38,BB38,BE38,BH38,BK38,BN38)</f>
        <v>14.850000000000001</v>
      </c>
      <c r="BR38" s="7">
        <f>SUM(AZ38,BC38,BF38,BI38,BL38,BO38)</f>
        <v>21.85</v>
      </c>
      <c r="BS38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8" s="4">
        <v>0</v>
      </c>
      <c r="BU38" s="7">
        <v>0</v>
      </c>
      <c r="BV38" s="7">
        <v>0</v>
      </c>
      <c r="BW38" s="4">
        <v>0</v>
      </c>
      <c r="BX38" s="7">
        <v>0</v>
      </c>
      <c r="BY38" s="7">
        <v>0</v>
      </c>
      <c r="BZ38" s="4">
        <v>0</v>
      </c>
      <c r="CA38" s="7">
        <v>0</v>
      </c>
      <c r="CB38" s="7">
        <v>0</v>
      </c>
      <c r="CC38" s="4">
        <v>0</v>
      </c>
      <c r="CD38" s="7">
        <v>0</v>
      </c>
      <c r="CE38" s="7">
        <v>0</v>
      </c>
      <c r="CF38" s="4">
        <v>0</v>
      </c>
      <c r="CG38" s="7">
        <v>0</v>
      </c>
      <c r="CH38" s="7">
        <v>0</v>
      </c>
      <c r="CI38" s="4">
        <v>0</v>
      </c>
      <c r="CJ38" s="7">
        <v>0</v>
      </c>
      <c r="CK38" s="7">
        <v>0</v>
      </c>
      <c r="CL38" s="4">
        <f>SUM(BT38,BW38,BZ38,CC38,CF38,CI38)</f>
        <v>0</v>
      </c>
      <c r="CM38" s="7">
        <f>SUM(BU38,BX38,CA38,CD38,CG38,CJ38)</f>
        <v>0</v>
      </c>
      <c r="CN38" s="7">
        <f>SUM(BV38,BY38,CB38,CE38,CH38,CK38)</f>
        <v>0</v>
      </c>
      <c r="CO38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39" spans="1:99" x14ac:dyDescent="0.25">
      <c r="A39" t="s">
        <v>98</v>
      </c>
      <c r="B39" s="2" t="s">
        <v>60</v>
      </c>
      <c r="C39" s="2" t="s">
        <v>99</v>
      </c>
      <c r="D39" t="s">
        <v>72</v>
      </c>
      <c r="E39" s="2">
        <f>SUM(COUNTIF(AA[[#This Row],[Bydgoszcz_all_around]],"Yes"),COUNTIF(AA[[#This Row],[Zabrze_all_around]],"Yes"),COUNTIF(AA[[#This Row],[Cracow_all_around]],"Yes"),COUNTIF(AA[[#This Row],[Gdansk_all_Around]],"Yes"))</f>
        <v>0</v>
      </c>
      <c r="F39" s="4">
        <v>0</v>
      </c>
      <c r="G39" s="7">
        <v>0</v>
      </c>
      <c r="H39" s="7">
        <v>0</v>
      </c>
      <c r="I39" s="4">
        <v>0</v>
      </c>
      <c r="J39" s="7">
        <v>0</v>
      </c>
      <c r="K39" s="7">
        <v>0</v>
      </c>
      <c r="L39" s="4">
        <v>0</v>
      </c>
      <c r="M39" s="7">
        <v>0</v>
      </c>
      <c r="N39" s="7">
        <v>0</v>
      </c>
      <c r="O39" s="4">
        <v>0</v>
      </c>
      <c r="P39" s="7">
        <v>0</v>
      </c>
      <c r="Q39" s="7">
        <v>0</v>
      </c>
      <c r="R39" s="4">
        <v>0</v>
      </c>
      <c r="S39" s="7">
        <v>0</v>
      </c>
      <c r="T39" s="7">
        <v>0</v>
      </c>
      <c r="U39" s="4">
        <v>0</v>
      </c>
      <c r="V39" s="7">
        <v>0</v>
      </c>
      <c r="W39" s="7">
        <v>0</v>
      </c>
      <c r="X39" s="4">
        <f>SUM(F39,I39,L39,O39,R39,U39)</f>
        <v>0</v>
      </c>
      <c r="Y39" s="7">
        <f>SUM(G39,J39,M39,P39,S39,V39)</f>
        <v>0</v>
      </c>
      <c r="Z39" s="7">
        <f>SUM(H39,K39,N39,Q39,T39,W39)</f>
        <v>0</v>
      </c>
      <c r="AA39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39" s="4">
        <v>0</v>
      </c>
      <c r="AC39" s="7">
        <v>0</v>
      </c>
      <c r="AD39" s="7">
        <v>0</v>
      </c>
      <c r="AE39" s="4">
        <v>3.4</v>
      </c>
      <c r="AF39" s="7">
        <v>7</v>
      </c>
      <c r="AG39" s="7">
        <v>10.4</v>
      </c>
      <c r="AH39" s="4">
        <v>2.9</v>
      </c>
      <c r="AI39" s="7">
        <v>6.7</v>
      </c>
      <c r="AJ39" s="7">
        <v>9.6</v>
      </c>
      <c r="AK39" s="4">
        <v>0</v>
      </c>
      <c r="AL39" s="7">
        <v>0</v>
      </c>
      <c r="AM39" s="7">
        <v>0</v>
      </c>
      <c r="AN39" s="4">
        <v>2.4</v>
      </c>
      <c r="AO39" s="7">
        <v>8.6</v>
      </c>
      <c r="AP39" s="7">
        <v>11</v>
      </c>
      <c r="AQ39" s="4">
        <v>0</v>
      </c>
      <c r="AR39" s="7">
        <v>0</v>
      </c>
      <c r="AS39" s="7">
        <v>0</v>
      </c>
      <c r="AT39" s="4">
        <f>SUM(AB39,AE39,AH39,AK39,AN39,AQ39)</f>
        <v>8.6999999999999993</v>
      </c>
      <c r="AU39" s="7">
        <f>SUM(AC39,AF39,AI39,AL39,AO39,AR39)</f>
        <v>22.299999999999997</v>
      </c>
      <c r="AV39" s="7">
        <f>SUM(AD39,AG39,AJ39,AM39,AP39,AS39)</f>
        <v>31</v>
      </c>
      <c r="AW39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39" s="4">
        <v>0</v>
      </c>
      <c r="AY39" s="7">
        <v>0</v>
      </c>
      <c r="AZ39" s="7">
        <v>0</v>
      </c>
      <c r="BA39" s="4">
        <v>3.3</v>
      </c>
      <c r="BB39" s="7">
        <v>4.1500000000000004</v>
      </c>
      <c r="BC39" s="7">
        <v>7.45</v>
      </c>
      <c r="BD39" s="4">
        <v>2.5</v>
      </c>
      <c r="BE39" s="7">
        <v>6.55</v>
      </c>
      <c r="BF39" s="7">
        <v>9.0500000000000007</v>
      </c>
      <c r="BG39" s="4">
        <v>0</v>
      </c>
      <c r="BH39" s="7">
        <v>0</v>
      </c>
      <c r="BI39" s="7">
        <v>0</v>
      </c>
      <c r="BJ39" s="4">
        <v>2.5</v>
      </c>
      <c r="BK39" s="7">
        <v>8.6999999999999993</v>
      </c>
      <c r="BL39" s="7">
        <v>11.2</v>
      </c>
      <c r="BM39" s="4">
        <v>2.6</v>
      </c>
      <c r="BN39" s="7">
        <v>6.95</v>
      </c>
      <c r="BO39" s="7">
        <v>9.5500000000000007</v>
      </c>
      <c r="BP39" s="4">
        <f>SUM(AX39,BA39,BD39,BG39,BJ39,BM39)</f>
        <v>10.9</v>
      </c>
      <c r="BQ39" s="7">
        <f>SUM(AY39,BB39,BE39,BH39,BK39,BN39)</f>
        <v>26.349999999999998</v>
      </c>
      <c r="BR39" s="7">
        <f>SUM(AZ39,BC39,BF39,BI39,BL39,BO39)</f>
        <v>37.25</v>
      </c>
      <c r="BS39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39" s="4">
        <v>0</v>
      </c>
      <c r="BU39" s="7">
        <v>0</v>
      </c>
      <c r="BV39" s="7">
        <v>0</v>
      </c>
      <c r="BW39" s="4">
        <v>0</v>
      </c>
      <c r="BX39" s="7">
        <v>0</v>
      </c>
      <c r="BY39" s="7">
        <v>0</v>
      </c>
      <c r="BZ39" s="4">
        <v>0</v>
      </c>
      <c r="CA39" s="7">
        <v>0</v>
      </c>
      <c r="CB39" s="7">
        <v>0</v>
      </c>
      <c r="CC39" s="4">
        <v>0</v>
      </c>
      <c r="CD39" s="7">
        <v>0</v>
      </c>
      <c r="CE39" s="7">
        <v>0</v>
      </c>
      <c r="CF39" s="4">
        <v>0</v>
      </c>
      <c r="CG39" s="7">
        <v>0</v>
      </c>
      <c r="CH39" s="7">
        <v>0</v>
      </c>
      <c r="CI39" s="4">
        <v>0</v>
      </c>
      <c r="CJ39" s="7">
        <v>0</v>
      </c>
      <c r="CK39" s="7">
        <v>0</v>
      </c>
      <c r="CL39" s="4">
        <f>SUM(BT39,BW39,BZ39,CC39,CF39,CI39)</f>
        <v>0</v>
      </c>
      <c r="CM39" s="7">
        <f>SUM(BU39,BX39,CA39,CD39,CG39,CJ39)</f>
        <v>0</v>
      </c>
      <c r="CN39" s="7">
        <f>SUM(BV39,BY39,CB39,CE39,CH39,CK39)</f>
        <v>0</v>
      </c>
      <c r="CO39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3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3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3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3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3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3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0" spans="1:99" x14ac:dyDescent="0.25">
      <c r="A40" t="s">
        <v>96</v>
      </c>
      <c r="B40" s="2" t="s">
        <v>60</v>
      </c>
      <c r="C40" s="2" t="s">
        <v>97</v>
      </c>
      <c r="D40" t="s">
        <v>62</v>
      </c>
      <c r="E40" s="2">
        <f>SUM(COUNTIF(AA[[#This Row],[Bydgoszcz_all_around]],"Yes"),COUNTIF(AA[[#This Row],[Zabrze_all_around]],"Yes"),COUNTIF(AA[[#This Row],[Cracow_all_around]],"Yes"),COUNTIF(AA[[#This Row],[Gdansk_all_Around]],"Yes"))</f>
        <v>0</v>
      </c>
      <c r="F40" s="4">
        <v>0</v>
      </c>
      <c r="G40" s="7">
        <v>0</v>
      </c>
      <c r="H40" s="7">
        <v>0</v>
      </c>
      <c r="I40" s="4">
        <v>0</v>
      </c>
      <c r="J40" s="7">
        <v>0</v>
      </c>
      <c r="K40" s="7">
        <v>0</v>
      </c>
      <c r="L40" s="4">
        <v>0</v>
      </c>
      <c r="M40" s="7">
        <v>0</v>
      </c>
      <c r="N40" s="7">
        <v>0</v>
      </c>
      <c r="O40" s="4">
        <v>0</v>
      </c>
      <c r="P40" s="7">
        <v>0</v>
      </c>
      <c r="Q40" s="7">
        <v>0</v>
      </c>
      <c r="R40" s="4">
        <v>0</v>
      </c>
      <c r="S40" s="7">
        <v>0</v>
      </c>
      <c r="T40" s="7">
        <v>0</v>
      </c>
      <c r="U40" s="4">
        <v>0</v>
      </c>
      <c r="V40" s="7">
        <v>0</v>
      </c>
      <c r="W40" s="7">
        <v>0</v>
      </c>
      <c r="X40" s="4">
        <f>SUM(F40,I40,L40,O40,R40,U40)</f>
        <v>0</v>
      </c>
      <c r="Y40" s="7">
        <f>SUM(G40,J40,M40,P40,S40,V40)</f>
        <v>0</v>
      </c>
      <c r="Z40" s="7">
        <f>SUM(H40,K40,N40,Q40,T40,W40)</f>
        <v>0</v>
      </c>
      <c r="AA40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0" s="4">
        <v>0</v>
      </c>
      <c r="AC40" s="7">
        <v>0</v>
      </c>
      <c r="AD40" s="7">
        <v>0</v>
      </c>
      <c r="AE40" s="4">
        <v>4.5</v>
      </c>
      <c r="AF40" s="7">
        <v>7.3</v>
      </c>
      <c r="AG40" s="7">
        <v>11.8</v>
      </c>
      <c r="AH40" s="4">
        <v>4.5999999999999996</v>
      </c>
      <c r="AI40" s="7">
        <v>8.1</v>
      </c>
      <c r="AJ40" s="7">
        <v>12.7</v>
      </c>
      <c r="AK40" s="4">
        <v>0</v>
      </c>
      <c r="AL40" s="7">
        <v>0</v>
      </c>
      <c r="AM40" s="7">
        <v>0</v>
      </c>
      <c r="AN40" s="4">
        <v>4</v>
      </c>
      <c r="AO40" s="7">
        <v>6.6</v>
      </c>
      <c r="AP40" s="7">
        <v>10.6</v>
      </c>
      <c r="AQ40" s="4">
        <v>0</v>
      </c>
      <c r="AR40" s="7">
        <v>0</v>
      </c>
      <c r="AS40" s="7">
        <v>0</v>
      </c>
      <c r="AT40" s="4">
        <f>SUM(AB40,AE40,AH40,AK40,AN40,AQ40)</f>
        <v>13.1</v>
      </c>
      <c r="AU40" s="7">
        <f>SUM(AC40,AF40,AI40,AL40,AO40,AR40)</f>
        <v>22</v>
      </c>
      <c r="AV40" s="7">
        <f>SUM(AD40,AG40,AJ40,AM40,AP40,AS40)</f>
        <v>35.1</v>
      </c>
      <c r="AW40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0" s="4">
        <v>0</v>
      </c>
      <c r="AY40" s="7">
        <v>0</v>
      </c>
      <c r="AZ40" s="7">
        <v>0</v>
      </c>
      <c r="BA40" s="4">
        <v>4.7</v>
      </c>
      <c r="BB40" s="7">
        <v>6.8</v>
      </c>
      <c r="BC40" s="7">
        <v>11.5</v>
      </c>
      <c r="BD40" s="4">
        <v>4.2</v>
      </c>
      <c r="BE40" s="7">
        <v>8.5</v>
      </c>
      <c r="BF40" s="7">
        <v>12.7</v>
      </c>
      <c r="BG40" s="4">
        <v>0</v>
      </c>
      <c r="BH40" s="7">
        <v>0</v>
      </c>
      <c r="BI40" s="7">
        <v>0</v>
      </c>
      <c r="BJ40" s="4">
        <v>3.8</v>
      </c>
      <c r="BK40" s="7">
        <v>7.2</v>
      </c>
      <c r="BL40" s="7">
        <v>11</v>
      </c>
      <c r="BM40" s="4">
        <v>0</v>
      </c>
      <c r="BN40" s="7">
        <v>0</v>
      </c>
      <c r="BO40" s="7">
        <v>0</v>
      </c>
      <c r="BP40" s="4">
        <f>SUM(AX40,BA40,BD40,BG40,BJ40,BM40)</f>
        <v>12.7</v>
      </c>
      <c r="BQ40" s="7">
        <f>SUM(AY40,BB40,BE40,BH40,BK40,BN40)</f>
        <v>22.5</v>
      </c>
      <c r="BR40" s="7">
        <f>SUM(AZ40,BC40,BF40,BI40,BL40,BO40)</f>
        <v>35.200000000000003</v>
      </c>
      <c r="BS40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0" s="4">
        <v>0</v>
      </c>
      <c r="BU40" s="7">
        <v>0</v>
      </c>
      <c r="BV40" s="7">
        <v>0</v>
      </c>
      <c r="BW40" s="4">
        <v>0</v>
      </c>
      <c r="BX40" s="7">
        <v>0</v>
      </c>
      <c r="BY40" s="7">
        <v>0</v>
      </c>
      <c r="BZ40" s="4">
        <v>0</v>
      </c>
      <c r="CA40" s="7">
        <v>0</v>
      </c>
      <c r="CB40" s="7">
        <v>0</v>
      </c>
      <c r="CC40" s="4">
        <v>0</v>
      </c>
      <c r="CD40" s="7">
        <v>0</v>
      </c>
      <c r="CE40" s="7">
        <v>0</v>
      </c>
      <c r="CF40" s="4">
        <v>0</v>
      </c>
      <c r="CG40" s="7">
        <v>0</v>
      </c>
      <c r="CH40" s="7">
        <v>0</v>
      </c>
      <c r="CI40" s="4">
        <v>0</v>
      </c>
      <c r="CJ40" s="7">
        <v>0</v>
      </c>
      <c r="CK40" s="7">
        <v>0</v>
      </c>
      <c r="CL40" s="4">
        <f>SUM(BT40,BW40,BZ40,CC40,CF40,CI40)</f>
        <v>0</v>
      </c>
      <c r="CM40" s="7">
        <f>SUM(BU40,BX40,CA40,CD40,CG40,CJ40)</f>
        <v>0</v>
      </c>
      <c r="CN40" s="7">
        <f>SUM(BV40,BY40,CB40,CE40,CH40,CK40)</f>
        <v>0</v>
      </c>
      <c r="CO40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1" spans="1:99" x14ac:dyDescent="0.25">
      <c r="A41" t="s">
        <v>108</v>
      </c>
      <c r="B41" s="2" t="s">
        <v>60</v>
      </c>
      <c r="C41" s="2" t="s">
        <v>109</v>
      </c>
      <c r="D41" t="s">
        <v>62</v>
      </c>
      <c r="E41" s="2">
        <f>SUM(COUNTIF(AA[[#This Row],[Bydgoszcz_all_around]],"Yes"),COUNTIF(AA[[#This Row],[Zabrze_all_around]],"Yes"),COUNTIF(AA[[#This Row],[Cracow_all_around]],"Yes"),COUNTIF(AA[[#This Row],[Gdansk_all_Around]],"Yes"))</f>
        <v>0</v>
      </c>
      <c r="F41" s="4">
        <v>0</v>
      </c>
      <c r="G41" s="7">
        <v>0</v>
      </c>
      <c r="H41" s="7">
        <v>0</v>
      </c>
      <c r="I41" s="4">
        <v>0</v>
      </c>
      <c r="J41" s="7">
        <v>0</v>
      </c>
      <c r="K41" s="7">
        <v>0</v>
      </c>
      <c r="L41" s="4">
        <v>0</v>
      </c>
      <c r="M41" s="7">
        <v>0</v>
      </c>
      <c r="N41" s="7">
        <v>0</v>
      </c>
      <c r="O41" s="4">
        <v>0</v>
      </c>
      <c r="P41" s="7">
        <v>0</v>
      </c>
      <c r="Q41" s="7">
        <v>0</v>
      </c>
      <c r="R41" s="4">
        <v>0</v>
      </c>
      <c r="S41" s="7">
        <v>0</v>
      </c>
      <c r="T41" s="7">
        <v>0</v>
      </c>
      <c r="U41" s="4">
        <v>0</v>
      </c>
      <c r="V41" s="7">
        <v>0</v>
      </c>
      <c r="W41" s="7">
        <v>0</v>
      </c>
      <c r="X41" s="4">
        <f>SUM(F41,I41,L41,O41,R41,U41)</f>
        <v>0</v>
      </c>
      <c r="Y41" s="7">
        <f>SUM(G41,J41,M41,P41,S41,V41)</f>
        <v>0</v>
      </c>
      <c r="Z41" s="7">
        <f>SUM(H41,K41,N41,Q41,T41,W41)</f>
        <v>0</v>
      </c>
      <c r="AA41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1" s="4">
        <v>3.3</v>
      </c>
      <c r="AC41" s="7">
        <v>8.4</v>
      </c>
      <c r="AD41" s="7">
        <v>11.7</v>
      </c>
      <c r="AE41" s="4">
        <v>0</v>
      </c>
      <c r="AF41" s="7">
        <v>0</v>
      </c>
      <c r="AG41" s="7">
        <v>0</v>
      </c>
      <c r="AH41" s="4">
        <v>2.6</v>
      </c>
      <c r="AI41" s="7">
        <v>1.7</v>
      </c>
      <c r="AJ41" s="7">
        <v>4.3</v>
      </c>
      <c r="AK41" s="4">
        <v>0</v>
      </c>
      <c r="AL41" s="7">
        <v>0</v>
      </c>
      <c r="AM41" s="7">
        <v>0</v>
      </c>
      <c r="AN41" s="4">
        <v>0</v>
      </c>
      <c r="AO41" s="7">
        <v>0</v>
      </c>
      <c r="AP41" s="7">
        <v>0</v>
      </c>
      <c r="AQ41" s="4">
        <v>0</v>
      </c>
      <c r="AR41" s="7">
        <v>0</v>
      </c>
      <c r="AS41" s="7">
        <v>0</v>
      </c>
      <c r="AT41" s="4">
        <f>SUM(AB41,AE41,AH41,AK41,AN41,AQ41)</f>
        <v>5.9</v>
      </c>
      <c r="AU41" s="7">
        <f>SUM(AC41,AF41,AI41,AL41,AO41,AR41)</f>
        <v>10.1</v>
      </c>
      <c r="AV41" s="7">
        <f>SUM(AD41,AG41,AJ41,AM41,AP41,AS41)</f>
        <v>16</v>
      </c>
      <c r="AW41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1" s="4">
        <v>3.5</v>
      </c>
      <c r="AY41" s="7">
        <v>7.45</v>
      </c>
      <c r="AZ41" s="7">
        <v>10.95</v>
      </c>
      <c r="BA41" s="4">
        <v>0</v>
      </c>
      <c r="BB41" s="7">
        <v>0</v>
      </c>
      <c r="BC41" s="7">
        <v>0</v>
      </c>
      <c r="BD41" s="4">
        <v>2.9</v>
      </c>
      <c r="BE41" s="7">
        <v>5.75</v>
      </c>
      <c r="BF41" s="7">
        <v>8.65</v>
      </c>
      <c r="BG41" s="4">
        <v>0</v>
      </c>
      <c r="BH41" s="7">
        <v>0</v>
      </c>
      <c r="BI41" s="7">
        <v>0</v>
      </c>
      <c r="BJ41" s="4">
        <v>0</v>
      </c>
      <c r="BK41" s="7">
        <v>0</v>
      </c>
      <c r="BL41" s="7">
        <v>0</v>
      </c>
      <c r="BM41" s="4">
        <v>0</v>
      </c>
      <c r="BN41" s="7">
        <v>0</v>
      </c>
      <c r="BO41" s="7">
        <v>0</v>
      </c>
      <c r="BP41" s="4">
        <f>SUM(AX41,BA41,BD41,BG41,BJ41,BM41)</f>
        <v>6.4</v>
      </c>
      <c r="BQ41" s="7">
        <f>SUM(AY41,BB41,BE41,BH41,BK41,BN41)</f>
        <v>13.2</v>
      </c>
      <c r="BR41" s="7">
        <f>SUM(AZ41,BC41,BF41,BI41,BL41,BO41)</f>
        <v>19.600000000000001</v>
      </c>
      <c r="BS41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1" s="4">
        <v>0</v>
      </c>
      <c r="BU41" s="7">
        <v>0</v>
      </c>
      <c r="BV41" s="7">
        <v>0</v>
      </c>
      <c r="BW41" s="4">
        <v>0</v>
      </c>
      <c r="BX41" s="7">
        <v>0</v>
      </c>
      <c r="BY41" s="7">
        <v>0</v>
      </c>
      <c r="BZ41" s="4">
        <v>0</v>
      </c>
      <c r="CA41" s="7">
        <v>0</v>
      </c>
      <c r="CB41" s="7">
        <v>0</v>
      </c>
      <c r="CC41" s="4">
        <v>0</v>
      </c>
      <c r="CD41" s="7">
        <v>0</v>
      </c>
      <c r="CE41" s="7">
        <v>0</v>
      </c>
      <c r="CF41" s="4">
        <v>0</v>
      </c>
      <c r="CG41" s="7">
        <v>0</v>
      </c>
      <c r="CH41" s="7">
        <v>0</v>
      </c>
      <c r="CI41" s="4">
        <v>0</v>
      </c>
      <c r="CJ41" s="7">
        <v>0</v>
      </c>
      <c r="CK41" s="7">
        <v>0</v>
      </c>
      <c r="CL41" s="4">
        <f>SUM(BT41,BW41,BZ41,CC41,CF41,CI41)</f>
        <v>0</v>
      </c>
      <c r="CM41" s="7">
        <f>SUM(BU41,BX41,CA41,CD41,CG41,CJ41)</f>
        <v>0</v>
      </c>
      <c r="CN41" s="7">
        <f>SUM(BV41,BY41,CB41,CE41,CH41,CK41)</f>
        <v>0</v>
      </c>
      <c r="CO41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2" spans="1:99" x14ac:dyDescent="0.25">
      <c r="A42" t="s">
        <v>104</v>
      </c>
      <c r="B42" s="2" t="s">
        <v>60</v>
      </c>
      <c r="C42" s="2" t="s">
        <v>105</v>
      </c>
      <c r="D42" t="s">
        <v>28</v>
      </c>
      <c r="E42" s="2">
        <f>SUM(COUNTIF(AA[[#This Row],[Bydgoszcz_all_around]],"Yes"),COUNTIF(AA[[#This Row],[Zabrze_all_around]],"Yes"),COUNTIF(AA[[#This Row],[Cracow_all_around]],"Yes"),COUNTIF(AA[[#This Row],[Gdansk_all_Around]],"Yes"))</f>
        <v>0</v>
      </c>
      <c r="F42" s="4">
        <v>0</v>
      </c>
      <c r="G42" s="7">
        <v>0</v>
      </c>
      <c r="H42" s="7">
        <v>0</v>
      </c>
      <c r="I42" s="4">
        <v>0</v>
      </c>
      <c r="J42" s="7">
        <v>0</v>
      </c>
      <c r="K42" s="7">
        <v>0</v>
      </c>
      <c r="L42" s="4">
        <v>0</v>
      </c>
      <c r="M42" s="7">
        <v>0</v>
      </c>
      <c r="N42" s="7">
        <v>0</v>
      </c>
      <c r="O42" s="4">
        <v>0</v>
      </c>
      <c r="P42" s="7">
        <v>0</v>
      </c>
      <c r="Q42" s="7">
        <v>0</v>
      </c>
      <c r="R42" s="4">
        <v>0</v>
      </c>
      <c r="S42" s="7">
        <v>0</v>
      </c>
      <c r="T42" s="7">
        <v>0</v>
      </c>
      <c r="U42" s="4">
        <v>0</v>
      </c>
      <c r="V42" s="7">
        <v>0</v>
      </c>
      <c r="W42" s="7">
        <v>0</v>
      </c>
      <c r="X42" s="4">
        <f>SUM(F42,I42,L42,O42,R42,U42)</f>
        <v>0</v>
      </c>
      <c r="Y42" s="7">
        <f>SUM(G42,J42,M42,P42,S42,V42)</f>
        <v>0</v>
      </c>
      <c r="Z42" s="7">
        <f>SUM(H42,K42,N42,Q42,T42,W42)</f>
        <v>0</v>
      </c>
      <c r="AA4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2" s="4">
        <v>4.5</v>
      </c>
      <c r="AC42" s="7">
        <v>6.2</v>
      </c>
      <c r="AD42" s="7">
        <v>10.7</v>
      </c>
      <c r="AE42" s="4">
        <v>0</v>
      </c>
      <c r="AF42" s="7">
        <v>0</v>
      </c>
      <c r="AG42" s="7">
        <v>0</v>
      </c>
      <c r="AH42" s="4">
        <v>0</v>
      </c>
      <c r="AI42" s="7">
        <v>0</v>
      </c>
      <c r="AJ42" s="7">
        <v>0</v>
      </c>
      <c r="AK42" s="4">
        <v>3.2</v>
      </c>
      <c r="AL42" s="7">
        <v>8.8000000000000007</v>
      </c>
      <c r="AM42" s="7">
        <v>12</v>
      </c>
      <c r="AN42" s="4">
        <v>0</v>
      </c>
      <c r="AO42" s="7">
        <v>0</v>
      </c>
      <c r="AP42" s="7">
        <v>0</v>
      </c>
      <c r="AQ42" s="4">
        <v>0</v>
      </c>
      <c r="AR42" s="7">
        <v>0</v>
      </c>
      <c r="AS42" s="7">
        <v>0</v>
      </c>
      <c r="AT42" s="4">
        <f>SUM(AB42,AE42,AH42,AK42,AN42,AQ42)</f>
        <v>7.7</v>
      </c>
      <c r="AU42" s="7">
        <f>SUM(AC42,AF42,AI42,AL42,AO42,AR42)</f>
        <v>15</v>
      </c>
      <c r="AV42" s="7">
        <f>SUM(AD42,AG42,AJ42,AM42,AP42,AS42)</f>
        <v>22.7</v>
      </c>
      <c r="AW4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2" s="4">
        <v>0</v>
      </c>
      <c r="AY42" s="7">
        <v>0</v>
      </c>
      <c r="AZ42" s="7">
        <v>0</v>
      </c>
      <c r="BA42" s="4">
        <v>0</v>
      </c>
      <c r="BB42" s="7">
        <v>0</v>
      </c>
      <c r="BC42" s="7">
        <v>0</v>
      </c>
      <c r="BD42" s="4">
        <v>0</v>
      </c>
      <c r="BE42" s="7">
        <v>0</v>
      </c>
      <c r="BF42" s="7">
        <v>0</v>
      </c>
      <c r="BG42" s="4">
        <v>0</v>
      </c>
      <c r="BH42" s="7">
        <v>0</v>
      </c>
      <c r="BI42" s="7">
        <v>0</v>
      </c>
      <c r="BJ42" s="4">
        <v>0</v>
      </c>
      <c r="BK42" s="7">
        <v>0</v>
      </c>
      <c r="BL42" s="7">
        <v>0</v>
      </c>
      <c r="BM42" s="4">
        <v>0</v>
      </c>
      <c r="BN42" s="7">
        <v>0</v>
      </c>
      <c r="BO42" s="7">
        <v>0</v>
      </c>
      <c r="BP42" s="4">
        <f>SUM(AX42,BA42,BD42,BG42,BJ42,BM42)</f>
        <v>0</v>
      </c>
      <c r="BQ42" s="7">
        <f>SUM(AY42,BB42,BE42,BH42,BK42,BN42)</f>
        <v>0</v>
      </c>
      <c r="BR42" s="7">
        <f>SUM(AZ42,BC42,BF42,BI42,BL42,BO42)</f>
        <v>0</v>
      </c>
      <c r="BS4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2" s="4">
        <v>4.4000000000000004</v>
      </c>
      <c r="BU42" s="7">
        <v>4.5</v>
      </c>
      <c r="BV42" s="7">
        <v>8.9</v>
      </c>
      <c r="BW42" s="4">
        <v>0</v>
      </c>
      <c r="BX42" s="7">
        <v>0</v>
      </c>
      <c r="BY42" s="7">
        <v>0</v>
      </c>
      <c r="BZ42" s="4">
        <v>0</v>
      </c>
      <c r="CA42" s="7">
        <v>0</v>
      </c>
      <c r="CB42" s="7">
        <v>0</v>
      </c>
      <c r="CC42" s="4">
        <v>0</v>
      </c>
      <c r="CD42" s="7">
        <v>0</v>
      </c>
      <c r="CE42" s="7">
        <v>0</v>
      </c>
      <c r="CF42" s="4">
        <v>0</v>
      </c>
      <c r="CG42" s="7">
        <v>0</v>
      </c>
      <c r="CH42" s="7">
        <v>0</v>
      </c>
      <c r="CI42" s="4">
        <v>0</v>
      </c>
      <c r="CJ42" s="7">
        <v>0</v>
      </c>
      <c r="CK42" s="7">
        <v>0</v>
      </c>
      <c r="CL42" s="4">
        <f>SUM(BT42,BW42,BZ42,CC42,CF42,CI42)</f>
        <v>4.4000000000000004</v>
      </c>
      <c r="CM42" s="7">
        <f>SUM(BU42,BX42,CA42,CD42,CG42,CJ42)</f>
        <v>4.5</v>
      </c>
      <c r="CN42" s="7">
        <f>SUM(BV42,BY42,CB42,CE42,CH42,CK42)</f>
        <v>8.9</v>
      </c>
      <c r="CO4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3" spans="1:99" x14ac:dyDescent="0.25">
      <c r="A43" t="s">
        <v>129</v>
      </c>
      <c r="B43" s="2" t="s">
        <v>60</v>
      </c>
      <c r="C43" s="2" t="s">
        <v>130</v>
      </c>
      <c r="D43" t="s">
        <v>72</v>
      </c>
      <c r="E43" s="2">
        <f>SUM(COUNTIF(AA[[#This Row],[Bydgoszcz_all_around]],"Yes"),COUNTIF(AA[[#This Row],[Zabrze_all_around]],"Yes"),COUNTIF(AA[[#This Row],[Cracow_all_around]],"Yes"),COUNTIF(AA[[#This Row],[Gdansk_all_Around]],"Yes"))</f>
        <v>0</v>
      </c>
      <c r="F43" s="4">
        <v>0</v>
      </c>
      <c r="G43" s="7">
        <v>0</v>
      </c>
      <c r="H43" s="7">
        <v>0</v>
      </c>
      <c r="I43" s="4">
        <v>0</v>
      </c>
      <c r="J43" s="7">
        <v>0</v>
      </c>
      <c r="K43" s="7">
        <v>0</v>
      </c>
      <c r="L43" s="4">
        <v>0</v>
      </c>
      <c r="M43" s="7">
        <v>0</v>
      </c>
      <c r="N43" s="7">
        <v>0</v>
      </c>
      <c r="O43" s="4">
        <v>0</v>
      </c>
      <c r="P43" s="7">
        <v>0</v>
      </c>
      <c r="Q43" s="7">
        <v>0</v>
      </c>
      <c r="R43" s="4">
        <v>0</v>
      </c>
      <c r="S43" s="7">
        <v>0</v>
      </c>
      <c r="T43" s="7">
        <v>0</v>
      </c>
      <c r="U43" s="4">
        <v>0</v>
      </c>
      <c r="V43" s="7">
        <v>0</v>
      </c>
      <c r="W43" s="7">
        <v>0</v>
      </c>
      <c r="X43" s="4">
        <f>SUM(F43,I43,L43,O43,R43,U43)</f>
        <v>0</v>
      </c>
      <c r="Y43" s="7">
        <f>SUM(G43,J43,M43,P43,S43,V43)</f>
        <v>0</v>
      </c>
      <c r="Z43" s="7">
        <f>SUM(H43,K43,N43,Q43,T43,W43)</f>
        <v>0</v>
      </c>
      <c r="AA4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3" s="4">
        <v>0</v>
      </c>
      <c r="AC43" s="7">
        <v>0</v>
      </c>
      <c r="AD43" s="7">
        <v>0</v>
      </c>
      <c r="AE43" s="4">
        <v>0</v>
      </c>
      <c r="AF43" s="7">
        <v>0</v>
      </c>
      <c r="AG43" s="7">
        <v>0</v>
      </c>
      <c r="AH43" s="4">
        <v>0</v>
      </c>
      <c r="AI43" s="7">
        <v>0</v>
      </c>
      <c r="AJ43" s="7">
        <v>0</v>
      </c>
      <c r="AK43" s="4">
        <v>0</v>
      </c>
      <c r="AL43" s="7">
        <v>0</v>
      </c>
      <c r="AM43" s="7">
        <v>0</v>
      </c>
      <c r="AN43" s="4">
        <v>0</v>
      </c>
      <c r="AO43" s="7">
        <v>0</v>
      </c>
      <c r="AP43" s="7">
        <v>0</v>
      </c>
      <c r="AQ43" s="4">
        <v>0</v>
      </c>
      <c r="AR43" s="7">
        <v>0</v>
      </c>
      <c r="AS43" s="7">
        <v>0</v>
      </c>
      <c r="AT43" s="4">
        <f>SUM(AB43,AE43,AH43,AK43,AN43,AQ43)</f>
        <v>0</v>
      </c>
      <c r="AU43" s="7">
        <f>SUM(AC43,AF43,AI43,AL43,AO43,AR43)</f>
        <v>0</v>
      </c>
      <c r="AV43" s="7">
        <f>SUM(AD43,AG43,AJ43,AM43,AP43,AS43)</f>
        <v>0</v>
      </c>
      <c r="AW4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3" s="4">
        <v>4.4000000000000004</v>
      </c>
      <c r="AY43" s="7">
        <v>7.05</v>
      </c>
      <c r="AZ43" s="7">
        <v>11.45</v>
      </c>
      <c r="BA43" s="4">
        <v>0</v>
      </c>
      <c r="BB43" s="7">
        <v>0</v>
      </c>
      <c r="BC43" s="7">
        <v>0</v>
      </c>
      <c r="BD43" s="4">
        <v>0</v>
      </c>
      <c r="BE43" s="7">
        <v>0</v>
      </c>
      <c r="BF43" s="7">
        <v>0</v>
      </c>
      <c r="BG43" s="4">
        <v>2.8</v>
      </c>
      <c r="BH43" s="7">
        <v>8.5500000000000007</v>
      </c>
      <c r="BI43" s="7">
        <v>11.35</v>
      </c>
      <c r="BJ43" s="4">
        <v>2.7</v>
      </c>
      <c r="BK43" s="7">
        <v>8.5500000000000007</v>
      </c>
      <c r="BL43" s="7">
        <v>11.25</v>
      </c>
      <c r="BM43" s="4">
        <v>0</v>
      </c>
      <c r="BN43" s="7">
        <v>0</v>
      </c>
      <c r="BO43" s="7">
        <v>0</v>
      </c>
      <c r="BP43" s="4">
        <f>SUM(AX43,BA43,BD43,BG43,BJ43,BM43)</f>
        <v>9.9</v>
      </c>
      <c r="BQ43" s="7">
        <f>SUM(AY43,BB43,BE43,BH43,BK43,BN43)</f>
        <v>24.150000000000002</v>
      </c>
      <c r="BR43" s="7">
        <f>SUM(AZ43,BC43,BF43,BI43,BL43,BO43)</f>
        <v>34.049999999999997</v>
      </c>
      <c r="BS4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3" s="4">
        <v>0</v>
      </c>
      <c r="BU43" s="7">
        <v>0</v>
      </c>
      <c r="BV43" s="7">
        <v>0</v>
      </c>
      <c r="BW43" s="4">
        <v>0</v>
      </c>
      <c r="BX43" s="7">
        <v>0</v>
      </c>
      <c r="BY43" s="7">
        <v>0</v>
      </c>
      <c r="BZ43" s="4">
        <v>0</v>
      </c>
      <c r="CA43" s="7">
        <v>0</v>
      </c>
      <c r="CB43" s="7">
        <v>0</v>
      </c>
      <c r="CC43" s="4">
        <v>0</v>
      </c>
      <c r="CD43" s="7">
        <v>0</v>
      </c>
      <c r="CE43" s="7">
        <v>0</v>
      </c>
      <c r="CF43" s="4">
        <v>0</v>
      </c>
      <c r="CG43" s="7">
        <v>0</v>
      </c>
      <c r="CH43" s="7">
        <v>0</v>
      </c>
      <c r="CI43" s="4">
        <v>0</v>
      </c>
      <c r="CJ43" s="7">
        <v>0</v>
      </c>
      <c r="CK43" s="7">
        <v>0</v>
      </c>
      <c r="CL43" s="4">
        <f>SUM(BT43,BW43,BZ43,CC43,CF43,CI43)</f>
        <v>0</v>
      </c>
      <c r="CM43" s="7">
        <f>SUM(BU43,BX43,CA43,CD43,CG43,CJ43)</f>
        <v>0</v>
      </c>
      <c r="CN43" s="7">
        <f>SUM(BV43,BY43,CB43,CE43,CH43,CK43)</f>
        <v>0</v>
      </c>
      <c r="CO4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4" spans="1:99" x14ac:dyDescent="0.25">
      <c r="A44" t="s">
        <v>110</v>
      </c>
      <c r="B44" s="2" t="s">
        <v>60</v>
      </c>
      <c r="C44" s="2" t="s">
        <v>111</v>
      </c>
      <c r="D44" t="s">
        <v>36</v>
      </c>
      <c r="E44" s="2">
        <f>SUM(COUNTIF(AA[[#This Row],[Bydgoszcz_all_around]],"Yes"),COUNTIF(AA[[#This Row],[Zabrze_all_around]],"Yes"),COUNTIF(AA[[#This Row],[Cracow_all_around]],"Yes"),COUNTIF(AA[[#This Row],[Gdansk_all_Around]],"Yes"))</f>
        <v>0</v>
      </c>
      <c r="F44" s="4">
        <v>0</v>
      </c>
      <c r="G44" s="7">
        <v>0</v>
      </c>
      <c r="H44" s="7">
        <v>0</v>
      </c>
      <c r="I44" s="4">
        <v>0</v>
      </c>
      <c r="J44" s="7">
        <v>0</v>
      </c>
      <c r="K44" s="7">
        <v>0</v>
      </c>
      <c r="L44" s="4">
        <v>0</v>
      </c>
      <c r="M44" s="7">
        <v>0</v>
      </c>
      <c r="N44" s="7">
        <v>0</v>
      </c>
      <c r="O44" s="4">
        <v>0</v>
      </c>
      <c r="P44" s="7">
        <v>0</v>
      </c>
      <c r="Q44" s="7">
        <v>0</v>
      </c>
      <c r="R44" s="4">
        <v>0</v>
      </c>
      <c r="S44" s="7">
        <v>0</v>
      </c>
      <c r="T44" s="7">
        <v>0</v>
      </c>
      <c r="U44" s="4">
        <v>0</v>
      </c>
      <c r="V44" s="7">
        <v>0</v>
      </c>
      <c r="W44" s="7">
        <v>0</v>
      </c>
      <c r="X44" s="4">
        <f>SUM(F44,I44,L44,O44,R44,U44)</f>
        <v>0</v>
      </c>
      <c r="Y44" s="7">
        <f>SUM(G44,J44,M44,P44,S44,V44)</f>
        <v>0</v>
      </c>
      <c r="Z44" s="7">
        <f>SUM(H44,K44,N44,Q44,T44,W44)</f>
        <v>0</v>
      </c>
      <c r="AA44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4" s="4">
        <v>0</v>
      </c>
      <c r="AC44" s="7">
        <v>0</v>
      </c>
      <c r="AD44" s="7">
        <v>0</v>
      </c>
      <c r="AE44" s="4">
        <v>3.1</v>
      </c>
      <c r="AF44" s="7">
        <v>6</v>
      </c>
      <c r="AG44" s="7">
        <v>9.1</v>
      </c>
      <c r="AH44" s="4">
        <v>0</v>
      </c>
      <c r="AI44" s="7">
        <v>0</v>
      </c>
      <c r="AJ44" s="7">
        <v>0</v>
      </c>
      <c r="AK44" s="4">
        <v>0</v>
      </c>
      <c r="AL44" s="7">
        <v>0</v>
      </c>
      <c r="AM44" s="7">
        <v>0</v>
      </c>
      <c r="AN44" s="4">
        <v>0</v>
      </c>
      <c r="AO44" s="7">
        <v>0</v>
      </c>
      <c r="AP44" s="7">
        <v>0</v>
      </c>
      <c r="AQ44" s="4">
        <v>0</v>
      </c>
      <c r="AR44" s="7">
        <v>0</v>
      </c>
      <c r="AS44" s="7">
        <v>0</v>
      </c>
      <c r="AT44" s="4">
        <f>SUM(AB44,AE44,AH44,AK44,AN44,AQ44)</f>
        <v>3.1</v>
      </c>
      <c r="AU44" s="7">
        <f>SUM(AC44,AF44,AI44,AL44,AO44,AR44)</f>
        <v>6</v>
      </c>
      <c r="AV44" s="7">
        <f>SUM(AD44,AG44,AJ44,AM44,AP44,AS44)</f>
        <v>9.1</v>
      </c>
      <c r="AW44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4" s="4">
        <v>0</v>
      </c>
      <c r="AY44" s="7">
        <v>0</v>
      </c>
      <c r="AZ44" s="7">
        <v>0</v>
      </c>
      <c r="BA44" s="4">
        <v>3.5</v>
      </c>
      <c r="BB44" s="7">
        <v>5.6</v>
      </c>
      <c r="BC44" s="7">
        <v>9.1</v>
      </c>
      <c r="BD44" s="4">
        <v>0</v>
      </c>
      <c r="BE44" s="7">
        <v>0</v>
      </c>
      <c r="BF44" s="7">
        <v>0</v>
      </c>
      <c r="BG44" s="4">
        <v>0</v>
      </c>
      <c r="BH44" s="7">
        <v>0</v>
      </c>
      <c r="BI44" s="7">
        <v>0</v>
      </c>
      <c r="BJ44" s="4">
        <v>0</v>
      </c>
      <c r="BK44" s="7">
        <v>0</v>
      </c>
      <c r="BL44" s="7">
        <v>0</v>
      </c>
      <c r="BM44" s="4">
        <v>0</v>
      </c>
      <c r="BN44" s="7">
        <v>0</v>
      </c>
      <c r="BO44" s="7">
        <v>0</v>
      </c>
      <c r="BP44" s="4">
        <f>SUM(AX44,BA44,BD44,BG44,BJ44,BM44)</f>
        <v>3.5</v>
      </c>
      <c r="BQ44" s="7">
        <f>SUM(AY44,BB44,BE44,BH44,BK44,BN44)</f>
        <v>5.6</v>
      </c>
      <c r="BR44" s="7">
        <f>SUM(AZ44,BC44,BF44,BI44,BL44,BO44)</f>
        <v>9.1</v>
      </c>
      <c r="BS44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4" s="4">
        <v>0</v>
      </c>
      <c r="BU44" s="7">
        <v>0</v>
      </c>
      <c r="BV44" s="7">
        <v>0</v>
      </c>
      <c r="BW44" s="4">
        <v>0</v>
      </c>
      <c r="BX44" s="7">
        <v>0</v>
      </c>
      <c r="BY44" s="7">
        <v>0</v>
      </c>
      <c r="BZ44" s="4">
        <v>0</v>
      </c>
      <c r="CA44" s="7">
        <v>0</v>
      </c>
      <c r="CB44" s="7">
        <v>0</v>
      </c>
      <c r="CC44" s="4">
        <v>0</v>
      </c>
      <c r="CD44" s="7">
        <v>0</v>
      </c>
      <c r="CE44" s="7">
        <v>0</v>
      </c>
      <c r="CF44" s="4">
        <v>0</v>
      </c>
      <c r="CG44" s="7">
        <v>0</v>
      </c>
      <c r="CH44" s="7">
        <v>0</v>
      </c>
      <c r="CI44" s="4">
        <v>0</v>
      </c>
      <c r="CJ44" s="7">
        <v>0</v>
      </c>
      <c r="CK44" s="7">
        <v>0</v>
      </c>
      <c r="CL44" s="4">
        <f>SUM(BT44,BW44,BZ44,CC44,CF44,CI44)</f>
        <v>0</v>
      </c>
      <c r="CM44" s="7">
        <f>SUM(BU44,BX44,CA44,CD44,CG44,CJ44)</f>
        <v>0</v>
      </c>
      <c r="CN44" s="7">
        <f>SUM(BV44,BY44,CB44,CE44,CH44,CK44)</f>
        <v>0</v>
      </c>
      <c r="CO44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4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4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4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5" spans="1:99" x14ac:dyDescent="0.25">
      <c r="A45" t="s">
        <v>102</v>
      </c>
      <c r="B45" s="2" t="s">
        <v>60</v>
      </c>
      <c r="C45" s="2" t="s">
        <v>103</v>
      </c>
      <c r="D45" t="s">
        <v>31</v>
      </c>
      <c r="E45" s="2">
        <f>SUM(COUNTIF(AA[[#This Row],[Bydgoszcz_all_around]],"Yes"),COUNTIF(AA[[#This Row],[Zabrze_all_around]],"Yes"),COUNTIF(AA[[#This Row],[Cracow_all_around]],"Yes"),COUNTIF(AA[[#This Row],[Gdansk_all_Around]],"Yes"))</f>
        <v>0</v>
      </c>
      <c r="F45" s="4">
        <v>0</v>
      </c>
      <c r="G45" s="7">
        <v>0</v>
      </c>
      <c r="H45" s="7">
        <v>0</v>
      </c>
      <c r="I45" s="4">
        <v>0</v>
      </c>
      <c r="J45" s="7">
        <v>0</v>
      </c>
      <c r="K45" s="7">
        <v>0</v>
      </c>
      <c r="L45" s="4">
        <v>0</v>
      </c>
      <c r="M45" s="7">
        <v>0</v>
      </c>
      <c r="N45" s="7">
        <v>0</v>
      </c>
      <c r="O45" s="4">
        <v>0</v>
      </c>
      <c r="P45" s="7">
        <v>0</v>
      </c>
      <c r="Q45" s="7">
        <v>0</v>
      </c>
      <c r="R45" s="4">
        <v>0</v>
      </c>
      <c r="S45" s="7">
        <v>0</v>
      </c>
      <c r="T45" s="7">
        <v>0</v>
      </c>
      <c r="U45" s="4">
        <v>0</v>
      </c>
      <c r="V45" s="7">
        <v>0</v>
      </c>
      <c r="W45" s="7">
        <v>0</v>
      </c>
      <c r="X45" s="4">
        <f>SUM(F45,I45,L45,O45,R45,U45)</f>
        <v>0</v>
      </c>
      <c r="Y45" s="7">
        <f>SUM(G45,J45,M45,P45,S45,V45)</f>
        <v>0</v>
      </c>
      <c r="Z45" s="7">
        <f>SUM(H45,K45,N45,Q45,T45,W45)</f>
        <v>0</v>
      </c>
      <c r="AA45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5" s="4">
        <v>0</v>
      </c>
      <c r="AC45" s="7">
        <v>0</v>
      </c>
      <c r="AD45" s="7">
        <v>0</v>
      </c>
      <c r="AE45" s="4">
        <v>0</v>
      </c>
      <c r="AF45" s="7">
        <v>0</v>
      </c>
      <c r="AG45" s="7">
        <v>0</v>
      </c>
      <c r="AH45" s="4">
        <v>3.2</v>
      </c>
      <c r="AI45" s="7">
        <v>6.9</v>
      </c>
      <c r="AJ45" s="7">
        <v>10.1</v>
      </c>
      <c r="AK45" s="4">
        <v>4</v>
      </c>
      <c r="AL45" s="7">
        <v>8.85</v>
      </c>
      <c r="AM45" s="7">
        <v>12.85</v>
      </c>
      <c r="AN45" s="4">
        <v>0</v>
      </c>
      <c r="AO45" s="7">
        <v>0</v>
      </c>
      <c r="AP45" s="7">
        <v>0</v>
      </c>
      <c r="AQ45" s="4">
        <v>0</v>
      </c>
      <c r="AR45" s="7">
        <v>0</v>
      </c>
      <c r="AS45" s="7">
        <v>0</v>
      </c>
      <c r="AT45" s="4">
        <f>SUM(AB45,AE45,AH45,AK45,AN45,AQ45)</f>
        <v>7.2</v>
      </c>
      <c r="AU45" s="7">
        <f>SUM(AC45,AF45,AI45,AL45,AO45,AR45)</f>
        <v>15.75</v>
      </c>
      <c r="AV45" s="7">
        <f>SUM(AD45,AG45,AJ45,AM45,AP45,AS45)</f>
        <v>22.95</v>
      </c>
      <c r="AW45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5" s="4">
        <v>0</v>
      </c>
      <c r="AY45" s="7">
        <v>0</v>
      </c>
      <c r="AZ45" s="7">
        <v>0</v>
      </c>
      <c r="BA45" s="4">
        <v>0</v>
      </c>
      <c r="BB45" s="7">
        <v>0</v>
      </c>
      <c r="BC45" s="7">
        <v>0</v>
      </c>
      <c r="BD45" s="4">
        <v>0</v>
      </c>
      <c r="BE45" s="7">
        <v>0</v>
      </c>
      <c r="BF45" s="7">
        <v>0</v>
      </c>
      <c r="BG45" s="4">
        <v>0</v>
      </c>
      <c r="BH45" s="7">
        <v>0</v>
      </c>
      <c r="BI45" s="7">
        <v>0</v>
      </c>
      <c r="BJ45" s="4">
        <v>0</v>
      </c>
      <c r="BK45" s="7">
        <v>0</v>
      </c>
      <c r="BL45" s="7">
        <v>0</v>
      </c>
      <c r="BM45" s="4">
        <v>0</v>
      </c>
      <c r="BN45" s="7">
        <v>0</v>
      </c>
      <c r="BO45" s="7">
        <v>0</v>
      </c>
      <c r="BP45" s="4">
        <f>SUM(AX45,BA45,BD45,BG45,BJ45,BM45)</f>
        <v>0</v>
      </c>
      <c r="BQ45" s="7">
        <f>SUM(AY45,BB45,BE45,BH45,BK45,BN45)</f>
        <v>0</v>
      </c>
      <c r="BR45" s="7">
        <f>SUM(AZ45,BC45,BF45,BI45,BL45,BO45)</f>
        <v>0</v>
      </c>
      <c r="BS45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5" s="4">
        <v>0</v>
      </c>
      <c r="BU45" s="7">
        <v>0</v>
      </c>
      <c r="BV45" s="7">
        <v>0</v>
      </c>
      <c r="BW45" s="4">
        <v>0</v>
      </c>
      <c r="BX45" s="7">
        <v>0</v>
      </c>
      <c r="BY45" s="7">
        <v>0</v>
      </c>
      <c r="BZ45" s="4">
        <v>0</v>
      </c>
      <c r="CA45" s="7">
        <v>0</v>
      </c>
      <c r="CB45" s="7">
        <v>0</v>
      </c>
      <c r="CC45" s="4">
        <v>0</v>
      </c>
      <c r="CD45" s="7">
        <v>0</v>
      </c>
      <c r="CE45" s="7">
        <v>0</v>
      </c>
      <c r="CF45" s="4">
        <v>0</v>
      </c>
      <c r="CG45" s="7">
        <v>0</v>
      </c>
      <c r="CH45" s="7">
        <v>0</v>
      </c>
      <c r="CI45" s="4">
        <v>0</v>
      </c>
      <c r="CJ45" s="7">
        <v>0</v>
      </c>
      <c r="CK45" s="7">
        <v>0</v>
      </c>
      <c r="CL45" s="4">
        <f>SUM(BT45,BW45,BZ45,CC45,CF45,CI45)</f>
        <v>0</v>
      </c>
      <c r="CM45" s="7">
        <f>SUM(BU45,BX45,CA45,CD45,CG45,CJ45)</f>
        <v>0</v>
      </c>
      <c r="CN45" s="7">
        <f>SUM(BV45,BY45,CB45,CE45,CH45,CK45)</f>
        <v>0</v>
      </c>
      <c r="CO45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5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5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5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6" spans="1:99" x14ac:dyDescent="0.25">
      <c r="A46" t="s">
        <v>114</v>
      </c>
      <c r="B46" s="2" t="s">
        <v>26</v>
      </c>
      <c r="C46" s="2" t="s">
        <v>115</v>
      </c>
      <c r="D46" t="s">
        <v>36</v>
      </c>
      <c r="E46" s="2">
        <f>SUM(COUNTIF(AA[[#This Row],[Bydgoszcz_all_around]],"Yes"),COUNTIF(AA[[#This Row],[Zabrze_all_around]],"Yes"),COUNTIF(AA[[#This Row],[Cracow_all_around]],"Yes"),COUNTIF(AA[[#This Row],[Gdansk_all_Around]],"Yes"))</f>
        <v>0</v>
      </c>
      <c r="F46" s="4">
        <v>0</v>
      </c>
      <c r="G46" s="7">
        <v>0</v>
      </c>
      <c r="H46" s="7">
        <v>0</v>
      </c>
      <c r="I46" s="4">
        <v>2.6</v>
      </c>
      <c r="J46" s="7">
        <v>4.9000000000000004</v>
      </c>
      <c r="K46" s="7">
        <v>7.5</v>
      </c>
      <c r="L46" s="4">
        <v>0</v>
      </c>
      <c r="M46" s="7">
        <v>0</v>
      </c>
      <c r="N46" s="7">
        <v>0</v>
      </c>
      <c r="O46" s="4">
        <v>2.4</v>
      </c>
      <c r="P46" s="7">
        <v>8.8000000000000007</v>
      </c>
      <c r="Q46" s="7">
        <v>11.2</v>
      </c>
      <c r="R46" s="4">
        <v>2.4</v>
      </c>
      <c r="S46" s="7">
        <v>8.1</v>
      </c>
      <c r="T46" s="7">
        <v>10.5</v>
      </c>
      <c r="U46" s="4">
        <v>1.8</v>
      </c>
      <c r="V46" s="7">
        <v>8</v>
      </c>
      <c r="W46" s="7">
        <v>9.8000000000000007</v>
      </c>
      <c r="X46" s="4">
        <f>SUM(F46,I46,L46,O46,R46,U46)</f>
        <v>9.2000000000000011</v>
      </c>
      <c r="Y46" s="7">
        <f>SUM(G46,J46,M46,P46,S46,V46)</f>
        <v>29.8</v>
      </c>
      <c r="Z46" s="7">
        <f>SUM(H46,K46,N46,Q46,T46,W46)</f>
        <v>39</v>
      </c>
      <c r="AA46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6" s="4">
        <v>0</v>
      </c>
      <c r="AC46" s="7">
        <v>0</v>
      </c>
      <c r="AD46" s="7">
        <v>0</v>
      </c>
      <c r="AE46" s="4">
        <v>0</v>
      </c>
      <c r="AF46" s="7">
        <v>0</v>
      </c>
      <c r="AG46" s="7">
        <v>0</v>
      </c>
      <c r="AH46" s="4">
        <v>0</v>
      </c>
      <c r="AI46" s="7">
        <v>0</v>
      </c>
      <c r="AJ46" s="7">
        <v>0</v>
      </c>
      <c r="AK46" s="4">
        <v>0</v>
      </c>
      <c r="AL46" s="7">
        <v>0</v>
      </c>
      <c r="AM46" s="7">
        <v>0</v>
      </c>
      <c r="AN46" s="4">
        <v>0</v>
      </c>
      <c r="AO46" s="7">
        <v>0</v>
      </c>
      <c r="AP46" s="7">
        <v>0</v>
      </c>
      <c r="AQ46" s="4">
        <v>0</v>
      </c>
      <c r="AR46" s="7">
        <v>0</v>
      </c>
      <c r="AS46" s="7">
        <v>0</v>
      </c>
      <c r="AT46" s="4">
        <f>SUM(AB46,AE46,AH46,AK46,AN46,AQ46)</f>
        <v>0</v>
      </c>
      <c r="AU46" s="7">
        <f>SUM(AC46,AF46,AI46,AL46,AO46,AR46)</f>
        <v>0</v>
      </c>
      <c r="AV46" s="7">
        <f>SUM(AD46,AG46,AJ46,AM46,AP46,AS46)</f>
        <v>0</v>
      </c>
      <c r="AW46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6" s="4">
        <v>0</v>
      </c>
      <c r="AY46" s="7">
        <v>0</v>
      </c>
      <c r="AZ46" s="7">
        <v>0</v>
      </c>
      <c r="BA46" s="4">
        <v>2.6</v>
      </c>
      <c r="BB46" s="7">
        <v>7.65</v>
      </c>
      <c r="BC46" s="7">
        <v>10.25</v>
      </c>
      <c r="BD46" s="4">
        <v>1.7</v>
      </c>
      <c r="BE46" s="7">
        <v>7.85</v>
      </c>
      <c r="BF46" s="7">
        <v>9.5500000000000007</v>
      </c>
      <c r="BG46" s="4">
        <v>1.6</v>
      </c>
      <c r="BH46" s="7">
        <v>8.8000000000000007</v>
      </c>
      <c r="BI46" s="7">
        <v>10.4</v>
      </c>
      <c r="BJ46" s="4">
        <v>2.4</v>
      </c>
      <c r="BK46" s="7">
        <v>8</v>
      </c>
      <c r="BL46" s="7">
        <v>10.4</v>
      </c>
      <c r="BM46" s="4">
        <v>1.8</v>
      </c>
      <c r="BN46" s="7">
        <v>8.8000000000000007</v>
      </c>
      <c r="BO46" s="7">
        <v>10.6</v>
      </c>
      <c r="BP46" s="4">
        <f>SUM(AX46,BA46,BD46,BG46,BJ46,BM46)</f>
        <v>10.100000000000001</v>
      </c>
      <c r="BQ46" s="7">
        <f>SUM(AY46,BB46,BE46,BH46,BK46,BN46)</f>
        <v>41.099999999999994</v>
      </c>
      <c r="BR46" s="7">
        <f>SUM(AZ46,BC46,BF46,BI46,BL46,BO46)</f>
        <v>51.2</v>
      </c>
      <c r="BS46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6" s="4">
        <v>3.4</v>
      </c>
      <c r="BU46" s="7">
        <v>7.1</v>
      </c>
      <c r="BV46" s="7">
        <v>10.5</v>
      </c>
      <c r="BW46" s="4">
        <v>2.6</v>
      </c>
      <c r="BX46" s="7">
        <v>6.5</v>
      </c>
      <c r="BY46" s="7">
        <v>9.1</v>
      </c>
      <c r="BZ46" s="4">
        <v>0</v>
      </c>
      <c r="CA46" s="7">
        <v>0</v>
      </c>
      <c r="CB46" s="7">
        <v>0</v>
      </c>
      <c r="CC46" s="4">
        <v>1.6</v>
      </c>
      <c r="CD46" s="7">
        <v>8.8000000000000007</v>
      </c>
      <c r="CE46" s="7">
        <v>10.4</v>
      </c>
      <c r="CF46" s="4">
        <v>2.4</v>
      </c>
      <c r="CG46" s="7">
        <v>8.8000000000000007</v>
      </c>
      <c r="CH46" s="7">
        <v>11.2</v>
      </c>
      <c r="CI46" s="4">
        <v>1.8</v>
      </c>
      <c r="CJ46" s="7">
        <v>7.8</v>
      </c>
      <c r="CK46" s="7">
        <v>9.6</v>
      </c>
      <c r="CL46" s="4">
        <f>SUM(BT46,BW46,BZ46,CC46,CF46,CI46)</f>
        <v>11.8</v>
      </c>
      <c r="CM46" s="7">
        <f>SUM(BU46,BX46,CA46,CD46,CG46,CJ46)</f>
        <v>39</v>
      </c>
      <c r="CN46" s="7">
        <f>SUM(BV46,BY46,CB46,CE46,CH46,CK46)</f>
        <v>50.800000000000004</v>
      </c>
      <c r="CO46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6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6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6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7" spans="1:99" x14ac:dyDescent="0.25">
      <c r="A47" t="s">
        <v>52</v>
      </c>
      <c r="B47" s="2" t="s">
        <v>26</v>
      </c>
      <c r="C47" s="2" t="s">
        <v>53</v>
      </c>
      <c r="D47" t="s">
        <v>36</v>
      </c>
      <c r="E47" s="2">
        <f>SUM(COUNTIF(AA[[#This Row],[Bydgoszcz_all_around]],"Yes"),COUNTIF(AA[[#This Row],[Zabrze_all_around]],"Yes"),COUNTIF(AA[[#This Row],[Cracow_all_around]],"Yes"),COUNTIF(AA[[#This Row],[Gdansk_all_Around]],"Yes"))</f>
        <v>0</v>
      </c>
      <c r="F47" s="4">
        <v>0</v>
      </c>
      <c r="G47" s="7">
        <v>0</v>
      </c>
      <c r="H47" s="7">
        <v>0</v>
      </c>
      <c r="I47" s="4">
        <v>2.1</v>
      </c>
      <c r="J47" s="7">
        <v>4.5</v>
      </c>
      <c r="K47" s="7">
        <v>6.6</v>
      </c>
      <c r="L47" s="4">
        <v>0</v>
      </c>
      <c r="M47" s="7">
        <v>0</v>
      </c>
      <c r="N47" s="7">
        <v>0</v>
      </c>
      <c r="O47" s="4">
        <v>2.4</v>
      </c>
      <c r="P47" s="7">
        <v>7.7</v>
      </c>
      <c r="Q47" s="7">
        <v>10.1</v>
      </c>
      <c r="R47" s="4">
        <v>3.1</v>
      </c>
      <c r="S47" s="7">
        <v>8.75</v>
      </c>
      <c r="T47" s="7">
        <v>11.85</v>
      </c>
      <c r="U47" s="4">
        <v>0</v>
      </c>
      <c r="V47" s="7">
        <v>0</v>
      </c>
      <c r="W47" s="7">
        <v>0</v>
      </c>
      <c r="X47" s="4">
        <f>SUM(F47,I47,L47,O47,R47,U47)</f>
        <v>7.6</v>
      </c>
      <c r="Y47" s="7">
        <f>SUM(G47,J47,M47,P47,S47,V47)</f>
        <v>20.95</v>
      </c>
      <c r="Z47" s="7">
        <f>SUM(H47,K47,N47,Q47,T47,W47)</f>
        <v>28.549999999999997</v>
      </c>
      <c r="AA47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7" s="4">
        <v>0</v>
      </c>
      <c r="AC47" s="7">
        <v>0</v>
      </c>
      <c r="AD47" s="7">
        <v>0</v>
      </c>
      <c r="AE47" s="4">
        <v>2.2000000000000002</v>
      </c>
      <c r="AF47" s="7">
        <v>6.5</v>
      </c>
      <c r="AG47" s="7">
        <v>8.6999999999999993</v>
      </c>
      <c r="AH47" s="4">
        <v>0</v>
      </c>
      <c r="AI47" s="7">
        <v>0</v>
      </c>
      <c r="AJ47" s="7">
        <v>0</v>
      </c>
      <c r="AK47" s="4">
        <v>0</v>
      </c>
      <c r="AL47" s="7">
        <v>0</v>
      </c>
      <c r="AM47" s="7">
        <v>0</v>
      </c>
      <c r="AN47" s="4">
        <v>3.1</v>
      </c>
      <c r="AO47" s="7">
        <v>8</v>
      </c>
      <c r="AP47" s="7">
        <v>11.1</v>
      </c>
      <c r="AQ47" s="4">
        <v>0</v>
      </c>
      <c r="AR47" s="7">
        <v>0</v>
      </c>
      <c r="AS47" s="7">
        <v>0</v>
      </c>
      <c r="AT47" s="4">
        <f>SUM(AB47,AE47,AH47,AK47,AN47,AQ47)</f>
        <v>5.3000000000000007</v>
      </c>
      <c r="AU47" s="7">
        <f>SUM(AC47,AF47,AI47,AL47,AO47,AR47)</f>
        <v>14.5</v>
      </c>
      <c r="AV47" s="7">
        <f>SUM(AD47,AG47,AJ47,AM47,AP47,AS47)</f>
        <v>19.799999999999997</v>
      </c>
      <c r="AW47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7" s="4">
        <v>0</v>
      </c>
      <c r="AY47" s="7">
        <v>0</v>
      </c>
      <c r="AZ47" s="7">
        <v>0</v>
      </c>
      <c r="BA47" s="4">
        <v>2.2000000000000002</v>
      </c>
      <c r="BB47" s="7">
        <v>6.2</v>
      </c>
      <c r="BC47" s="7">
        <v>8.4</v>
      </c>
      <c r="BD47" s="4">
        <v>0</v>
      </c>
      <c r="BE47" s="7">
        <v>0</v>
      </c>
      <c r="BF47" s="7">
        <v>0</v>
      </c>
      <c r="BG47" s="4">
        <v>1.6</v>
      </c>
      <c r="BH47" s="7">
        <v>9.4499999999999993</v>
      </c>
      <c r="BI47" s="7">
        <v>11.05</v>
      </c>
      <c r="BJ47" s="4">
        <v>2.4</v>
      </c>
      <c r="BK47" s="7">
        <v>9.1</v>
      </c>
      <c r="BL47" s="7">
        <v>11.5</v>
      </c>
      <c r="BM47" s="4">
        <v>0</v>
      </c>
      <c r="BN47" s="7">
        <v>0</v>
      </c>
      <c r="BO47" s="7">
        <v>0</v>
      </c>
      <c r="BP47" s="4">
        <f>SUM(AX47,BA47,BD47,BG47,BJ47,BM47)</f>
        <v>6.2</v>
      </c>
      <c r="BQ47" s="7">
        <f>SUM(AY47,BB47,BE47,BH47,BK47,BN47)</f>
        <v>24.75</v>
      </c>
      <c r="BR47" s="7">
        <f>SUM(AZ47,BC47,BF47,BI47,BL47,BO47)</f>
        <v>30.950000000000003</v>
      </c>
      <c r="BS47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7" s="4">
        <v>3.2</v>
      </c>
      <c r="BU47" s="7">
        <v>6.9</v>
      </c>
      <c r="BV47" s="7">
        <v>10.1</v>
      </c>
      <c r="BW47" s="4">
        <v>2</v>
      </c>
      <c r="BX47" s="7">
        <v>3.5</v>
      </c>
      <c r="BY47" s="7">
        <v>5.5</v>
      </c>
      <c r="BZ47" s="4">
        <v>0</v>
      </c>
      <c r="CA47" s="7">
        <v>0</v>
      </c>
      <c r="CB47" s="7">
        <v>0</v>
      </c>
      <c r="CC47" s="4">
        <v>2.4</v>
      </c>
      <c r="CD47" s="7">
        <v>8.1999999999999993</v>
      </c>
      <c r="CE47" s="7">
        <v>10.6</v>
      </c>
      <c r="CF47" s="4">
        <v>2.4</v>
      </c>
      <c r="CG47" s="7">
        <v>8.5</v>
      </c>
      <c r="CH47" s="7">
        <v>10.9</v>
      </c>
      <c r="CI47" s="4">
        <v>0</v>
      </c>
      <c r="CJ47" s="7">
        <v>0</v>
      </c>
      <c r="CK47" s="7">
        <v>0</v>
      </c>
      <c r="CL47" s="4">
        <f>SUM(BT47,BW47,BZ47,CC47,CF47,CI47)</f>
        <v>10</v>
      </c>
      <c r="CM47" s="7">
        <f>SUM(BU47,BX47,CA47,CD47,CG47,CJ47)</f>
        <v>27.1</v>
      </c>
      <c r="CN47" s="7">
        <f>SUM(BV47,BY47,CB47,CE47,CH47,CK47)</f>
        <v>37.1</v>
      </c>
      <c r="CO47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7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7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7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8" spans="1:99" x14ac:dyDescent="0.25">
      <c r="A48" t="s">
        <v>120</v>
      </c>
      <c r="B48" s="2" t="s">
        <v>26</v>
      </c>
      <c r="C48" s="2" t="s">
        <v>121</v>
      </c>
      <c r="D48" t="s">
        <v>39</v>
      </c>
      <c r="E48" s="2">
        <f>SUM(COUNTIF(AA[[#This Row],[Bydgoszcz_all_around]],"Yes"),COUNTIF(AA[[#This Row],[Zabrze_all_around]],"Yes"),COUNTIF(AA[[#This Row],[Cracow_all_around]],"Yes"),COUNTIF(AA[[#This Row],[Gdansk_all_Around]],"Yes"))</f>
        <v>0</v>
      </c>
      <c r="F48" s="4">
        <v>3</v>
      </c>
      <c r="G48" s="7">
        <v>8.3000000000000007</v>
      </c>
      <c r="H48" s="7">
        <v>11.3</v>
      </c>
      <c r="I48" s="4">
        <v>2.6</v>
      </c>
      <c r="J48" s="7">
        <v>4.4000000000000004</v>
      </c>
      <c r="K48" s="7">
        <v>7</v>
      </c>
      <c r="L48" s="4">
        <v>2.9</v>
      </c>
      <c r="M48" s="7">
        <v>6.7</v>
      </c>
      <c r="N48" s="7">
        <v>9.6</v>
      </c>
      <c r="O48" s="4">
        <v>3.2</v>
      </c>
      <c r="P48" s="7">
        <v>9</v>
      </c>
      <c r="Q48" s="7">
        <v>12.2</v>
      </c>
      <c r="R48" s="4">
        <v>3.1</v>
      </c>
      <c r="S48" s="7">
        <v>7.45</v>
      </c>
      <c r="T48" s="7">
        <v>10.55</v>
      </c>
      <c r="U48" s="4">
        <v>0</v>
      </c>
      <c r="V48" s="7">
        <v>0</v>
      </c>
      <c r="W48" s="7">
        <v>0</v>
      </c>
      <c r="X48" s="4">
        <f>SUM(F48,I48,L48,O48,R48,U48)</f>
        <v>14.799999999999999</v>
      </c>
      <c r="Y48" s="7">
        <f>SUM(G48,J48,M48,P48,S48,V48)</f>
        <v>35.85</v>
      </c>
      <c r="Z48" s="7">
        <f>SUM(H48,K48,N48,Q48,T48,W48)</f>
        <v>50.649999999999991</v>
      </c>
      <c r="AA48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8" s="4">
        <v>0</v>
      </c>
      <c r="AC48" s="7">
        <v>0</v>
      </c>
      <c r="AD48" s="7">
        <v>0</v>
      </c>
      <c r="AE48" s="4">
        <v>0</v>
      </c>
      <c r="AF48" s="7">
        <v>0</v>
      </c>
      <c r="AG48" s="7">
        <v>0</v>
      </c>
      <c r="AH48" s="4">
        <v>0</v>
      </c>
      <c r="AI48" s="7">
        <v>0</v>
      </c>
      <c r="AJ48" s="7">
        <v>0</v>
      </c>
      <c r="AK48" s="4">
        <v>0</v>
      </c>
      <c r="AL48" s="7">
        <v>0</v>
      </c>
      <c r="AM48" s="7">
        <v>0</v>
      </c>
      <c r="AN48" s="4">
        <v>0</v>
      </c>
      <c r="AO48" s="7">
        <v>0</v>
      </c>
      <c r="AP48" s="7">
        <v>0</v>
      </c>
      <c r="AQ48" s="4">
        <v>0</v>
      </c>
      <c r="AR48" s="7">
        <v>0</v>
      </c>
      <c r="AS48" s="7">
        <v>0</v>
      </c>
      <c r="AT48" s="4">
        <f>SUM(AB48,AE48,AH48,AK48,AN48,AQ48)</f>
        <v>0</v>
      </c>
      <c r="AU48" s="7">
        <f>SUM(AC48,AF48,AI48,AL48,AO48,AR48)</f>
        <v>0</v>
      </c>
      <c r="AV48" s="7">
        <f>SUM(AD48,AG48,AJ48,AM48,AP48,AS48)</f>
        <v>0</v>
      </c>
      <c r="AW48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8" s="4">
        <v>2.6</v>
      </c>
      <c r="AY48" s="7">
        <v>7.8</v>
      </c>
      <c r="AZ48" s="7">
        <v>10.4</v>
      </c>
      <c r="BA48" s="4">
        <v>2.4</v>
      </c>
      <c r="BB48" s="7">
        <v>5.7</v>
      </c>
      <c r="BC48" s="7">
        <v>8.1</v>
      </c>
      <c r="BD48" s="4">
        <v>1.8</v>
      </c>
      <c r="BE48" s="7">
        <v>6.8</v>
      </c>
      <c r="BF48" s="7">
        <v>8.6</v>
      </c>
      <c r="BG48" s="4">
        <v>2.4</v>
      </c>
      <c r="BH48" s="7">
        <v>7.8</v>
      </c>
      <c r="BI48" s="7">
        <v>10.199999999999999</v>
      </c>
      <c r="BJ48" s="4">
        <v>2.2999999999999998</v>
      </c>
      <c r="BK48" s="7">
        <v>7.45</v>
      </c>
      <c r="BL48" s="7">
        <v>9.75</v>
      </c>
      <c r="BM48" s="4">
        <v>0</v>
      </c>
      <c r="BN48" s="7">
        <v>0</v>
      </c>
      <c r="BO48" s="7">
        <v>0</v>
      </c>
      <c r="BP48" s="4">
        <f>SUM(AX48,BA48,BD48,BG48,BJ48,BM48)</f>
        <v>11.5</v>
      </c>
      <c r="BQ48" s="7">
        <f>SUM(AY48,BB48,BE48,BH48,BK48,BN48)</f>
        <v>35.550000000000004</v>
      </c>
      <c r="BR48" s="7">
        <f>SUM(AZ48,BC48,BF48,BI48,BL48,BO48)</f>
        <v>47.05</v>
      </c>
      <c r="BS48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8" s="4">
        <v>0</v>
      </c>
      <c r="BU48" s="7">
        <v>0</v>
      </c>
      <c r="BV48" s="7">
        <v>0</v>
      </c>
      <c r="BW48" s="4">
        <v>0</v>
      </c>
      <c r="BX48" s="7">
        <v>0</v>
      </c>
      <c r="BY48" s="7">
        <v>0</v>
      </c>
      <c r="BZ48" s="4">
        <v>0</v>
      </c>
      <c r="CA48" s="7">
        <v>0</v>
      </c>
      <c r="CB48" s="7">
        <v>0</v>
      </c>
      <c r="CC48" s="4">
        <v>0</v>
      </c>
      <c r="CD48" s="7">
        <v>0</v>
      </c>
      <c r="CE48" s="7">
        <v>0</v>
      </c>
      <c r="CF48" s="4">
        <v>0</v>
      </c>
      <c r="CG48" s="7">
        <v>0</v>
      </c>
      <c r="CH48" s="7">
        <v>0</v>
      </c>
      <c r="CI48" s="4">
        <v>0</v>
      </c>
      <c r="CJ48" s="7">
        <v>0</v>
      </c>
      <c r="CK48" s="7">
        <v>0</v>
      </c>
      <c r="CL48" s="4">
        <f>SUM(BT48,BW48,BZ48,CC48,CF48,CI48)</f>
        <v>0</v>
      </c>
      <c r="CM48" s="7">
        <f>SUM(BU48,BX48,CA48,CD48,CG48,CJ48)</f>
        <v>0</v>
      </c>
      <c r="CN48" s="7">
        <f>SUM(BV48,BY48,CB48,CE48,CH48,CK48)</f>
        <v>0</v>
      </c>
      <c r="CO48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8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8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8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49" spans="1:99" x14ac:dyDescent="0.25">
      <c r="A49" t="s">
        <v>50</v>
      </c>
      <c r="B49" s="2" t="s">
        <v>26</v>
      </c>
      <c r="C49" s="2" t="s">
        <v>51</v>
      </c>
      <c r="D49" t="s">
        <v>36</v>
      </c>
      <c r="E49" s="2">
        <f>SUM(COUNTIF(AA[[#This Row],[Bydgoszcz_all_around]],"Yes"),COUNTIF(AA[[#This Row],[Zabrze_all_around]],"Yes"),COUNTIF(AA[[#This Row],[Cracow_all_around]],"Yes"),COUNTIF(AA[[#This Row],[Gdansk_all_Around]],"Yes"))</f>
        <v>0</v>
      </c>
      <c r="F49" s="4">
        <v>0</v>
      </c>
      <c r="G49" s="7">
        <v>0</v>
      </c>
      <c r="H49" s="7">
        <v>0</v>
      </c>
      <c r="I49" s="4">
        <v>0</v>
      </c>
      <c r="J49" s="7">
        <v>0</v>
      </c>
      <c r="K49" s="7">
        <v>0</v>
      </c>
      <c r="L49" s="4">
        <v>0</v>
      </c>
      <c r="M49" s="7">
        <v>0</v>
      </c>
      <c r="N49" s="7">
        <v>0</v>
      </c>
      <c r="O49" s="4">
        <v>0</v>
      </c>
      <c r="P49" s="7">
        <v>0</v>
      </c>
      <c r="Q49" s="7">
        <v>0</v>
      </c>
      <c r="R49" s="4">
        <v>0</v>
      </c>
      <c r="S49" s="7">
        <v>0</v>
      </c>
      <c r="T49" s="7">
        <v>0</v>
      </c>
      <c r="U49" s="4">
        <v>0</v>
      </c>
      <c r="V49" s="7">
        <v>0</v>
      </c>
      <c r="W49" s="7">
        <v>0</v>
      </c>
      <c r="X49" s="4">
        <f>SUM(F49,I49,L49,O49,R49,U49)</f>
        <v>0</v>
      </c>
      <c r="Y49" s="7">
        <f>SUM(G49,J49,M49,P49,S49,V49)</f>
        <v>0</v>
      </c>
      <c r="Z49" s="7">
        <f>SUM(H49,K49,N49,Q49,T49,W49)</f>
        <v>0</v>
      </c>
      <c r="AA49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49" s="4">
        <v>3.7</v>
      </c>
      <c r="AC49" s="7">
        <v>8.3000000000000007</v>
      </c>
      <c r="AD49" s="7">
        <v>12</v>
      </c>
      <c r="AE49" s="4">
        <v>0</v>
      </c>
      <c r="AF49" s="7">
        <v>0</v>
      </c>
      <c r="AG49" s="7">
        <v>0</v>
      </c>
      <c r="AH49" s="4">
        <v>3.7</v>
      </c>
      <c r="AI49" s="7">
        <v>8.1</v>
      </c>
      <c r="AJ49" s="7">
        <v>11.8</v>
      </c>
      <c r="AK49" s="4">
        <v>0</v>
      </c>
      <c r="AL49" s="7">
        <v>0</v>
      </c>
      <c r="AM49" s="7">
        <v>0</v>
      </c>
      <c r="AN49" s="4">
        <v>0</v>
      </c>
      <c r="AO49" s="7">
        <v>0</v>
      </c>
      <c r="AP49" s="7">
        <v>0</v>
      </c>
      <c r="AQ49" s="4">
        <v>2.7</v>
      </c>
      <c r="AR49" s="7">
        <v>8</v>
      </c>
      <c r="AS49" s="7">
        <v>10.7</v>
      </c>
      <c r="AT49" s="4">
        <f>SUM(AB49,AE49,AH49,AK49,AN49,AQ49)</f>
        <v>10.100000000000001</v>
      </c>
      <c r="AU49" s="7">
        <f>SUM(AC49,AF49,AI49,AL49,AO49,AR49)</f>
        <v>24.4</v>
      </c>
      <c r="AV49" s="7">
        <f>SUM(AD49,AG49,AJ49,AM49,AP49,AS49)</f>
        <v>34.5</v>
      </c>
      <c r="AW49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49" s="4">
        <v>3.9</v>
      </c>
      <c r="AY49" s="7">
        <v>7.35</v>
      </c>
      <c r="AZ49" s="7">
        <v>11.25</v>
      </c>
      <c r="BA49" s="4">
        <v>0</v>
      </c>
      <c r="BB49" s="7">
        <v>0</v>
      </c>
      <c r="BC49" s="7">
        <v>0</v>
      </c>
      <c r="BD49" s="4">
        <v>3.7</v>
      </c>
      <c r="BE49" s="7">
        <v>7.8</v>
      </c>
      <c r="BF49" s="7">
        <v>11.5</v>
      </c>
      <c r="BG49" s="4">
        <v>0</v>
      </c>
      <c r="BH49" s="7">
        <v>0</v>
      </c>
      <c r="BI49" s="7">
        <v>0</v>
      </c>
      <c r="BJ49" s="4">
        <v>0</v>
      </c>
      <c r="BK49" s="7">
        <v>0</v>
      </c>
      <c r="BL49" s="7">
        <v>0</v>
      </c>
      <c r="BM49" s="4">
        <v>2.7</v>
      </c>
      <c r="BN49" s="7">
        <v>9.1</v>
      </c>
      <c r="BO49" s="7">
        <v>11.8</v>
      </c>
      <c r="BP49" s="4">
        <f>SUM(AX49,BA49,BD49,BG49,BJ49,BM49)</f>
        <v>10.3</v>
      </c>
      <c r="BQ49" s="7">
        <f>SUM(AY49,BB49,BE49,BH49,BK49,BN49)</f>
        <v>24.25</v>
      </c>
      <c r="BR49" s="7">
        <f>SUM(AZ49,BC49,BF49,BI49,BL49,BO49)</f>
        <v>34.549999999999997</v>
      </c>
      <c r="BS49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49" s="4">
        <v>0</v>
      </c>
      <c r="BU49" s="7">
        <v>0</v>
      </c>
      <c r="BV49" s="7">
        <v>0</v>
      </c>
      <c r="BW49" s="4">
        <v>0</v>
      </c>
      <c r="BX49" s="7">
        <v>0</v>
      </c>
      <c r="BY49" s="7">
        <v>0</v>
      </c>
      <c r="BZ49" s="4">
        <v>0</v>
      </c>
      <c r="CA49" s="7">
        <v>0</v>
      </c>
      <c r="CB49" s="7">
        <v>0</v>
      </c>
      <c r="CC49" s="4">
        <v>0</v>
      </c>
      <c r="CD49" s="7">
        <v>0</v>
      </c>
      <c r="CE49" s="7">
        <v>0</v>
      </c>
      <c r="CF49" s="4">
        <v>0</v>
      </c>
      <c r="CG49" s="7">
        <v>0</v>
      </c>
      <c r="CH49" s="7">
        <v>0</v>
      </c>
      <c r="CI49" s="4">
        <v>0</v>
      </c>
      <c r="CJ49" s="7">
        <v>0</v>
      </c>
      <c r="CK49" s="7">
        <v>0</v>
      </c>
      <c r="CL49" s="4">
        <f>SUM(BT49,BW49,BZ49,CC49,CF49,CI49)</f>
        <v>0</v>
      </c>
      <c r="CM49" s="7">
        <f>SUM(BU49,BX49,CA49,CD49,CG49,CJ49)</f>
        <v>0</v>
      </c>
      <c r="CN49" s="7">
        <f>SUM(BV49,BY49,CB49,CE49,CH49,CK49)</f>
        <v>0</v>
      </c>
      <c r="CO49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4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4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4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49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49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49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50" spans="1:99" x14ac:dyDescent="0.25">
      <c r="A50" t="s">
        <v>139</v>
      </c>
      <c r="B50" s="2" t="s">
        <v>26</v>
      </c>
      <c r="C50" s="2" t="s">
        <v>140</v>
      </c>
      <c r="D50" t="s">
        <v>124</v>
      </c>
      <c r="E50" s="2">
        <f>SUM(COUNTIF(AA[[#This Row],[Bydgoszcz_all_around]],"Yes"),COUNTIF(AA[[#This Row],[Zabrze_all_around]],"Yes"),COUNTIF(AA[[#This Row],[Cracow_all_around]],"Yes"),COUNTIF(AA[[#This Row],[Gdansk_all_Around]],"Yes"))</f>
        <v>0</v>
      </c>
      <c r="F50" s="4">
        <v>3</v>
      </c>
      <c r="G50" s="7">
        <v>8.1999999999999993</v>
      </c>
      <c r="H50" s="7">
        <v>11.2</v>
      </c>
      <c r="I50" s="4">
        <v>1.5</v>
      </c>
      <c r="J50" s="7">
        <v>0</v>
      </c>
      <c r="K50" s="7">
        <v>1.5</v>
      </c>
      <c r="L50" s="4">
        <v>2.1</v>
      </c>
      <c r="M50" s="7">
        <v>6.5</v>
      </c>
      <c r="N50" s="7">
        <v>8.6</v>
      </c>
      <c r="O50" s="4">
        <v>0</v>
      </c>
      <c r="P50" s="7">
        <v>0</v>
      </c>
      <c r="Q50" s="7">
        <v>0</v>
      </c>
      <c r="R50" s="4">
        <v>2</v>
      </c>
      <c r="S50" s="7">
        <v>3.45</v>
      </c>
      <c r="T50" s="7">
        <v>5.45</v>
      </c>
      <c r="U50" s="4">
        <v>1</v>
      </c>
      <c r="V50" s="7">
        <v>3.1</v>
      </c>
      <c r="W50" s="7">
        <v>4.0999999999999996</v>
      </c>
      <c r="X50" s="4">
        <f>SUM(F50,I50,L50,O50,R50,U50)</f>
        <v>9.6</v>
      </c>
      <c r="Y50" s="7">
        <f>SUM(G50,J50,M50,P50,S50,V50)</f>
        <v>21.25</v>
      </c>
      <c r="Z50" s="7">
        <f>SUM(H50,K50,N50,Q50,T50,W50)</f>
        <v>30.849999999999994</v>
      </c>
      <c r="AA50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50" s="4">
        <v>0</v>
      </c>
      <c r="AC50" s="7">
        <v>0</v>
      </c>
      <c r="AD50" s="7">
        <v>0</v>
      </c>
      <c r="AE50" s="4">
        <v>0</v>
      </c>
      <c r="AF50" s="7">
        <v>0</v>
      </c>
      <c r="AG50" s="7">
        <v>0</v>
      </c>
      <c r="AH50" s="4">
        <v>0</v>
      </c>
      <c r="AI50" s="7">
        <v>0</v>
      </c>
      <c r="AJ50" s="7">
        <v>0</v>
      </c>
      <c r="AK50" s="4">
        <v>0</v>
      </c>
      <c r="AL50" s="7">
        <v>0</v>
      </c>
      <c r="AM50" s="7">
        <v>0</v>
      </c>
      <c r="AN50" s="4">
        <v>0</v>
      </c>
      <c r="AO50" s="7">
        <v>0</v>
      </c>
      <c r="AP50" s="7">
        <v>0</v>
      </c>
      <c r="AQ50" s="4">
        <v>0</v>
      </c>
      <c r="AR50" s="7">
        <v>0</v>
      </c>
      <c r="AS50" s="7">
        <v>0</v>
      </c>
      <c r="AT50" s="4">
        <f>SUM(AB50,AE50,AH50,AK50,AN50,AQ50)</f>
        <v>0</v>
      </c>
      <c r="AU50" s="7">
        <f>SUM(AC50,AF50,AI50,AL50,AO50,AR50)</f>
        <v>0</v>
      </c>
      <c r="AV50" s="7">
        <f>SUM(AD50,AG50,AJ50,AM50,AP50,AS50)</f>
        <v>0</v>
      </c>
      <c r="AW50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50" s="4">
        <v>0</v>
      </c>
      <c r="AY50" s="7">
        <v>0</v>
      </c>
      <c r="AZ50" s="7">
        <v>0</v>
      </c>
      <c r="BA50" s="4">
        <v>0</v>
      </c>
      <c r="BB50" s="7">
        <v>0</v>
      </c>
      <c r="BC50" s="7">
        <v>0</v>
      </c>
      <c r="BD50" s="4">
        <v>0</v>
      </c>
      <c r="BE50" s="7">
        <v>0</v>
      </c>
      <c r="BF50" s="7">
        <v>0</v>
      </c>
      <c r="BG50" s="4">
        <v>0</v>
      </c>
      <c r="BH50" s="7">
        <v>0</v>
      </c>
      <c r="BI50" s="7">
        <v>0</v>
      </c>
      <c r="BJ50" s="4">
        <v>0</v>
      </c>
      <c r="BK50" s="7">
        <v>0</v>
      </c>
      <c r="BL50" s="7">
        <v>0</v>
      </c>
      <c r="BM50" s="4">
        <v>0</v>
      </c>
      <c r="BN50" s="7">
        <v>0</v>
      </c>
      <c r="BO50" s="7">
        <v>0</v>
      </c>
      <c r="BP50" s="4">
        <f>SUM(AX50,BA50,BD50,BG50,BJ50,BM50)</f>
        <v>0</v>
      </c>
      <c r="BQ50" s="7">
        <f>SUM(AY50,BB50,BE50,BH50,BK50,BN50)</f>
        <v>0</v>
      </c>
      <c r="BR50" s="7">
        <f>SUM(AZ50,BC50,BF50,BI50,BL50,BO50)</f>
        <v>0</v>
      </c>
      <c r="BS50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50" s="4">
        <v>0</v>
      </c>
      <c r="BU50" s="7">
        <v>0</v>
      </c>
      <c r="BV50" s="7">
        <v>0</v>
      </c>
      <c r="BW50" s="4">
        <v>0</v>
      </c>
      <c r="BX50" s="7">
        <v>0</v>
      </c>
      <c r="BY50" s="7">
        <v>0</v>
      </c>
      <c r="BZ50" s="4">
        <v>0</v>
      </c>
      <c r="CA50" s="7">
        <v>0</v>
      </c>
      <c r="CB50" s="7">
        <v>0</v>
      </c>
      <c r="CC50" s="4">
        <v>0</v>
      </c>
      <c r="CD50" s="7">
        <v>0</v>
      </c>
      <c r="CE50" s="7">
        <v>0</v>
      </c>
      <c r="CF50" s="4">
        <v>0</v>
      </c>
      <c r="CG50" s="7">
        <v>0</v>
      </c>
      <c r="CH50" s="7">
        <v>0</v>
      </c>
      <c r="CI50" s="4">
        <v>0</v>
      </c>
      <c r="CJ50" s="7">
        <v>0</v>
      </c>
      <c r="CK50" s="7">
        <v>0</v>
      </c>
      <c r="CL50" s="4">
        <f>SUM(BT50,BW50,BZ50,CC50,CF50,CI50)</f>
        <v>0</v>
      </c>
      <c r="CM50" s="7">
        <f>SUM(BU50,BX50,CA50,CD50,CG50,CJ50)</f>
        <v>0</v>
      </c>
      <c r="CN50" s="7">
        <f>SUM(BV50,BY50,CB50,CE50,CH50,CK50)</f>
        <v>0</v>
      </c>
      <c r="CO50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5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5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5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50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50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50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51" spans="1:99" x14ac:dyDescent="0.25">
      <c r="A51" t="s">
        <v>122</v>
      </c>
      <c r="B51" s="2" t="s">
        <v>26</v>
      </c>
      <c r="C51" s="2" t="s">
        <v>123</v>
      </c>
      <c r="D51" t="s">
        <v>124</v>
      </c>
      <c r="E51" s="2">
        <f>SUM(COUNTIF(AA[[#This Row],[Bydgoszcz_all_around]],"Yes"),COUNTIF(AA[[#This Row],[Zabrze_all_around]],"Yes"),COUNTIF(AA[[#This Row],[Cracow_all_around]],"Yes"),COUNTIF(AA[[#This Row],[Gdansk_all_Around]],"Yes"))</f>
        <v>0</v>
      </c>
      <c r="F51" s="4">
        <v>0</v>
      </c>
      <c r="G51" s="7">
        <v>0</v>
      </c>
      <c r="H51" s="7">
        <v>0</v>
      </c>
      <c r="I51" s="4">
        <v>0</v>
      </c>
      <c r="J51" s="7">
        <v>0</v>
      </c>
      <c r="K51" s="7">
        <v>0</v>
      </c>
      <c r="L51" s="4">
        <v>0</v>
      </c>
      <c r="M51" s="7">
        <v>0</v>
      </c>
      <c r="N51" s="7">
        <v>0</v>
      </c>
      <c r="O51" s="4">
        <v>0</v>
      </c>
      <c r="P51" s="7">
        <v>0</v>
      </c>
      <c r="Q51" s="7">
        <v>0</v>
      </c>
      <c r="R51" s="4">
        <v>0</v>
      </c>
      <c r="S51" s="7">
        <v>0</v>
      </c>
      <c r="T51" s="7">
        <v>0</v>
      </c>
      <c r="U51" s="4">
        <v>0</v>
      </c>
      <c r="V51" s="7">
        <v>0</v>
      </c>
      <c r="W51" s="7">
        <v>0</v>
      </c>
      <c r="X51" s="4">
        <f>SUM(F51,I51,L51,O51,R51,U51)</f>
        <v>0</v>
      </c>
      <c r="Y51" s="7">
        <f>SUM(G51,J51,M51,P51,S51,V51)</f>
        <v>0</v>
      </c>
      <c r="Z51" s="7">
        <f>SUM(H51,K51,N51,Q51,T51,W51)</f>
        <v>0</v>
      </c>
      <c r="AA51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51" s="4">
        <v>0</v>
      </c>
      <c r="AC51" s="7">
        <v>0</v>
      </c>
      <c r="AD51" s="7">
        <v>0</v>
      </c>
      <c r="AE51" s="4">
        <v>0</v>
      </c>
      <c r="AF51" s="7">
        <v>0</v>
      </c>
      <c r="AG51" s="7">
        <v>0</v>
      </c>
      <c r="AH51" s="4">
        <v>0</v>
      </c>
      <c r="AI51" s="7">
        <v>0</v>
      </c>
      <c r="AJ51" s="7">
        <v>0</v>
      </c>
      <c r="AK51" s="4">
        <v>0</v>
      </c>
      <c r="AL51" s="7">
        <v>0</v>
      </c>
      <c r="AM51" s="7">
        <v>0</v>
      </c>
      <c r="AN51" s="4">
        <v>0</v>
      </c>
      <c r="AO51" s="7">
        <v>0</v>
      </c>
      <c r="AP51" s="7">
        <v>0</v>
      </c>
      <c r="AQ51" s="4">
        <v>0</v>
      </c>
      <c r="AR51" s="7">
        <v>0</v>
      </c>
      <c r="AS51" s="7">
        <v>0</v>
      </c>
      <c r="AT51" s="4">
        <f>SUM(AB51,AE51,AH51,AK51,AN51,AQ51)</f>
        <v>0</v>
      </c>
      <c r="AU51" s="7">
        <f>SUM(AC51,AF51,AI51,AL51,AO51,AR51)</f>
        <v>0</v>
      </c>
      <c r="AV51" s="7">
        <f>SUM(AD51,AG51,AJ51,AM51,AP51,AS51)</f>
        <v>0</v>
      </c>
      <c r="AW51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51" s="4">
        <v>3.1</v>
      </c>
      <c r="AY51" s="7">
        <v>7.55</v>
      </c>
      <c r="AZ51" s="7">
        <v>10.65</v>
      </c>
      <c r="BA51" s="4">
        <v>0</v>
      </c>
      <c r="BB51" s="7">
        <v>0</v>
      </c>
      <c r="BC51" s="7">
        <v>0</v>
      </c>
      <c r="BD51" s="4">
        <v>2</v>
      </c>
      <c r="BE51" s="7">
        <v>7.35</v>
      </c>
      <c r="BF51" s="7">
        <v>9.35</v>
      </c>
      <c r="BG51" s="4">
        <v>2.2000000000000002</v>
      </c>
      <c r="BH51" s="7">
        <v>8.8000000000000007</v>
      </c>
      <c r="BI51" s="7">
        <v>11</v>
      </c>
      <c r="BJ51" s="4">
        <v>0</v>
      </c>
      <c r="BK51" s="7">
        <v>0</v>
      </c>
      <c r="BL51" s="7">
        <v>0</v>
      </c>
      <c r="BM51" s="4">
        <v>2</v>
      </c>
      <c r="BN51" s="7">
        <v>6.6</v>
      </c>
      <c r="BO51" s="7">
        <v>8.6</v>
      </c>
      <c r="BP51" s="4">
        <f>SUM(AX51,BA51,BD51,BG51,BJ51,BM51)</f>
        <v>9.3000000000000007</v>
      </c>
      <c r="BQ51" s="7">
        <f>SUM(AY51,BB51,BE51,BH51,BK51,BN51)</f>
        <v>30.299999999999997</v>
      </c>
      <c r="BR51" s="7">
        <f>SUM(AZ51,BC51,BF51,BI51,BL51,BO51)</f>
        <v>39.6</v>
      </c>
      <c r="BS51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51" s="4">
        <v>0</v>
      </c>
      <c r="BU51" s="7">
        <v>0</v>
      </c>
      <c r="BV51" s="7">
        <v>0</v>
      </c>
      <c r="BW51" s="4">
        <v>0</v>
      </c>
      <c r="BX51" s="7">
        <v>0</v>
      </c>
      <c r="BY51" s="7">
        <v>0</v>
      </c>
      <c r="BZ51" s="4">
        <v>0</v>
      </c>
      <c r="CA51" s="7">
        <v>0</v>
      </c>
      <c r="CB51" s="7">
        <v>0</v>
      </c>
      <c r="CC51" s="4">
        <v>0</v>
      </c>
      <c r="CD51" s="7">
        <v>0</v>
      </c>
      <c r="CE51" s="7">
        <v>0</v>
      </c>
      <c r="CF51" s="4">
        <v>0</v>
      </c>
      <c r="CG51" s="7">
        <v>0</v>
      </c>
      <c r="CH51" s="7">
        <v>0</v>
      </c>
      <c r="CI51" s="4">
        <v>0</v>
      </c>
      <c r="CJ51" s="7">
        <v>0</v>
      </c>
      <c r="CK51" s="7">
        <v>0</v>
      </c>
      <c r="CL51" s="4">
        <f>SUM(BT51,BW51,BZ51,CC51,CF51,CI51)</f>
        <v>0</v>
      </c>
      <c r="CM51" s="7">
        <f>SUM(BU51,BX51,CA51,CD51,CG51,CJ51)</f>
        <v>0</v>
      </c>
      <c r="CN51" s="7">
        <f>SUM(BV51,BY51,CB51,CE51,CH51,CK51)</f>
        <v>0</v>
      </c>
      <c r="CO51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5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5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5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51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51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51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52" spans="1:99" x14ac:dyDescent="0.25">
      <c r="A52" t="s">
        <v>125</v>
      </c>
      <c r="B52" s="2" t="s">
        <v>26</v>
      </c>
      <c r="C52" s="2" t="s">
        <v>126</v>
      </c>
      <c r="D52" t="s">
        <v>67</v>
      </c>
      <c r="E52" s="2">
        <f>SUM(COUNTIF(AA[[#This Row],[Bydgoszcz_all_around]],"Yes"),COUNTIF(AA[[#This Row],[Zabrze_all_around]],"Yes"),COUNTIF(AA[[#This Row],[Cracow_all_around]],"Yes"),COUNTIF(AA[[#This Row],[Gdansk_all_Around]],"Yes"))</f>
        <v>0</v>
      </c>
      <c r="F52" s="4">
        <v>0</v>
      </c>
      <c r="G52" s="7">
        <v>0</v>
      </c>
      <c r="H52" s="7">
        <v>0</v>
      </c>
      <c r="I52" s="4">
        <v>0</v>
      </c>
      <c r="J52" s="7">
        <v>0</v>
      </c>
      <c r="K52" s="7">
        <v>0</v>
      </c>
      <c r="L52" s="4">
        <v>0</v>
      </c>
      <c r="M52" s="7">
        <v>0</v>
      </c>
      <c r="N52" s="7">
        <v>0</v>
      </c>
      <c r="O52" s="4">
        <v>0</v>
      </c>
      <c r="P52" s="7">
        <v>0</v>
      </c>
      <c r="Q52" s="7">
        <v>0</v>
      </c>
      <c r="R52" s="4">
        <v>0</v>
      </c>
      <c r="S52" s="7">
        <v>0</v>
      </c>
      <c r="T52" s="7">
        <v>0</v>
      </c>
      <c r="U52" s="4">
        <v>0</v>
      </c>
      <c r="V52" s="7">
        <v>0</v>
      </c>
      <c r="W52" s="7">
        <v>0</v>
      </c>
      <c r="X52" s="4">
        <f>SUM(F52,I52,L52,O52,R52,U52)</f>
        <v>0</v>
      </c>
      <c r="Y52" s="7">
        <f>SUM(G52,J52,M52,P52,S52,V52)</f>
        <v>0</v>
      </c>
      <c r="Z52" s="7">
        <f>SUM(H52,K52,N52,Q52,T52,W52)</f>
        <v>0</v>
      </c>
      <c r="AA52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52" s="4">
        <v>0</v>
      </c>
      <c r="AC52" s="7">
        <v>0</v>
      </c>
      <c r="AD52" s="7">
        <v>0</v>
      </c>
      <c r="AE52" s="4">
        <v>0</v>
      </c>
      <c r="AF52" s="7">
        <v>0</v>
      </c>
      <c r="AG52" s="7">
        <v>0</v>
      </c>
      <c r="AH52" s="4">
        <v>0</v>
      </c>
      <c r="AI52" s="7">
        <v>0</v>
      </c>
      <c r="AJ52" s="7">
        <v>0</v>
      </c>
      <c r="AK52" s="4">
        <v>0</v>
      </c>
      <c r="AL52" s="7">
        <v>0</v>
      </c>
      <c r="AM52" s="7">
        <v>0</v>
      </c>
      <c r="AN52" s="4">
        <v>0</v>
      </c>
      <c r="AO52" s="7">
        <v>0</v>
      </c>
      <c r="AP52" s="7">
        <v>0</v>
      </c>
      <c r="AQ52" s="4">
        <v>0</v>
      </c>
      <c r="AR52" s="7">
        <v>0</v>
      </c>
      <c r="AS52" s="7">
        <v>0</v>
      </c>
      <c r="AT52" s="4">
        <f>SUM(AB52,AE52,AH52,AK52,AN52,AQ52)</f>
        <v>0</v>
      </c>
      <c r="AU52" s="7">
        <f>SUM(AC52,AF52,AI52,AL52,AO52,AR52)</f>
        <v>0</v>
      </c>
      <c r="AV52" s="7">
        <f>SUM(AD52,AG52,AJ52,AM52,AP52,AS52)</f>
        <v>0</v>
      </c>
      <c r="AW52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52" s="4">
        <v>3.5</v>
      </c>
      <c r="AY52" s="7">
        <v>7.85</v>
      </c>
      <c r="AZ52" s="7">
        <v>11.35</v>
      </c>
      <c r="BA52" s="4">
        <v>0</v>
      </c>
      <c r="BB52" s="7">
        <v>0</v>
      </c>
      <c r="BC52" s="7">
        <v>0</v>
      </c>
      <c r="BD52" s="4">
        <v>0</v>
      </c>
      <c r="BE52" s="7">
        <v>0</v>
      </c>
      <c r="BF52" s="7">
        <v>0</v>
      </c>
      <c r="BG52" s="4">
        <v>3.2</v>
      </c>
      <c r="BH52" s="7">
        <v>8.1999999999999993</v>
      </c>
      <c r="BI52" s="7">
        <v>11.4</v>
      </c>
      <c r="BJ52" s="4">
        <v>0</v>
      </c>
      <c r="BK52" s="7">
        <v>0</v>
      </c>
      <c r="BL52" s="7">
        <v>0</v>
      </c>
      <c r="BM52" s="4">
        <v>0</v>
      </c>
      <c r="BN52" s="7">
        <v>0</v>
      </c>
      <c r="BO52" s="7">
        <v>0</v>
      </c>
      <c r="BP52" s="4">
        <f>SUM(AX52,BA52,BD52,BG52,BJ52,BM52)</f>
        <v>6.7</v>
      </c>
      <c r="BQ52" s="7">
        <f>SUM(AY52,BB52,BE52,BH52,BK52,BN52)</f>
        <v>16.049999999999997</v>
      </c>
      <c r="BR52" s="7">
        <f>SUM(AZ52,BC52,BF52,BI52,BL52,BO52)</f>
        <v>22.75</v>
      </c>
      <c r="BS52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52" s="4">
        <v>0</v>
      </c>
      <c r="BU52" s="7">
        <v>0</v>
      </c>
      <c r="BV52" s="7">
        <v>0</v>
      </c>
      <c r="BW52" s="4">
        <v>0</v>
      </c>
      <c r="BX52" s="7">
        <v>0</v>
      </c>
      <c r="BY52" s="7">
        <v>0</v>
      </c>
      <c r="BZ52" s="4">
        <v>0</v>
      </c>
      <c r="CA52" s="7">
        <v>0</v>
      </c>
      <c r="CB52" s="7">
        <v>0</v>
      </c>
      <c r="CC52" s="4">
        <v>0</v>
      </c>
      <c r="CD52" s="7">
        <v>0</v>
      </c>
      <c r="CE52" s="7">
        <v>0</v>
      </c>
      <c r="CF52" s="4">
        <v>0</v>
      </c>
      <c r="CG52" s="7">
        <v>0</v>
      </c>
      <c r="CH52" s="7">
        <v>0</v>
      </c>
      <c r="CI52" s="4">
        <v>0</v>
      </c>
      <c r="CJ52" s="7">
        <v>0</v>
      </c>
      <c r="CK52" s="7">
        <v>0</v>
      </c>
      <c r="CL52" s="4">
        <f>SUM(BT52,BW52,BZ52,CC52,CF52,CI52)</f>
        <v>0</v>
      </c>
      <c r="CM52" s="7">
        <f>SUM(BU52,BX52,CA52,CD52,CG52,CJ52)</f>
        <v>0</v>
      </c>
      <c r="CN52" s="7">
        <f>SUM(BV52,BY52,CB52,CE52,CH52,CK52)</f>
        <v>0</v>
      </c>
      <c r="CO52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5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5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5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52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52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52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53" spans="1:99" x14ac:dyDescent="0.25">
      <c r="A53" t="s">
        <v>54</v>
      </c>
      <c r="B53" s="2" t="s">
        <v>26</v>
      </c>
      <c r="C53" s="2" t="s">
        <v>55</v>
      </c>
      <c r="D53" t="s">
        <v>56</v>
      </c>
      <c r="E53" s="2">
        <f>SUM(COUNTIF(AA[[#This Row],[Bydgoszcz_all_around]],"Yes"),COUNTIF(AA[[#This Row],[Zabrze_all_around]],"Yes"),COUNTIF(AA[[#This Row],[Cracow_all_around]],"Yes"),COUNTIF(AA[[#This Row],[Gdansk_all_Around]],"Yes"))</f>
        <v>0</v>
      </c>
      <c r="F53" s="4">
        <v>0</v>
      </c>
      <c r="G53" s="7">
        <v>0</v>
      </c>
      <c r="H53" s="7">
        <v>0</v>
      </c>
      <c r="I53" s="4">
        <v>0</v>
      </c>
      <c r="J53" s="7">
        <v>0</v>
      </c>
      <c r="K53" s="7">
        <v>0</v>
      </c>
      <c r="L53" s="4">
        <v>0</v>
      </c>
      <c r="M53" s="7">
        <v>0</v>
      </c>
      <c r="N53" s="7">
        <v>0</v>
      </c>
      <c r="O53" s="4">
        <v>0</v>
      </c>
      <c r="P53" s="7">
        <v>0</v>
      </c>
      <c r="Q53" s="7">
        <v>0</v>
      </c>
      <c r="R53" s="4">
        <v>0</v>
      </c>
      <c r="S53" s="7">
        <v>0</v>
      </c>
      <c r="T53" s="7">
        <v>0</v>
      </c>
      <c r="U53" s="4">
        <v>0</v>
      </c>
      <c r="V53" s="7">
        <v>0</v>
      </c>
      <c r="W53" s="7">
        <v>0</v>
      </c>
      <c r="X53" s="4">
        <f>SUM(F53,I53,L53,O53,R53,U53)</f>
        <v>0</v>
      </c>
      <c r="Y53" s="7">
        <f>SUM(G53,J53,M53,P53,S53,V53)</f>
        <v>0</v>
      </c>
      <c r="Z53" s="7">
        <f>SUM(H53,K53,N53,Q53,T53,W53)</f>
        <v>0</v>
      </c>
      <c r="AA53" s="7" t="str">
        <f>IF(SUM(COUNTIF(AA[[#This Row],[bydgoszcz_FX_Total_Score]],"&gt;0"),COUNTIF(AA[[#This Row],[bydgoszcz_PH_Total_Score]],"&gt;0"),COUNTIF(AA[[#This Row],[bydgoszcz_SR_Total_Score]],"&gt;0"),COUNTIF(AA[[#This Row],[bydgoszcz_VT_Total_Score]],"&gt;0"),COUNTIF(AA[[#This Row],[bydgoszcz_PB_Total_Score]],"&gt;0"),COUNTIF(AA[[#This Row],[bydgoszcz_HB_Total_Score]],"&gt;0"))=6,"Yes","No")</f>
        <v>No</v>
      </c>
      <c r="AB53" s="4">
        <v>0</v>
      </c>
      <c r="AC53" s="7">
        <v>0</v>
      </c>
      <c r="AD53" s="7">
        <v>0</v>
      </c>
      <c r="AE53" s="4">
        <v>0</v>
      </c>
      <c r="AF53" s="7">
        <v>0</v>
      </c>
      <c r="AG53" s="7">
        <v>0</v>
      </c>
      <c r="AH53" s="4">
        <v>0</v>
      </c>
      <c r="AI53" s="7">
        <v>0</v>
      </c>
      <c r="AJ53" s="7">
        <v>0</v>
      </c>
      <c r="AK53" s="4">
        <v>1.6</v>
      </c>
      <c r="AL53" s="7">
        <v>8.3000000000000007</v>
      </c>
      <c r="AM53" s="7">
        <v>9.9</v>
      </c>
      <c r="AN53" s="4">
        <v>0</v>
      </c>
      <c r="AO53" s="7">
        <v>0</v>
      </c>
      <c r="AP53" s="7">
        <v>0</v>
      </c>
      <c r="AQ53" s="4">
        <v>0</v>
      </c>
      <c r="AR53" s="7">
        <v>0</v>
      </c>
      <c r="AS53" s="7">
        <v>0</v>
      </c>
      <c r="AT53" s="4">
        <f>SUM(AB53,AE53,AH53,AK53,AN53,AQ53)</f>
        <v>1.6</v>
      </c>
      <c r="AU53" s="7">
        <f>SUM(AC53,AF53,AI53,AL53,AO53,AR53)</f>
        <v>8.3000000000000007</v>
      </c>
      <c r="AV53" s="7">
        <f>SUM(AD53,AG53,AJ53,AM53,AP53,AS53)</f>
        <v>9.9</v>
      </c>
      <c r="AW53" s="7" t="str">
        <f>IF(SUM(COUNTIF(AA[[#This Row],[zabrze_FX_Total_Score]],"&gt;0"),COUNTIF(AA[[#This Row],[zabrze_PH_Total_Score]],"&gt;0"),COUNTIF(AA[[#This Row],[zabrze_SR_Total_Score]],"&gt;0"),COUNTIF(AA[[#This Row],[zabrze_VT_Total_Score]],"&gt;0"),COUNTIF(AA[[#This Row],[zabrze_PB_Total_Score]],"&gt;0"),COUNTIF(AA[[#This Row],[zabrze_HB_Total_Score]],"&gt;0"))=6,"Yes","No")</f>
        <v>No</v>
      </c>
      <c r="AX53" s="4">
        <v>0</v>
      </c>
      <c r="AY53" s="7">
        <v>0</v>
      </c>
      <c r="AZ53" s="7">
        <v>0</v>
      </c>
      <c r="BA53" s="4">
        <v>0</v>
      </c>
      <c r="BB53" s="7">
        <v>0</v>
      </c>
      <c r="BC53" s="7">
        <v>0</v>
      </c>
      <c r="BD53" s="4">
        <v>0</v>
      </c>
      <c r="BE53" s="7">
        <v>0</v>
      </c>
      <c r="BF53" s="7">
        <v>0</v>
      </c>
      <c r="BG53" s="4">
        <v>0</v>
      </c>
      <c r="BH53" s="7">
        <v>0</v>
      </c>
      <c r="BI53" s="7">
        <v>0</v>
      </c>
      <c r="BJ53" s="4">
        <v>0</v>
      </c>
      <c r="BK53" s="7">
        <v>0</v>
      </c>
      <c r="BL53" s="7">
        <v>0</v>
      </c>
      <c r="BM53" s="4">
        <v>0</v>
      </c>
      <c r="BN53" s="7">
        <v>0</v>
      </c>
      <c r="BO53" s="7">
        <v>0</v>
      </c>
      <c r="BP53" s="4">
        <f>SUM(AX53,BA53,BD53,BG53,BJ53,BM53)</f>
        <v>0</v>
      </c>
      <c r="BQ53" s="7">
        <f>SUM(AY53,BB53,BE53,BH53,BK53,BN53)</f>
        <v>0</v>
      </c>
      <c r="BR53" s="7">
        <f>SUM(AZ53,BC53,BF53,BI53,BL53,BO53)</f>
        <v>0</v>
      </c>
      <c r="BS53" s="7" t="str">
        <f>IF(SUM(COUNTIF(AA[[#This Row],[cracow_FX_Total_Score]],"&gt;0"),COUNTIF(AA[[#This Row],[cracow_PH_Total_Score]],"&gt;0"),COUNTIF(AA[[#This Row],[cracow_SR_Total_Score]],"&gt;0"),COUNTIF(AA[[#This Row],[cracow_VT_Total_Score]],"&gt;0"),COUNTIF(AA[[#This Row],[cracow_PB_Total_Score]],"&gt;0"),COUNTIF(AA[[#This Row],[cracow_HB_Total_Score]],"&gt;0"))=6,"Yes","No")</f>
        <v>No</v>
      </c>
      <c r="BT53" s="4">
        <v>0</v>
      </c>
      <c r="BU53" s="7">
        <v>0</v>
      </c>
      <c r="BV53" s="7">
        <v>0</v>
      </c>
      <c r="BW53" s="4">
        <v>0</v>
      </c>
      <c r="BX53" s="7">
        <v>0</v>
      </c>
      <c r="BY53" s="7">
        <v>0</v>
      </c>
      <c r="BZ53" s="4">
        <v>0</v>
      </c>
      <c r="CA53" s="7">
        <v>0</v>
      </c>
      <c r="CB53" s="7">
        <v>0</v>
      </c>
      <c r="CC53" s="4">
        <v>0</v>
      </c>
      <c r="CD53" s="7">
        <v>0</v>
      </c>
      <c r="CE53" s="7">
        <v>0</v>
      </c>
      <c r="CF53" s="4">
        <v>0</v>
      </c>
      <c r="CG53" s="7">
        <v>0</v>
      </c>
      <c r="CH53" s="7">
        <v>0</v>
      </c>
      <c r="CI53" s="4">
        <v>0</v>
      </c>
      <c r="CJ53" s="7">
        <v>0</v>
      </c>
      <c r="CK53" s="7">
        <v>0</v>
      </c>
      <c r="CL53" s="4">
        <f>SUM(BT53,BW53,BZ53,CC53,CF53,CI53)</f>
        <v>0</v>
      </c>
      <c r="CM53" s="7">
        <f>SUM(BU53,BX53,CA53,CD53,CG53,CJ53)</f>
        <v>0</v>
      </c>
      <c r="CN53" s="7">
        <f>SUM(BV53,BY53,CB53,CE53,CH53,CK53)</f>
        <v>0</v>
      </c>
      <c r="CO53" s="7" t="str">
        <f>IF(SUM(COUNTIF(AA[[#This Row],[gdansk_FX_Total_Score]],"&gt;0"),COUNTIF(AA[[#This Row],[gdansk_PH_Total_Score]],"&gt;0"),COUNTIF(AA[[#This Row],[gdansk_SR_Total_Score]],"&gt;0"),COUNTIF(AA[[#This Row],[gdansk_VT_Total_Score]],"&gt;0"),COUNTIF(AA[[#This Row],[gdansk_PB_Total_Score]],"&gt;0"),COUNTIF(AA[[#This Row],[gdansk_HB_Total_Score]],"&gt;0"))=6,"Yes","No")</f>
        <v>No</v>
      </c>
      <c r="CP5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Row],[gdansk_Dscore]]),3)),0)</f>
        <v>0</v>
      </c>
      <c r="CQ5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Row],[gdansk_Escore]]),3)),0)</f>
        <v>0</v>
      </c>
      <c r="CR5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Row],[gdansk_Total_Score]]),3)),0)</f>
        <v>0</v>
      </c>
      <c r="CS53" s="4">
        <f>IF(AA[[#This Row],[All around competition]]&gt;=3,(LARGE(CHOOSE({1;2;3;4},AA[[#This Row],[bydgoszcz_DScore]],AA[[#This Row],[zabrze_Dscore]],AA[[#This Row],[cracow_Dscore]],AA[[#This Row],[gdansk_Dscore]]),1)+LARGE(CHOOSE({1;2;3;4},AA[[#This Row],[bydgoszcz_DScore]],AA[[#This Row],[zabrze_Dscore]],AA[[#This Row],[cracow_Dscore]],AA[[#This Row],[gdansk_Dscore]]),2)+LARGE(CHOOSE({1;2;3;4},AA[[#This Row],[bydgoszcz_DScore]],AA[[#This Row],[zabrze_Dscore]],AA[[#This Row],[cracow_Dscore]],AA[[#This Row],[gdansk_Dscore]]),3))/3,0)</f>
        <v>0</v>
      </c>
      <c r="CT53" s="7">
        <f>IF(AA[[#This Row],[All around competition]]&gt;=3,(LARGE(CHOOSE({1;2;3;4},AA[[#This Row],[bydgoszcz_Escore]],AA[[#This Row],[zabrze_Escore]],AA[[#This Row],[cracow_Escore]],AA[[#This Row],[gdansk_Escore]]),1)+LARGE(CHOOSE({1;2;3;4},AA[[#This Row],[bydgoszcz_Escore]],AA[[#This Row],[zabrze_Escore]],AA[[#This Row],[cracow_Escore]],AA[[#This Row],[gdansk_Escore]]),2)+LARGE(CHOOSE({1;2;3;4},AA[[#This Row],[bydgoszcz_Escore]],AA[[#This Row],[zabrze_Escore]],AA[[#This Row],[cracow_Escore]],AA[[#This Row],[gdansk_Escore]]),3))/3,0)</f>
        <v>0</v>
      </c>
      <c r="CU53" s="7">
        <f>IF(AA[[#This Row],[All around competition]]&gt;=3,(LARGE(CHOOSE({1;2;3;4},AA[[#This Row],[bydgoszcz_Total_Score]],AA[[#This Row],[zabrze_Total_Score]],AA[[#This Row],[cracow_Total_Score]],AA[[#This Row],[gdansk_Total_Score]]),1)+LARGE(CHOOSE({1;2;3;4},AA[[#This Row],[bydgoszcz_Total_Score]],AA[[#This Row],[zabrze_Total_Score]],AA[[#This Row],[cracow_Total_Score]],AA[[#This Row],[gdansk_Total_Score]]),2)+LARGE(CHOOSE({1;2;3;4},AA[[#This Row],[bydgoszcz_Total_Score]],AA[[#This Row],[zabrze_Total_Score]],AA[[#This Row],[cracow_Total_Score]],AA[[#This Row],[gdansk_Total_Score]]),3))/3,0)</f>
        <v>0</v>
      </c>
    </row>
    <row r="54" spans="1:99" x14ac:dyDescent="0.25">
      <c r="BX54" s="4"/>
    </row>
    <row r="58" spans="1:99" x14ac:dyDescent="0.25"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99" x14ac:dyDescent="0.25">
      <c r="A59" s="2" t="s">
        <v>244</v>
      </c>
      <c r="B59" s="7" t="s">
        <v>256</v>
      </c>
      <c r="C59" s="7" t="s">
        <v>260</v>
      </c>
      <c r="D59" s="2" t="s">
        <v>255</v>
      </c>
      <c r="E59" s="2"/>
      <c r="F59" s="10"/>
      <c r="G59" s="10"/>
      <c r="H59" s="10"/>
      <c r="I59" s="10"/>
      <c r="J59" s="10"/>
      <c r="K59" s="16"/>
      <c r="L59" s="10"/>
      <c r="M59" s="10"/>
      <c r="N59" s="10"/>
      <c r="O59" s="10"/>
      <c r="P59" s="10"/>
      <c r="Q59" s="10"/>
      <c r="R59" s="10"/>
      <c r="S59" s="10"/>
      <c r="T59" s="10"/>
    </row>
    <row r="60" spans="1:99" ht="43.5" customHeight="1" x14ac:dyDescent="0.25">
      <c r="A60" s="4" cm="1">
        <f t="array" ref="A60">SUM(_xlfn._xlws.FILTER(AA[bydgoszcz_DScore],(AA[Category]="junior")*(AA[Bydgoszcz_all_around]&gt;="yes")),_xlfn._xlws.FILTER(AA[zabrze_Dscore],(AA[Category]="junior")*(AA[Zabrze_all_around]&gt;="yes")),_xlfn._xlws.FILTER(AA[cracow_Dscore],(AA[Category]="junior")*(AA[Cracow_all_around]&gt;="yes")),_xlfn._xlws.FILTER(AA[gdansk_Dscore],(AA[Category]="junior")*(AA[Gdansk_all_Around]&gt;="yes")))/(COUNTIFS(AA[bydgoszcz_DScore],"&gt;0",AA[Category],"junior",AA[Bydgoszcz_all_around],"Yes")+COUNTIFS(AA[zabrze_Dscore],"&gt;0",AA[Category],"junior",AA[Zabrze_all_around],"Yes")+COUNTIFS(AA[cracow_Dscore],"&gt;0",AA[Category],"junior",AA[Cracow_all_around],"Yes")+COUNTIFS(AA[gdansk_Dscore],"&gt;0",AA[Category],"junior",AA[Gdansk_all_Around],"Yes"))</f>
        <v>17.661904761904765</v>
      </c>
      <c r="B60" s="4" cm="1">
        <f t="array" ref="B60">_xlfn.STDEV.S(_xlfn._xlws.FILTER(AA[bydgoszcz_DScore],(AA[Category]="junior")*(AA[Bydgoszcz_all_around]&gt;="yes")*(AA[bydgoszcz_DScore]&gt;0)),_xlfn._xlws.FILTER(AA[zabrze_Dscore],(AA[Category]="junior")*(AA[zabrze_Dscore]&gt;0)*(AA[Zabrze_all_around]&gt;="yes")),_xlfn._xlws.FILTER(AA[cracow_Dscore],(AA[Category]="junior")*(AA[cracow_Dscore]&gt;0)*(AA[Cracow_all_around]&gt;="yes")),_xlfn._xlws.FILTER(AA[gdansk_Dscore],(AA[Category]="junior")*(AA[gdansk_Dscore]&gt;0)*(AA[Gdansk_all_Around]&gt;="yes")))</f>
        <v>3.2183128727340868</v>
      </c>
      <c r="C60" s="4" cm="1">
        <f t="array" ref="C60">MAX(_xlfn._xlws.FILTER(AA[bydgoszcz_DScore],AA[Category]="junior"),_xlfn._xlws.FILTER(AA[zabrze_Dscore],AA[Category]="junior"),_xlfn._xlws.FILTER(AA[cracow_Dscore],AA[Category]="junior"),_xlfn._xlws.FILTER(AA[gdansk_Dscore],AA[Category]="junior"))</f>
        <v>25.6</v>
      </c>
      <c r="D60" s="2" t="str" cm="1">
        <f t="array" ref="D60">_xlfn.XLOOKUP(C60,_xlfn._xlws.FILTER(AA[bydgoszcz_DScore],AA[Category]="junior"),_xlfn._xlws.FILTER(AA[Name],AA[Category]="junior"),_xlfn.XLOOKUP(C60,_xlfn._xlws.FILTER(AA[zabrze_Dscore],AA[Category]="junior"),_xlfn._xlws.FILTER(AA[Name],AA[Category]="junior"),_xlfn.XLOOKUP(C60,_xlfn._xlws.FILTER(AA[cracow_Dscore],AA[Category]="junior"),_xlfn._xlws.FILTER(AA[Name],AA[Category]="junior"),_xlfn.XLOOKUP(C60,_xlfn._xlws.FILTER(AA[gdansk_Dscore],AA[Category]="junior"),_xlfn._xlws.FILTER(AA[Name],AA[Category]="junior")))))</f>
        <v>MISHCHENKO Oleksandr</v>
      </c>
      <c r="E60" s="2"/>
      <c r="F60" s="12"/>
      <c r="G60" s="12"/>
      <c r="H60" s="12"/>
      <c r="L60" s="7"/>
      <c r="M60" s="11"/>
      <c r="N60" s="11"/>
      <c r="O60" s="12"/>
      <c r="P60" s="12"/>
      <c r="Q60" s="12"/>
      <c r="R60" s="12"/>
      <c r="S60" s="12"/>
      <c r="T60" s="10"/>
    </row>
    <row r="61" spans="1:99" ht="25.5" customHeight="1" x14ac:dyDescent="0.25">
      <c r="A61" s="4" cm="1">
        <f t="array" ref="A61">SUM(_xlfn._xlws.FILTER(AA[bydgoszcz_DScore],(AA[Category]="senior")*(AA[Bydgoszcz_all_around]&gt;="yes")),_xlfn._xlws.FILTER(AA[zabrze_Dscore],(AA[Category]="senior")*(AA[Zabrze_all_around]&gt;="yes")),_xlfn._xlws.FILTER(AA[cracow_Dscore],(AA[Category]="senior")*(AA[Cracow_all_around]&gt;="yes")),_xlfn._xlws.FILTER(AA[gdansk_Dscore],(AA[Category]="senior")*(AA[Gdansk_all_Around]&gt;="yes")))/(COUNTIFS(AA[bydgoszcz_DScore],"&gt;0",AA[Category],"senior",AA[Bydgoszcz_all_around],"Yes")+COUNTIFS(AA[zabrze_Dscore],"&gt;0",AA[Category],"senior",AA[Zabrze_all_around],"Yes")+COUNTIFS(AA[cracow_Dscore],"&gt;0",AA[Category],"senior",AA[Cracow_all_around],"Yes")+COUNTIFS(AA[gdansk_Dscore],"&gt;0",AA[Category],"senior",AA[Gdansk_all_Around],"Yes"))</f>
        <v>22.792682926829269</v>
      </c>
      <c r="B61" s="4" cm="1">
        <f t="array" ref="B61">_xlfn.STDEV.S(_xlfn._xlws.FILTER(AA[bydgoszcz_DScore],(AA[Category]="senior")*(AA[Bydgoszcz_all_around]&gt;="yes")*(AA[bydgoszcz_DScore]&gt;0)),_xlfn._xlws.FILTER(AA[zabrze_Dscore],(AA[Category]="senior")*(AA[zabrze_Dscore]&gt;0)*(AA[Zabrze_all_around]&gt;="yes")),_xlfn._xlws.FILTER(AA[cracow_Dscore],(AA[Category]="senior")*(AA[cracow_Dscore]&gt;0)*(AA[Cracow_all_around]&gt;="yes")),_xlfn._xlws.FILTER(AA[gdansk_Dscore],(AA[Category]="senior")*(AA[gdansk_Dscore]&gt;0)*(AA[Gdansk_all_Around]&gt;="yes")))</f>
        <v>3.514924625358435</v>
      </c>
      <c r="C61" s="4" cm="1">
        <f t="array" ref="C61">MAX(_xlfn._xlws.FILTER(AA[bydgoszcz_DScore],AA[Category]="senior"),_xlfn._xlws.FILTER(AA[zabrze_Dscore],AA[Category]="senior"),_xlfn._xlws.FILTER(AA[cracow_Dscore],AA[Category]="senior"),_xlfn._xlws.FILTER(AA[gdansk_Dscore],AA[Category]="senior"))</f>
        <v>30.099999999999998</v>
      </c>
      <c r="D61" s="2" t="str" cm="1">
        <f t="array" ref="D61">_xlfn.XLOOKUP(C61,_xlfn._xlws.FILTER(AA[bydgoszcz_DScore],AA[Category]="senior"),_xlfn._xlws.FILTER(AA[Name],AA[Category]="senior"),_xlfn.XLOOKUP(C61,_xlfn._xlws.FILTER(AA[zabrze_Dscore],AA[Category]="senior"),_xlfn._xlws.FILTER(AA[Name],AA[Category]="senior"),_xlfn.XLOOKUP(C61,_xlfn._xlws.FILTER(AA[cracow_Dscore],AA[Category]="senior"),_xlfn._xlws.FILTER(AA[Name],AA[Category]="senior"),_xlfn.XLOOKUP(C61,_xlfn._xlws.FILTER(AA[gdansk_Dscore],AA[Category]="senior"),_xlfn._xlws.FILTER(AA[Name],AA[Category]="senior")))))</f>
        <v>GAWROŃSKI Sebastian</v>
      </c>
      <c r="E61" s="2"/>
      <c r="F61" s="12"/>
      <c r="G61" s="12"/>
      <c r="H61" s="12"/>
      <c r="I61" s="12"/>
      <c r="J61" s="10"/>
      <c r="K61" s="16"/>
      <c r="L61" s="10"/>
      <c r="M61" s="11"/>
      <c r="N61" s="11"/>
      <c r="O61" s="12"/>
      <c r="P61" s="12"/>
      <c r="Q61" s="12"/>
      <c r="R61" s="12"/>
      <c r="S61" s="12"/>
      <c r="T61" s="10"/>
    </row>
    <row r="62" spans="1:99" x14ac:dyDescent="0.25">
      <c r="A62" s="2"/>
      <c r="B62"/>
      <c r="C62" s="3"/>
      <c r="D62" s="5"/>
      <c r="E62" s="5"/>
      <c r="F62" s="12"/>
      <c r="G62" s="12"/>
      <c r="H62" s="12"/>
      <c r="I62" s="12"/>
      <c r="J62" s="10"/>
      <c r="K62" s="16"/>
      <c r="L62" s="10"/>
      <c r="M62" s="11"/>
      <c r="N62" s="11"/>
      <c r="O62" s="12"/>
      <c r="P62" s="12"/>
      <c r="Q62" s="12"/>
      <c r="R62" s="12"/>
      <c r="S62" s="12"/>
      <c r="T62" s="10"/>
    </row>
    <row r="63" spans="1:99" x14ac:dyDescent="0.25">
      <c r="A63" s="2" t="s">
        <v>257</v>
      </c>
      <c r="B63" s="7" t="s">
        <v>258</v>
      </c>
      <c r="C63" s="7" t="s">
        <v>261</v>
      </c>
      <c r="D63" s="2" t="s">
        <v>255</v>
      </c>
      <c r="E63" s="2"/>
      <c r="F63" s="12"/>
      <c r="G63" s="12"/>
      <c r="H63" s="12"/>
      <c r="I63" s="12"/>
      <c r="J63" s="10"/>
      <c r="K63" s="16"/>
      <c r="L63" s="10"/>
      <c r="M63" s="11"/>
      <c r="N63" s="11"/>
      <c r="O63" s="12"/>
      <c r="P63" s="12"/>
      <c r="Q63" s="12"/>
      <c r="R63" s="12"/>
      <c r="S63" s="12"/>
      <c r="T63" s="10"/>
    </row>
    <row r="64" spans="1:99" x14ac:dyDescent="0.25">
      <c r="A64" s="7" cm="1">
        <f t="array" ref="A64">SUM(_xlfn._xlws.FILTER(AA[bydgoszcz_Escore],(AA[Category]="junior")*(AA[Bydgoszcz_all_around]&gt;="yes")),_xlfn._xlws.FILTER(AA[zabrze_Escore],(AA[Category]="junior")*(AA[Zabrze_all_around]&gt;="yes")),_xlfn._xlws.FILTER(AA[cracow_Escore],(AA[Category]="junior")*(AA[Cracow_all_around]&gt;="yes")),_xlfn._xlws.FILTER(AA[gdansk_Escore],(AA[Category]="junior")*(AA[Gdansk_all_Around]&gt;="yes")))/(COUNTIFS(AA[bydgoszcz_Escore],"&gt;0",AA[Category],"junior",AA[Bydgoszcz_all_around],"Yes")+COUNTIFS(AA[zabrze_Escore],"&gt;0",AA[Category],"junior",AA[Zabrze_all_around],"Yes")+COUNTIFS(AA[cracow_Escore],"&gt;0",AA[Category],"junior",AA[Cracow_all_around],"Yes")+COUNTIFS(AA[gdansk_Escore],"&gt;0",AA[Category],"junior",AA[Gdansk_all_Around],"Yes"))</f>
        <v>46.188095238095251</v>
      </c>
      <c r="B64" s="7" cm="1">
        <f t="array" ref="B64">_xlfn.STDEV.S(_xlfn._xlws.FILTER(AA[bydgoszcz_Escore],(AA[Category]="junior")*(AA[Bydgoszcz_all_around]&gt;="yes")*(AA[bydgoszcz_Escore]&gt;0)),_xlfn._xlws.FILTER(AA[zabrze_Escore],(AA[Category]="junior")*(AA[zabrze_Escore]&gt;0)*(AA[Zabrze_all_around]&gt;="yes")),_xlfn._xlws.FILTER(AA[cracow_Escore],(AA[Category]="junior")*(AA[cracow_Escore]&gt;0)*(AA[Cracow_all_around]&gt;="yes")),_xlfn._xlws.FILTER(AA[gdansk_Escore],(AA[Category]="junior")*(AA[gdansk_Escore]&gt;0)*(AA[Gdansk_all_Around]&gt;="yes")))</f>
        <v>5.4465564140285094</v>
      </c>
      <c r="C64" s="7" cm="1">
        <f t="array" ref="C64">MAX(_xlfn._xlws.FILTER(AA[bydgoszcz_Escore],AA[Category]="junior"),_xlfn._xlws.FILTER(AA[zabrze_Escore],AA[Category]="junior"),_xlfn._xlws.FILTER(AA[cracow_Escore],AA[Category]="junior"),_xlfn._xlws.FILTER(AA[gdansk_Escore],AA[Category]="junior"))</f>
        <v>53.7</v>
      </c>
      <c r="D64" s="2" t="str" cm="1">
        <f t="array" ref="D64">_xlfn.XLOOKUP(C64,_xlfn._xlws.FILTER(AA[bydgoszcz_Escore],AA[Category]="junior"),_xlfn._xlws.FILTER(AA[Name],AA[Category]="junior"),_xlfn.XLOOKUP(C64,_xlfn._xlws.FILTER(AA[zabrze_Escore],AA[Category]="junior"),_xlfn._xlws.FILTER(AA[Name],AA[Category]="junior"),_xlfn.XLOOKUP(C64,_xlfn._xlws.FILTER(AA[cracow_Escore],AA[Category]="junior"),_xlfn._xlws.FILTER(AA[Name],AA[Category]="junior"),_xlfn.XLOOKUP(C64,_xlfn._xlws.FILTER(AA[gdansk_Escore],AA[Category]="junior"),_xlfn._xlws.FILTER(AA[Name],AA[Category]="junior")))))</f>
        <v>LEKHAC Tomasz</v>
      </c>
      <c r="E64" s="2"/>
      <c r="F64" s="12"/>
      <c r="G64" s="12"/>
      <c r="H64" s="12"/>
      <c r="I64" s="12"/>
      <c r="J64" s="10"/>
      <c r="K64" s="16"/>
      <c r="L64" s="10"/>
      <c r="M64" s="11"/>
      <c r="N64" s="11"/>
      <c r="O64" s="12"/>
      <c r="P64" s="12"/>
      <c r="Q64" s="12"/>
      <c r="R64" s="12"/>
      <c r="S64" s="12"/>
      <c r="T64" s="10"/>
    </row>
    <row r="65" spans="1:20" x14ac:dyDescent="0.25">
      <c r="A65" s="7" cm="1">
        <f t="array" ref="A65">SUM(_xlfn._xlws.FILTER(AA[bydgoszcz_Escore],(AA[Category]="senior")*(AA[Bydgoszcz_all_around]&gt;="yes")),_xlfn._xlws.FILTER(AA[zabrze_Escore],(AA[Category]="senior")*(AA[Zabrze_all_around]&gt;="yes")),_xlfn._xlws.FILTER(AA[cracow_Escore],(AA[Category]="senior")*(AA[Cracow_all_around]&gt;="yes")),_xlfn._xlws.FILTER(AA[gdansk_Escore],(AA[Category]="senior")*(AA[Gdansk_all_Around]&gt;="yes")))/(COUNTIFS(AA[bydgoszcz_Escore],"&gt;0",AA[Category],"senior",AA[Bydgoszcz_all_around],"Yes")+COUNTIFS(AA[zabrze_Escore],"&gt;0",AA[Category],"senior",AA[Zabrze_all_around],"Yes")+COUNTIFS(AA[cracow_Escore],"&gt;0",AA[Category],"senior",AA[Cracow_all_around],"Yes")+COUNTIFS(AA[gdansk_Escore],"&gt;0",AA[Category],"senior",AA[Gdansk_all_Around],"Yes"))</f>
        <v>46.186585365853652</v>
      </c>
      <c r="B65" s="7" cm="1">
        <f t="array" ref="B65">_xlfn.STDEV.S(_xlfn._xlws.FILTER(AA[bydgoszcz_Escore],(AA[Category]="senior")*(AA[Bydgoszcz_all_around]&gt;="yes")*(AA[bydgoszcz_Escore]&gt;0)),_xlfn._xlws.FILTER(AA[zabrze_Escore],(AA[Category]="senior")*(AA[zabrze_Escore]&gt;0)*(AA[Zabrze_all_around]&gt;="yes")),_xlfn._xlws.FILTER(AA[cracow_Escore],(AA[Category]="senior")*(AA[cracow_Escore]&gt;0)*(AA[Cracow_all_around]&gt;="yes")),_xlfn._xlws.FILTER(AA[gdansk_Escore],(AA[Category]="senior")*(AA[gdansk_Escore]&gt;0)*(AA[Gdansk_all_Around]&gt;="yes")))</f>
        <v>3.3056963031682876</v>
      </c>
      <c r="C65" s="7" cm="1">
        <f t="array" ref="C65">MAX(_xlfn._xlws.FILTER(AA[bydgoszcz_Escore],AA[Category]="senior"),_xlfn._xlws.FILTER(AA[zabrze_Escore],AA[Category]="senior"),_xlfn._xlws.FILTER(AA[cracow_Escore],AA[Category]="senior"),_xlfn._xlws.FILTER(AA[gdansk_Escore],AA[Category]="senior"))</f>
        <v>51.55</v>
      </c>
      <c r="D65" s="2" t="str" cm="1">
        <f t="array" ref="D65">_xlfn.XLOOKUP(C65,_xlfn._xlws.FILTER(AA[bydgoszcz_Escore],AA[Category]="senior"),_xlfn._xlws.FILTER(AA[Name],AA[Category]="senior"),_xlfn.XLOOKUP(C65,_xlfn._xlws.FILTER(AA[zabrze_Escore],AA[Category]="senior"),_xlfn._xlws.FILTER(AA[Name],AA[Category]="senior"),_xlfn.XLOOKUP(C65,_xlfn._xlws.FILTER(AA[cracow_Escore],AA[Category]="senior"),_xlfn._xlws.FILTER(AA[Name],AA[Category]="senior"),_xlfn.XLOOKUP(C65,_xlfn._xlws.FILTER(AA[gdansk_Escore],AA[Category]="senior"),_xlfn._xlws.FILTER(AA[Name],AA[Category]="senior")))))</f>
        <v>KUROWSKI Jakub</v>
      </c>
      <c r="E65" s="2"/>
      <c r="F65" s="12"/>
      <c r="G65" s="12"/>
      <c r="H65" s="12"/>
      <c r="I65" s="12"/>
      <c r="J65" s="10"/>
      <c r="K65" s="16"/>
      <c r="L65" s="10"/>
      <c r="M65" s="11"/>
      <c r="N65" s="11"/>
      <c r="O65" s="12"/>
      <c r="P65" s="12"/>
      <c r="Q65" s="12"/>
      <c r="R65" s="12"/>
      <c r="S65" s="12"/>
      <c r="T65" s="10"/>
    </row>
    <row r="66" spans="1:20" x14ac:dyDescent="0.25">
      <c r="A66" s="2"/>
      <c r="B66"/>
      <c r="C66" s="3"/>
      <c r="D66" s="5"/>
      <c r="E66" s="5"/>
    </row>
    <row r="67" spans="1:20" x14ac:dyDescent="0.25">
      <c r="A67" s="2" t="s">
        <v>246</v>
      </c>
      <c r="B67" s="2" t="s">
        <v>259</v>
      </c>
      <c r="C67" s="7" t="s">
        <v>262</v>
      </c>
      <c r="D67" s="2" t="s">
        <v>255</v>
      </c>
      <c r="E67" s="2"/>
    </row>
    <row r="68" spans="1:20" x14ac:dyDescent="0.25">
      <c r="A68" s="7" cm="1">
        <f t="array" ref="A68">SUM(_xlfn._xlws.FILTER(AA[bydgoszcz_Total_Score],(AA[Category]="junior")*(AA[Bydgoszcz_all_around]&gt;="yes")),_xlfn._xlws.FILTER(AA[zabrze_Total_Score],(AA[Category]="junior")*(AA[Zabrze_all_around]&gt;="yes")),_xlfn._xlws.FILTER(AA[cracow_Total_Score],(AA[Category]="junior")*(AA[Cracow_all_around]&gt;="yes")),_xlfn._xlws.FILTER(AA[gdansk_Total_Score],(AA[Category]="junior")*(AA[Gdansk_all_Around]&gt;="yes")))/(COUNTIFS(AA[bydgoszcz_Total_Score],"&gt;0",AA[Category],"junior",AA[Bydgoszcz_all_around],"Yes")+COUNTIFS(AA[zabrze_Total_Score],"&gt;0",AA[Category],"junior",AA[Zabrze_all_around],"Yes")+COUNTIFS(AA[cracow_Total_Score],"&gt;0",AA[Category],"junior",AA[Cracow_all_around],"Yes")+COUNTIFS(AA[gdansk_Total_Score],"&gt;0",AA[Category],"junior",AA[Gdansk_all_Around],"Yes"))</f>
        <v>63.850000000000009</v>
      </c>
      <c r="B68" s="7" cm="1">
        <f t="array" ref="B68">_xlfn.STDEV.S(_xlfn._xlws.FILTER(AA[bydgoszcz_Total_Score],(AA[Category]="junior")*(AA[Bydgoszcz_all_around]&gt;="yes")*(AA[bydgoszcz_Total_Score]&gt;0)),_xlfn._xlws.FILTER(AA[zabrze_Total_Score],(AA[Category]="junior")*(AA[zabrze_Total_Score]&gt;0)*(AA[Zabrze_all_around]&gt;="yes")),_xlfn._xlws.FILTER(AA[cracow_Total_Score],(AA[Category]="junior")*(AA[cracow_Total_Score]&gt;0)*(AA[Cracow_all_around]&gt;="yes")),_xlfn._xlws.FILTER(AA[gdansk_Total_Score],(AA[Category]="junior")*(AA[gdansk_Total_Score]&gt;0)*(AA[Gdansk_all_Around]&gt;="yes")))</f>
        <v>7.8148311156322245</v>
      </c>
      <c r="C68" s="7" cm="1">
        <f t="array" ref="C68">MAX(_xlfn._xlws.FILTER(AA[bydgoszcz_Total_Score],AA[Category]="junior"),_xlfn._xlws.FILTER(AA[zabrze_Total_Score],AA[Category]="junior"),_xlfn._xlws.FILTER(AA[cracow_Total_Score],AA[Category]="junior"),_xlfn._xlws.FILTER(AA[gdansk_Total_Score],AA[Category]="junior"))</f>
        <v>73.2</v>
      </c>
      <c r="D68" s="2" t="str" cm="1">
        <f t="array" ref="D68">_xlfn.XLOOKUP(C68,_xlfn._xlws.FILTER(AA[bydgoszcz_Total_Score],AA[Category]="junior"),_xlfn._xlws.FILTER(AA[Name],AA[Category]="junior"),_xlfn.XLOOKUP(C68,_xlfn._xlws.FILTER(AA[zabrze_Total_Score],AA[Category]="junior"),_xlfn._xlws.FILTER(AA[Name],AA[Category]="junior"),_xlfn.XLOOKUP(C68,_xlfn._xlws.FILTER(AA[cracow_Total_Score],AA[Category]="junior"),_xlfn._xlws.FILTER(AA[Name],AA[Category]="junior"),_xlfn.XLOOKUP(C68,_xlfn._xlws.FILTER(AA[gdansk_Total_Score],AA[Category]="junior"),_xlfn._xlws.FILTER(AA[Name],AA[Category]="junior")))))</f>
        <v>LEKHAC Tomasz</v>
      </c>
      <c r="E68" s="2"/>
    </row>
    <row r="69" spans="1:20" x14ac:dyDescent="0.25">
      <c r="A69" s="7" cm="1">
        <f t="array" ref="A69">SUM(_xlfn._xlws.FILTER(AA[bydgoszcz_Total_Score],(AA[Category]="senior")*(AA[Bydgoszcz_all_around]&gt;="yes")),_xlfn._xlws.FILTER(AA[zabrze_Total_Score],(AA[Category]="senior")*(AA[Zabrze_all_around]&gt;="yes")),_xlfn._xlws.FILTER(AA[cracow_Total_Score],(AA[Category]="senior")*(AA[Cracow_all_around]&gt;="yes")),_xlfn._xlws.FILTER(AA[gdansk_Total_Score],(AA[Category]="senior")*(AA[Gdansk_all_Around]&gt;="yes")))/(COUNTIFS(AA[bydgoszcz_Total_Score],"&gt;0",AA[Category],"senior",AA[Bydgoszcz_all_around],"Yes")+COUNTIFS(AA[zabrze_Total_Score],"&gt;0",AA[Category],"senior",AA[Zabrze_all_around],"Yes")+COUNTIFS(AA[cracow_Total_Score],"&gt;0",AA[Category],"senior",AA[Cracow_all_around],"Yes")+COUNTIFS(AA[gdansk_Total_Score],"&gt;0",AA[Category],"senior",AA[Gdansk_all_Around],"Yes"))</f>
        <v>68.979268292682931</v>
      </c>
      <c r="B69" s="7" cm="1">
        <f t="array" ref="B69">_xlfn.STDEV.S(_xlfn._xlws.FILTER(AA[bydgoszcz_Total_Score],(AA[Category]="senior")*(AA[Bydgoszcz_all_around]&gt;="yes")*(AA[bydgoszcz_Total_Score]&gt;0)),_xlfn._xlws.FILTER(AA[zabrze_Total_Score],(AA[Category]="senior")*(AA[zabrze_Total_Score]&gt;0)*(AA[Zabrze_all_around]&gt;="yes")),_xlfn._xlws.FILTER(AA[cracow_Total_Score],(AA[Category]="senior")*(AA[cracow_Total_Score]&gt;0)*(AA[Cracow_all_around]&gt;="yes")),_xlfn._xlws.FILTER(AA[gdansk_Total_Score],(AA[Category]="senior")*(AA[gdansk_Total_Score]&gt;0)*(AA[Gdansk_all_Around]&gt;="yes")))</f>
        <v>5.2201888807991903</v>
      </c>
      <c r="C69" s="7" cm="1">
        <f t="array" ref="C69">MAX(_xlfn._xlws.FILTER(AA[bydgoszcz_Total_Score],AA[Category]="senior"),_xlfn._xlws.FILTER(AA[zabrze_Total_Score],AA[Category]="senior"),_xlfn._xlws.FILTER(AA[cracow_Total_Score],AA[Category]="senior"),_xlfn._xlws.FILTER(AA[gdansk_Total_Score],AA[Category]="senior"))</f>
        <v>76.150000000000006</v>
      </c>
      <c r="D69" s="2" t="str" cm="1">
        <f t="array" ref="D69">_xlfn.XLOOKUP(C69,_xlfn._xlws.FILTER(AA[bydgoszcz_Total_Score],AA[Category]="senior"),_xlfn._xlws.FILTER(AA[Name],AA[Category]="senior"),_xlfn.XLOOKUP(C69,_xlfn._xlws.FILTER(AA[zabrze_Total_Score],AA[Category]="senior"),_xlfn._xlws.FILTER(AA[Name],AA[Category]="senior"),_xlfn.XLOOKUP(C69,_xlfn._xlws.FILTER(AA[cracow_Total_Score],AA[Category]="senior"),_xlfn._xlws.FILTER(AA[Name],AA[Category]="senior"),_xlfn.XLOOKUP(C69,_xlfn._xlws.FILTER(AA[gdansk_Total_Score],AA[Category]="senior"),_xlfn._xlws.FILTER(AA[Name],AA[Category]="senior")))))</f>
        <v>GARNCZAREK Kacper</v>
      </c>
      <c r="E69" s="2"/>
    </row>
  </sheetData>
  <phoneticPr fontId="1" type="noConversion"/>
  <conditionalFormatting sqref="F2:CU53">
    <cfRule type="cellIs" dxfId="0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63D1799-B07E-49E7-AA3D-A3404E67CB05}">
  <ds:schemaRefs/>
</ds:datastoreItem>
</file>

<file path=customXml/itemProps2.xml><?xml version="1.0" encoding="utf-8"?>
<ds:datastoreItem xmlns:ds="http://schemas.openxmlformats.org/officeDocument/2006/customXml" ds:itemID="{6CCA27B6-3C20-4FED-9893-FF64C51DCB93}">
  <ds:schemaRefs/>
</ds:datastoreItem>
</file>

<file path=customXml/itemProps3.xml><?xml version="1.0" encoding="utf-8"?>
<ds:datastoreItem xmlns:ds="http://schemas.openxmlformats.org/officeDocument/2006/customXml" ds:itemID="{FE441B3B-9C1B-4261-ADB0-C98D3FB54FA1}">
  <ds:schemaRefs/>
</ds:datastoreItem>
</file>

<file path=customXml/itemProps4.xml><?xml version="1.0" encoding="utf-8"?>
<ds:datastoreItem xmlns:ds="http://schemas.openxmlformats.org/officeDocument/2006/customXml" ds:itemID="{AC38CF00-B751-4787-B67F-AF2C75F5A33B}">
  <ds:schemaRefs/>
</ds:datastoreItem>
</file>

<file path=customXml/itemProps5.xml><?xml version="1.0" encoding="utf-8"?>
<ds:datastoreItem xmlns:ds="http://schemas.openxmlformats.org/officeDocument/2006/customXml" ds:itemID="{2F0EFD71-8469-456A-AEC7-02F71D85E2E5}">
  <ds:schemaRefs/>
</ds:datastoreItem>
</file>

<file path=customXml/itemProps6.xml><?xml version="1.0" encoding="utf-8"?>
<ds:datastoreItem xmlns:ds="http://schemas.openxmlformats.org/officeDocument/2006/customXml" ds:itemID="{856708C9-7F2B-4855-A6AC-D750775BA075}">
  <ds:schemaRefs/>
</ds:datastoreItem>
</file>

<file path=customXml/itemProps7.xml><?xml version="1.0" encoding="utf-8"?>
<ds:datastoreItem xmlns:ds="http://schemas.openxmlformats.org/officeDocument/2006/customXml" ds:itemID="{11EEA458-C91C-4C21-AF51-174CADD5E782}">
  <ds:schemaRefs/>
</ds:datastoreItem>
</file>

<file path=customXml/itemProps8.xml><?xml version="1.0" encoding="utf-8"?>
<ds:datastoreItem xmlns:ds="http://schemas.openxmlformats.org/officeDocument/2006/customXml" ds:itemID="{17673791-DFA4-475F-86E6-639BD91F0BCE}">
  <ds:schemaRefs/>
</ds:datastoreItem>
</file>

<file path=customXml/itemProps9.xml><?xml version="1.0" encoding="utf-8"?>
<ds:datastoreItem xmlns:ds="http://schemas.openxmlformats.org/officeDocument/2006/customXml" ds:itemID="{09642B97-883D-41BA-9A87-63357A1A6A6A}">
  <ds:schemaRefs/>
</ds:datastoreItem>
</file>

<file path=customXml/itemProps10.xml><?xml version="1.0" encoding="utf-8"?>
<ds:datastoreItem xmlns:ds="http://schemas.openxmlformats.org/officeDocument/2006/customXml" ds:itemID="{A4A1BC66-34C8-42D8-92A7-2A914CD69B1B}">
  <ds:schemaRefs/>
</ds:datastoreItem>
</file>

<file path=customXml/itemProps11.xml><?xml version="1.0" encoding="utf-8"?>
<ds:datastoreItem xmlns:ds="http://schemas.openxmlformats.org/officeDocument/2006/customXml" ds:itemID="{AD53E95C-FA46-4CE5-B555-9F57D6171E90}">
  <ds:schemaRefs/>
</ds:datastoreItem>
</file>

<file path=customXml/itemProps12.xml><?xml version="1.0" encoding="utf-8"?>
<ds:datastoreItem xmlns:ds="http://schemas.openxmlformats.org/officeDocument/2006/customXml" ds:itemID="{9EF5688B-223C-484E-BB4E-FA011DE95E29}">
  <ds:schemaRefs/>
</ds:datastoreItem>
</file>

<file path=customXml/itemProps13.xml><?xml version="1.0" encoding="utf-8"?>
<ds:datastoreItem xmlns:ds="http://schemas.openxmlformats.org/officeDocument/2006/customXml" ds:itemID="{782CE1FE-00EB-FE4E-874F-055C932FA8A9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180CF3B7-2504-4653-8863-3CCC8C1A9810}">
  <ds:schemaRefs/>
</ds:datastoreItem>
</file>

<file path=customXml/itemProps15.xml><?xml version="1.0" encoding="utf-8"?>
<ds:datastoreItem xmlns:ds="http://schemas.openxmlformats.org/officeDocument/2006/customXml" ds:itemID="{EFA97B5C-C27C-494B-BBED-2F7C830BCC2B}">
  <ds:schemaRefs/>
</ds:datastoreItem>
</file>

<file path=customXml/itemProps16.xml><?xml version="1.0" encoding="utf-8"?>
<ds:datastoreItem xmlns:ds="http://schemas.openxmlformats.org/officeDocument/2006/customXml" ds:itemID="{9185DA0B-271C-4D37-B95B-782321C4CA20}">
  <ds:schemaRefs/>
</ds:datastoreItem>
</file>

<file path=customXml/itemProps17.xml><?xml version="1.0" encoding="utf-8"?>
<ds:datastoreItem xmlns:ds="http://schemas.openxmlformats.org/officeDocument/2006/customXml" ds:itemID="{CD2E731B-0A75-4E7E-B950-B8EA765F523A}">
  <ds:schemaRefs/>
</ds:datastoreItem>
</file>

<file path=customXml/itemProps18.xml><?xml version="1.0" encoding="utf-8"?>
<ds:datastoreItem xmlns:ds="http://schemas.openxmlformats.org/officeDocument/2006/customXml" ds:itemID="{EA1110B4-B2E1-4780-A49E-48347DB8CB0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Bydgoszcz_2022</vt:lpstr>
      <vt:lpstr>Zabrze_2022</vt:lpstr>
      <vt:lpstr>Cracow_2022</vt:lpstr>
      <vt:lpstr>Gdansk_2022</vt:lpstr>
      <vt:lpstr>FX_2022</vt:lpstr>
      <vt:lpstr>PH_2022</vt:lpstr>
      <vt:lpstr>SR_2022</vt:lpstr>
      <vt:lpstr>VT_2022</vt:lpstr>
      <vt:lpstr>PB_2022</vt:lpstr>
      <vt:lpstr>HB_2022</vt:lpstr>
      <vt:lpstr>AA_2022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Centrum Sterowania Rakietowego</dc:creator>
  <cp:lastModifiedBy>Michał Surdej</cp:lastModifiedBy>
  <dcterms:created xsi:type="dcterms:W3CDTF">2023-07-25T06:15:20Z</dcterms:created>
  <dcterms:modified xsi:type="dcterms:W3CDTF">2023-08-15T16:26:02Z</dcterms:modified>
</cp:coreProperties>
</file>